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mc:AlternateContent xmlns:mc="http://schemas.openxmlformats.org/markup-compatibility/2006">
    <mc:Choice Requires="x15">
      <x15ac:absPath xmlns:x15ac="http://schemas.microsoft.com/office/spreadsheetml/2010/11/ac" url="E:\Enero a Junio 2023\Documentos\RT03\RT03-F11_V13\"/>
    </mc:Choice>
  </mc:AlternateContent>
  <workbookProtection workbookPassword="E9FB" lockStructure="1"/>
  <bookViews>
    <workbookView xWindow="-105" yWindow="-105" windowWidth="23250" windowHeight="12450" tabRatio="791" firstSheet="1" activeTab="1"/>
  </bookViews>
  <sheets>
    <sheet name="DATOS ¬" sheetId="22" state="hidden" r:id="rId1"/>
    <sheet name="RT03-F11 ¬" sheetId="30" r:id="rId2"/>
    <sheet name="DESPUES DE AJUSTE ¬ " sheetId="43" r:id="rId3"/>
    <sheet name="CALIBRACIÓN DE LA ESCALA ¬" sheetId="18" r:id="rId4"/>
    <sheet name="Máx. y Mín ¬" sheetId="35" r:id="rId5"/>
    <sheet name="Pc ¬" sheetId="38" r:id="rId6"/>
    <sheet name="CMC ¬" sheetId="36" r:id="rId7"/>
    <sheet name="RT03-F14 ¬ " sheetId="42" state="hidden" r:id="rId8"/>
    <sheet name="RT03-F38" sheetId="47" state="hidden" r:id="rId9"/>
    <sheet name="RT03-F17 ¬" sheetId="46" state="hidden" r:id="rId10"/>
  </sheets>
  <definedNames>
    <definedName name="_xlnm.Print_Area" localSheetId="3">'CALIBRACIÓN DE LA ESCALA ¬'!$A$1:$W$57</definedName>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7">'RT03-F14 ¬ '!$A$1:$K$161</definedName>
    <definedName name="_xlnm.Print_Area" localSheetId="9">'RT03-F17 ¬'!$A$1:$K$112</definedName>
    <definedName name="_xlnm.Print_Area" localSheetId="8">'RT03-F38'!$A$1:$K$161</definedName>
    <definedName name="Print_Area" localSheetId="3">'CALIBRACIÓN DE LA ESCALA ¬'!$A$1:$V$60</definedName>
    <definedName name="Print_Area" localSheetId="7">'RT03-F14 ¬ '!$A$1:$K$155</definedName>
    <definedName name="Print_Area" localSheetId="9">'RT03-F17 ¬'!$A$1:$K$106</definedName>
    <definedName name="Print_Area" localSheetId="8">'RT03-F38'!$A$1:$K$155</definedName>
    <definedName name="Print_Titles" localSheetId="3">'CALIBRACIÓN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7" l="1"/>
  <c r="B157" i="47"/>
  <c r="G156" i="47"/>
  <c r="B156" i="47"/>
  <c r="C109" i="47"/>
  <c r="C101" i="47"/>
  <c r="C108" i="47" s="1"/>
  <c r="C100" i="47"/>
  <c r="C107" i="47" s="1"/>
  <c r="C99" i="47"/>
  <c r="C106" i="47" s="1"/>
  <c r="I93" i="47"/>
  <c r="G93" i="47"/>
  <c r="E93" i="47"/>
  <c r="D93" i="47"/>
  <c r="I92" i="47"/>
  <c r="G92" i="47"/>
  <c r="D92" i="47"/>
  <c r="I91" i="47"/>
  <c r="G91" i="47"/>
  <c r="D91" i="47"/>
  <c r="H75" i="47"/>
  <c r="G75" i="47"/>
  <c r="F75" i="47"/>
  <c r="E75" i="47"/>
  <c r="D75" i="47"/>
  <c r="C75" i="47"/>
  <c r="G60" i="47"/>
  <c r="A106" i="47" s="1"/>
  <c r="E27" i="47"/>
  <c r="A25" i="47"/>
  <c r="E20" i="47"/>
  <c r="E19" i="47"/>
  <c r="E17" i="47"/>
  <c r="E16" i="47"/>
  <c r="E15" i="47"/>
  <c r="J10" i="47"/>
  <c r="D7" i="47"/>
  <c r="D6" i="47"/>
  <c r="F113" i="47" l="1"/>
  <c r="A99" i="47"/>
  <c r="D39" i="30" l="1"/>
  <c r="M31" i="22" l="1"/>
  <c r="O31" i="22" s="1"/>
  <c r="E20" i="42"/>
  <c r="M8" i="22"/>
  <c r="D8" i="47" s="1"/>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AA159" i="22" s="1"/>
  <c r="W159" i="22"/>
  <c r="Z159" i="22"/>
  <c r="K19" i="30"/>
  <c r="T158" i="22"/>
  <c r="W158" i="22"/>
  <c r="Z158" i="22"/>
  <c r="AA158" i="22"/>
  <c r="T157" i="22"/>
  <c r="W157" i="22"/>
  <c r="Z157" i="22"/>
  <c r="AA157" i="22"/>
  <c r="K19" i="43"/>
  <c r="T156" i="22"/>
  <c r="W156" i="22"/>
  <c r="Z156" i="22"/>
  <c r="V148" i="22"/>
  <c r="W148" i="22" s="1"/>
  <c r="S148" i="22"/>
  <c r="P148" i="22"/>
  <c r="V147" i="22"/>
  <c r="W147" i="22" s="1"/>
  <c r="S147" i="22"/>
  <c r="P147" i="22"/>
  <c r="V146" i="22"/>
  <c r="S146" i="22"/>
  <c r="P146" i="22"/>
  <c r="V145" i="22"/>
  <c r="S145" i="22"/>
  <c r="P145" i="22"/>
  <c r="V144" i="22"/>
  <c r="W144" i="22" s="1"/>
  <c r="S144" i="22"/>
  <c r="P144" i="22"/>
  <c r="P60" i="22"/>
  <c r="R60" i="22"/>
  <c r="P59" i="22"/>
  <c r="R59" i="22"/>
  <c r="P58" i="22"/>
  <c r="R58" i="22"/>
  <c r="P57" i="22"/>
  <c r="R57" i="22"/>
  <c r="P56" i="22"/>
  <c r="R56" i="22"/>
  <c r="P51" i="22"/>
  <c r="R51" i="22"/>
  <c r="P52" i="22"/>
  <c r="R52" i="22"/>
  <c r="P53" i="22"/>
  <c r="R53" i="22"/>
  <c r="P54" i="22"/>
  <c r="R54" i="22"/>
  <c r="P50" i="22"/>
  <c r="R50" i="22"/>
  <c r="P45" i="22"/>
  <c r="R45" i="22"/>
  <c r="P46" i="22"/>
  <c r="R46" i="22"/>
  <c r="P47" i="22"/>
  <c r="R47" i="22"/>
  <c r="P48" i="22"/>
  <c r="R48" i="22"/>
  <c r="P44" i="22"/>
  <c r="R44" i="22"/>
  <c r="P39" i="22"/>
  <c r="R39" i="22"/>
  <c r="P40" i="22"/>
  <c r="R40" i="22"/>
  <c r="P41" i="22"/>
  <c r="R41" i="22"/>
  <c r="P42" i="22"/>
  <c r="R42" i="22"/>
  <c r="P38" i="22"/>
  <c r="R38" i="22"/>
  <c r="G108" i="46"/>
  <c r="B108" i="46"/>
  <c r="G107" i="46"/>
  <c r="B107" i="46"/>
  <c r="N15" i="22"/>
  <c r="E27" i="46"/>
  <c r="A25" i="46"/>
  <c r="AB62" i="22"/>
  <c r="AB61" i="22"/>
  <c r="E19" i="46"/>
  <c r="E17" i="46"/>
  <c r="E16" i="46"/>
  <c r="E15" i="46"/>
  <c r="D3" i="30"/>
  <c r="D8" i="46"/>
  <c r="D7" i="46"/>
  <c r="D6" i="46"/>
  <c r="I19" i="30"/>
  <c r="M19" i="30" s="1"/>
  <c r="O19" i="30"/>
  <c r="G8" i="18" s="1"/>
  <c r="G43" i="18" s="1"/>
  <c r="R20" i="30"/>
  <c r="O21" i="18"/>
  <c r="Q20" i="30"/>
  <c r="N21" i="18" s="1"/>
  <c r="R19" i="30"/>
  <c r="O20" i="18"/>
  <c r="Q19" i="30"/>
  <c r="N20" i="18" s="1"/>
  <c r="P20" i="18" s="1"/>
  <c r="G45" i="18"/>
  <c r="J45" i="18"/>
  <c r="G46" i="18"/>
  <c r="J46" i="18"/>
  <c r="F19" i="18"/>
  <c r="C21" i="18" s="1"/>
  <c r="F20" i="18"/>
  <c r="G47" i="18"/>
  <c r="L19" i="18"/>
  <c r="C19" i="30"/>
  <c r="C8" i="18" s="1"/>
  <c r="S11" i="18" s="1"/>
  <c r="L20" i="18"/>
  <c r="L21" i="18"/>
  <c r="I20" i="18"/>
  <c r="I19" i="18"/>
  <c r="K22" i="18" s="1"/>
  <c r="J15" i="22"/>
  <c r="F33" i="43"/>
  <c r="E110" i="43" s="1"/>
  <c r="F29" i="43"/>
  <c r="P80" i="43" s="1"/>
  <c r="D33" i="43"/>
  <c r="E109" i="43" s="1"/>
  <c r="D29" i="43"/>
  <c r="O72" i="43" s="1"/>
  <c r="C31" i="22"/>
  <c r="C32" i="22"/>
  <c r="I7" i="43" s="1"/>
  <c r="E89" i="43" s="1"/>
  <c r="H89" i="43" s="1"/>
  <c r="C7" i="43"/>
  <c r="O7" i="43"/>
  <c r="G89" i="43"/>
  <c r="G90" i="43"/>
  <c r="E9" i="43"/>
  <c r="E98" i="43"/>
  <c r="G98" i="43"/>
  <c r="I8" i="43"/>
  <c r="I9" i="43"/>
  <c r="I10" i="43"/>
  <c r="I11" i="43"/>
  <c r="I12" i="43"/>
  <c r="O9" i="43"/>
  <c r="G99" i="43" s="1"/>
  <c r="C10" i="43"/>
  <c r="C11" i="43"/>
  <c r="C12" i="43"/>
  <c r="C8" i="43"/>
  <c r="E8" i="43"/>
  <c r="G8" i="43"/>
  <c r="C9" i="43"/>
  <c r="G9" i="43"/>
  <c r="E10" i="43"/>
  <c r="G10" i="43"/>
  <c r="E11" i="43"/>
  <c r="G11" i="43"/>
  <c r="E12" i="43"/>
  <c r="G12" i="43"/>
  <c r="G100" i="43"/>
  <c r="G101" i="43"/>
  <c r="E14" i="43"/>
  <c r="E103" i="43"/>
  <c r="H103" i="43" s="1"/>
  <c r="G103" i="43"/>
  <c r="I13" i="43"/>
  <c r="I14" i="43"/>
  <c r="M14" i="43" s="1"/>
  <c r="I15" i="43"/>
  <c r="M15" i="43" s="1"/>
  <c r="I16" i="43"/>
  <c r="I17" i="43"/>
  <c r="O14" i="43"/>
  <c r="G104" i="43"/>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C133" i="22"/>
  <c r="C134" i="22"/>
  <c r="C135" i="22"/>
  <c r="D132" i="22"/>
  <c r="E132" i="22"/>
  <c r="F132" i="22"/>
  <c r="O75" i="22"/>
  <c r="G132" i="22" s="1"/>
  <c r="P75" i="22"/>
  <c r="H132" i="22"/>
  <c r="Q75" i="22"/>
  <c r="I132" i="22" s="1"/>
  <c r="J132" i="22"/>
  <c r="K132" i="22"/>
  <c r="L132" i="22"/>
  <c r="M132" i="22"/>
  <c r="N132" i="22"/>
  <c r="O132" i="22"/>
  <c r="D133" i="22"/>
  <c r="E133" i="22"/>
  <c r="F133" i="22"/>
  <c r="G133" i="22"/>
  <c r="P86" i="22"/>
  <c r="H133" i="22"/>
  <c r="Q86" i="22"/>
  <c r="I133" i="22"/>
  <c r="J133" i="22"/>
  <c r="K133" i="22"/>
  <c r="L133" i="22"/>
  <c r="M133" i="22"/>
  <c r="N133" i="22"/>
  <c r="O133" i="22"/>
  <c r="D134" i="22"/>
  <c r="E134" i="22"/>
  <c r="F134" i="22"/>
  <c r="O97" i="22"/>
  <c r="G134" i="22" s="1"/>
  <c r="P97" i="22"/>
  <c r="H134" i="22"/>
  <c r="Q97" i="22"/>
  <c r="I134" i="22" s="1"/>
  <c r="J134" i="22"/>
  <c r="K134" i="22"/>
  <c r="L134" i="22"/>
  <c r="M134" i="22"/>
  <c r="N134" i="22"/>
  <c r="O134" i="22"/>
  <c r="D135" i="22"/>
  <c r="E135" i="22"/>
  <c r="F135" i="22"/>
  <c r="O108" i="22"/>
  <c r="G135" i="22"/>
  <c r="P108" i="22"/>
  <c r="H135" i="22"/>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c r="N112" i="43" s="1"/>
  <c r="D35" i="43"/>
  <c r="E115" i="43" s="1"/>
  <c r="G115" i="43"/>
  <c r="F33" i="30"/>
  <c r="P76" i="30" s="1"/>
  <c r="F29" i="30"/>
  <c r="P80" i="30" s="1"/>
  <c r="M40" i="22"/>
  <c r="N40" i="22"/>
  <c r="D33" i="30"/>
  <c r="O74" i="30"/>
  <c r="D29" i="30"/>
  <c r="O72" i="30"/>
  <c r="G90" i="30"/>
  <c r="E9" i="30"/>
  <c r="E98" i="30" s="1"/>
  <c r="G98" i="30"/>
  <c r="I8" i="30"/>
  <c r="M8" i="30" s="1"/>
  <c r="I9" i="30"/>
  <c r="I10" i="30"/>
  <c r="I11" i="30"/>
  <c r="I12" i="30"/>
  <c r="M12" i="30" s="1"/>
  <c r="O9" i="30"/>
  <c r="G99" i="30" s="1"/>
  <c r="C10" i="30"/>
  <c r="C11" i="30"/>
  <c r="C12" i="30"/>
  <c r="C8" i="30"/>
  <c r="E8" i="30"/>
  <c r="G8" i="30"/>
  <c r="C9" i="30"/>
  <c r="G9" i="30"/>
  <c r="E10" i="30"/>
  <c r="G10" i="30"/>
  <c r="E11" i="30"/>
  <c r="D98" i="30" s="1"/>
  <c r="G11" i="30"/>
  <c r="E12" i="30"/>
  <c r="G12" i="30"/>
  <c r="G100" i="30"/>
  <c r="G101" i="30"/>
  <c r="E14" i="30"/>
  <c r="E103" i="30"/>
  <c r="G103" i="30"/>
  <c r="I13" i="30"/>
  <c r="E104" i="30" s="1"/>
  <c r="I14" i="30"/>
  <c r="I15" i="30"/>
  <c r="I16" i="30"/>
  <c r="M16" i="30" s="1"/>
  <c r="I17" i="30"/>
  <c r="O14" i="30"/>
  <c r="G104" i="30" s="1"/>
  <c r="C15" i="30"/>
  <c r="C16" i="30"/>
  <c r="C17" i="30"/>
  <c r="C13" i="30"/>
  <c r="E13" i="30"/>
  <c r="G13" i="30"/>
  <c r="C14" i="30"/>
  <c r="G14" i="30"/>
  <c r="E15" i="30"/>
  <c r="G15" i="30"/>
  <c r="E16" i="30"/>
  <c r="G16" i="30"/>
  <c r="E17" i="30"/>
  <c r="G17" i="30"/>
  <c r="G105" i="30"/>
  <c r="G106" i="30"/>
  <c r="G108" i="30"/>
  <c r="G110" i="30"/>
  <c r="G117" i="30"/>
  <c r="E109" i="30"/>
  <c r="G109" i="30"/>
  <c r="H109" i="30" s="1"/>
  <c r="F35" i="30"/>
  <c r="G116" i="30"/>
  <c r="J93" i="30"/>
  <c r="G94" i="30"/>
  <c r="J94" i="30"/>
  <c r="G95" i="30"/>
  <c r="J95" i="30"/>
  <c r="D36" i="30"/>
  <c r="E111" i="30"/>
  <c r="H111" i="30"/>
  <c r="L111" i="30" s="1"/>
  <c r="N111" i="30" s="1"/>
  <c r="G111" i="30"/>
  <c r="J111" i="30"/>
  <c r="G112" i="30"/>
  <c r="H112" i="30" s="1"/>
  <c r="L112" i="30" s="1"/>
  <c r="N112" i="30" s="1"/>
  <c r="K25" i="22"/>
  <c r="D34" i="30" s="1"/>
  <c r="E115" i="30" s="1"/>
  <c r="H115" i="30" s="1"/>
  <c r="D34" i="43"/>
  <c r="D35" i="30"/>
  <c r="G115" i="30"/>
  <c r="M4" i="36"/>
  <c r="S12" i="36" s="1"/>
  <c r="E31" i="22"/>
  <c r="D31" i="22"/>
  <c r="G60" i="42"/>
  <c r="A106" i="42" s="1"/>
  <c r="C109" i="42"/>
  <c r="B132" i="22"/>
  <c r="B133" i="22"/>
  <c r="J12" i="35" s="1"/>
  <c r="S28" i="22" s="1"/>
  <c r="B134" i="22"/>
  <c r="B135" i="22"/>
  <c r="B136" i="22"/>
  <c r="J11" i="35"/>
  <c r="R28" i="22" s="1"/>
  <c r="L7" i="35"/>
  <c r="K7" i="35"/>
  <c r="I7" i="35"/>
  <c r="Q117" i="43"/>
  <c r="F106" i="43"/>
  <c r="F105" i="43"/>
  <c r="F104" i="43"/>
  <c r="F103" i="43"/>
  <c r="F102" i="43"/>
  <c r="E102" i="43"/>
  <c r="F101" i="43"/>
  <c r="F100" i="43"/>
  <c r="F99" i="43"/>
  <c r="F95" i="43"/>
  <c r="I95" i="43"/>
  <c r="F94" i="43"/>
  <c r="I94" i="43" s="1"/>
  <c r="F93" i="43"/>
  <c r="I93" i="43"/>
  <c r="I90" i="43"/>
  <c r="G46" i="43"/>
  <c r="G45" i="43"/>
  <c r="G44" i="43"/>
  <c r="O39" i="43"/>
  <c r="D39" i="43"/>
  <c r="O38" i="43"/>
  <c r="O37" i="43"/>
  <c r="D31" i="43"/>
  <c r="F30" i="43"/>
  <c r="D30" i="43"/>
  <c r="F28" i="43"/>
  <c r="D28" i="43"/>
  <c r="F27" i="43"/>
  <c r="D27" i="43"/>
  <c r="F26" i="43"/>
  <c r="D26" i="43"/>
  <c r="P22" i="43"/>
  <c r="O22" i="43"/>
  <c r="I22" i="43"/>
  <c r="K22" i="43"/>
  <c r="M22" i="43" s="1"/>
  <c r="G22" i="43"/>
  <c r="E22" i="43"/>
  <c r="C22" i="43"/>
  <c r="B22" i="43"/>
  <c r="P21" i="43"/>
  <c r="O21" i="43"/>
  <c r="I21" i="43"/>
  <c r="K21" i="43" s="1"/>
  <c r="G21" i="43"/>
  <c r="E21" i="43"/>
  <c r="C21" i="43"/>
  <c r="B21" i="43"/>
  <c r="R20" i="43"/>
  <c r="Q20" i="43"/>
  <c r="R19" i="43"/>
  <c r="Q19" i="43"/>
  <c r="P19" i="43"/>
  <c r="O19" i="43"/>
  <c r="I19" i="43"/>
  <c r="M19" i="43" s="1"/>
  <c r="G19" i="43"/>
  <c r="E19" i="43"/>
  <c r="C19" i="43"/>
  <c r="B19" i="43"/>
  <c r="P17" i="43"/>
  <c r="O17" i="43"/>
  <c r="B17" i="43"/>
  <c r="P16" i="43"/>
  <c r="O16" i="43"/>
  <c r="B16" i="43"/>
  <c r="P15" i="43"/>
  <c r="O15" i="43"/>
  <c r="B15" i="43"/>
  <c r="P14" i="43"/>
  <c r="B14" i="43"/>
  <c r="P13" i="43"/>
  <c r="O13" i="43"/>
  <c r="B13" i="43"/>
  <c r="P12" i="43"/>
  <c r="O12" i="43"/>
  <c r="B12" i="43"/>
  <c r="P11" i="43"/>
  <c r="O11" i="43"/>
  <c r="D98" i="43"/>
  <c r="B11" i="43"/>
  <c r="P10" i="43"/>
  <c r="O10" i="43"/>
  <c r="B10" i="43"/>
  <c r="P9" i="43"/>
  <c r="B9" i="43"/>
  <c r="P8" i="43"/>
  <c r="O8" i="43"/>
  <c r="B8" i="43"/>
  <c r="P7" i="43"/>
  <c r="P3" i="43"/>
  <c r="M3" i="43"/>
  <c r="H9" i="35" s="1"/>
  <c r="J3" i="43"/>
  <c r="G3" i="43"/>
  <c r="D3" i="43"/>
  <c r="B3" i="43"/>
  <c r="N57" i="22"/>
  <c r="N58" i="22"/>
  <c r="N59" i="22"/>
  <c r="N60" i="22"/>
  <c r="N56" i="22"/>
  <c r="M57" i="22"/>
  <c r="M58" i="22"/>
  <c r="M59" i="22"/>
  <c r="M60" i="22"/>
  <c r="M56" i="22"/>
  <c r="N51" i="22"/>
  <c r="N52" i="22"/>
  <c r="N53" i="22"/>
  <c r="N54" i="22"/>
  <c r="N50" i="22"/>
  <c r="M54" i="22"/>
  <c r="M53" i="22"/>
  <c r="M52" i="22"/>
  <c r="M51" i="22"/>
  <c r="M50" i="22"/>
  <c r="P19" i="30"/>
  <c r="G19" i="30"/>
  <c r="E8" i="18" s="1"/>
  <c r="E19" i="30"/>
  <c r="D8" i="18" s="1"/>
  <c r="E44" i="18" s="1"/>
  <c r="B19" i="30"/>
  <c r="A8" i="18" s="1"/>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F7" i="35"/>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P37" i="30" s="1"/>
  <c r="AE73" i="22"/>
  <c r="G44" i="30"/>
  <c r="G45" i="30"/>
  <c r="B3" i="30"/>
  <c r="H32" i="22"/>
  <c r="H31" i="22"/>
  <c r="G7" i="43"/>
  <c r="Q117" i="30"/>
  <c r="F106" i="30"/>
  <c r="F105" i="30"/>
  <c r="F104" i="30"/>
  <c r="F103" i="30"/>
  <c r="F102" i="30"/>
  <c r="E102" i="30"/>
  <c r="F101" i="30"/>
  <c r="F100" i="30"/>
  <c r="F99" i="30"/>
  <c r="F95" i="30"/>
  <c r="I95" i="30"/>
  <c r="F94" i="30"/>
  <c r="I94" i="30"/>
  <c r="F93" i="30"/>
  <c r="I93" i="30"/>
  <c r="I90" i="30"/>
  <c r="G46" i="30"/>
  <c r="O39" i="30"/>
  <c r="P39" i="30"/>
  <c r="O38" i="30"/>
  <c r="D31" i="30"/>
  <c r="F30" i="30"/>
  <c r="D30" i="30"/>
  <c r="F28" i="30"/>
  <c r="D28" i="30"/>
  <c r="F27" i="30"/>
  <c r="D27" i="30"/>
  <c r="F26" i="30"/>
  <c r="D26" i="30"/>
  <c r="P22" i="30"/>
  <c r="O22" i="30"/>
  <c r="I22" i="30"/>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K22" i="30"/>
  <c r="M22" i="30" s="1"/>
  <c r="E32" i="22"/>
  <c r="D32" i="22"/>
  <c r="G7" i="30"/>
  <c r="J3" i="42"/>
  <c r="AE116" i="22"/>
  <c r="AD116" i="22"/>
  <c r="AC116" i="22"/>
  <c r="AE105" i="22"/>
  <c r="AD105" i="22"/>
  <c r="AC105" i="22"/>
  <c r="AC94" i="22"/>
  <c r="AE94" i="22"/>
  <c r="AD94" i="22"/>
  <c r="AE83" i="22"/>
  <c r="AD83" i="22"/>
  <c r="AC83" i="22"/>
  <c r="AD73" i="22"/>
  <c r="AC73" i="22"/>
  <c r="F130" i="22"/>
  <c r="E130" i="22"/>
  <c r="D130" i="22"/>
  <c r="C130" i="22"/>
  <c r="C18" i="30"/>
  <c r="D92" i="30" s="1"/>
  <c r="P3" i="18"/>
  <c r="J3" i="18"/>
  <c r="G3" i="18"/>
  <c r="D3" i="18"/>
  <c r="B3" i="18"/>
  <c r="M26" i="22"/>
  <c r="G44" i="18"/>
  <c r="K21" i="18"/>
  <c r="I43" i="18"/>
  <c r="K7" i="18"/>
  <c r="J21" i="18"/>
  <c r="K26" i="22"/>
  <c r="I45" i="18"/>
  <c r="I48" i="18" s="1"/>
  <c r="I44" i="18"/>
  <c r="W18" i="18"/>
  <c r="D44" i="18" s="1"/>
  <c r="G32" i="22"/>
  <c r="G31" i="22"/>
  <c r="E7" i="43"/>
  <c r="I25" i="22"/>
  <c r="D32" i="30" s="1"/>
  <c r="D32" i="43"/>
  <c r="I26" i="22"/>
  <c r="D103" i="43"/>
  <c r="E99" i="43"/>
  <c r="H99" i="43" s="1"/>
  <c r="D103" i="30"/>
  <c r="F36" i="30"/>
  <c r="H15" i="22"/>
  <c r="AB60" i="22"/>
  <c r="K8" i="43"/>
  <c r="M8" i="43" s="1"/>
  <c r="K8" i="30"/>
  <c r="K9" i="43"/>
  <c r="K9" i="30"/>
  <c r="M9" i="30" s="1"/>
  <c r="K15" i="43"/>
  <c r="K15" i="30"/>
  <c r="K12" i="43"/>
  <c r="M12" i="43" s="1"/>
  <c r="K12" i="30"/>
  <c r="K13" i="43"/>
  <c r="K13" i="30"/>
  <c r="M13" i="30" s="1"/>
  <c r="K14" i="43"/>
  <c r="K14" i="30"/>
  <c r="K7" i="43"/>
  <c r="E90" i="43" s="1"/>
  <c r="H90" i="43" s="1"/>
  <c r="K7" i="30"/>
  <c r="E90" i="30" s="1"/>
  <c r="H90" i="30" s="1"/>
  <c r="K11" i="43"/>
  <c r="K11" i="30"/>
  <c r="K17" i="43"/>
  <c r="M17" i="43"/>
  <c r="K17" i="30"/>
  <c r="M17" i="30" s="1"/>
  <c r="K10" i="43"/>
  <c r="K10" i="30"/>
  <c r="M10" i="30" s="1"/>
  <c r="K16" i="43"/>
  <c r="M16" i="43"/>
  <c r="K16" i="30"/>
  <c r="J46" i="30"/>
  <c r="K57" i="30" s="1"/>
  <c r="J45" i="30"/>
  <c r="K56" i="30" s="1"/>
  <c r="J44" i="30"/>
  <c r="J45" i="43"/>
  <c r="J46" i="43"/>
  <c r="J44" i="43"/>
  <c r="E106" i="43" s="1"/>
  <c r="L115" i="30"/>
  <c r="N115" i="30" s="1"/>
  <c r="G90" i="42"/>
  <c r="D45" i="30"/>
  <c r="D44" i="43"/>
  <c r="E101" i="43" s="1"/>
  <c r="H101" i="43" s="1"/>
  <c r="D44" i="30"/>
  <c r="D46" i="43"/>
  <c r="K57" i="43" s="1"/>
  <c r="D46" i="30"/>
  <c r="D45" i="43"/>
  <c r="G47" i="43" s="1"/>
  <c r="I90" i="42"/>
  <c r="O30" i="43"/>
  <c r="J79" i="42" l="1"/>
  <c r="J36" i="42"/>
  <c r="E10" i="46"/>
  <c r="E10" i="47"/>
  <c r="I18" i="43"/>
  <c r="E93" i="43" s="1"/>
  <c r="E18" i="30"/>
  <c r="E94" i="30" s="1"/>
  <c r="H94" i="30" s="1"/>
  <c r="L94" i="30" s="1"/>
  <c r="N94" i="30" s="1"/>
  <c r="C18" i="43"/>
  <c r="D92" i="43" s="1"/>
  <c r="P18" i="30"/>
  <c r="E18" i="43"/>
  <c r="E94" i="43" s="1"/>
  <c r="H94" i="43" s="1"/>
  <c r="L94" i="43" s="1"/>
  <c r="N94" i="43" s="1"/>
  <c r="K18" i="30"/>
  <c r="E95" i="30" s="1"/>
  <c r="H95" i="30" s="1"/>
  <c r="L95" i="30" s="1"/>
  <c r="I18" i="30"/>
  <c r="E93" i="30" s="1"/>
  <c r="B18" i="43"/>
  <c r="B18" i="30"/>
  <c r="O18" i="30"/>
  <c r="G93" i="30" s="1"/>
  <c r="P18" i="43"/>
  <c r="G18" i="30"/>
  <c r="O18" i="43"/>
  <c r="G93" i="43" s="1"/>
  <c r="J22" i="18"/>
  <c r="J19" i="18"/>
  <c r="K20" i="18" s="1"/>
  <c r="O27" i="43"/>
  <c r="O29" i="43"/>
  <c r="I46" i="18"/>
  <c r="A99" i="42"/>
  <c r="D12" i="35"/>
  <c r="S27" i="22" s="1"/>
  <c r="D75" i="42" s="1"/>
  <c r="D11" i="35"/>
  <c r="R27" i="22" s="1"/>
  <c r="C75" i="42" s="1"/>
  <c r="W146" i="22"/>
  <c r="J118" i="42"/>
  <c r="I47" i="18"/>
  <c r="M11" i="30"/>
  <c r="K18" i="43"/>
  <c r="E95" i="43" s="1"/>
  <c r="H95" i="43" s="1"/>
  <c r="L95" i="43" s="1"/>
  <c r="H106" i="43"/>
  <c r="G18" i="43"/>
  <c r="D88" i="43"/>
  <c r="O66" i="43"/>
  <c r="H109" i="43"/>
  <c r="W145" i="22"/>
  <c r="AA156" i="22"/>
  <c r="E11" i="35"/>
  <c r="T27" i="22" s="1"/>
  <c r="E75" i="42" s="1"/>
  <c r="M11" i="43"/>
  <c r="F20" i="46"/>
  <c r="F20" i="47"/>
  <c r="P37" i="43"/>
  <c r="H98" i="43"/>
  <c r="J3" i="46"/>
  <c r="J79" i="46" s="1"/>
  <c r="J3" i="47"/>
  <c r="B7" i="30"/>
  <c r="E7" i="30"/>
  <c r="P7" i="30"/>
  <c r="M15" i="30"/>
  <c r="H103" i="30"/>
  <c r="O7" i="30"/>
  <c r="G89" i="30" s="1"/>
  <c r="C7" i="30"/>
  <c r="D88" i="30" s="1"/>
  <c r="H115" i="43"/>
  <c r="L115" i="43" s="1"/>
  <c r="N115" i="43" s="1"/>
  <c r="F11" i="35"/>
  <c r="V27" i="22" s="1"/>
  <c r="G75" i="42" s="1"/>
  <c r="M13" i="43"/>
  <c r="M9" i="43"/>
  <c r="D90" i="47"/>
  <c r="I90" i="47"/>
  <c r="G90" i="47"/>
  <c r="H110" i="43"/>
  <c r="D90" i="42"/>
  <c r="M10" i="43"/>
  <c r="E99" i="30"/>
  <c r="H99" i="30" s="1"/>
  <c r="E104" i="43"/>
  <c r="H104" i="43" s="1"/>
  <c r="B7" i="43"/>
  <c r="M14" i="30"/>
  <c r="H98" i="30"/>
  <c r="I7" i="30"/>
  <c r="O68" i="43"/>
  <c r="K72" i="43" s="1"/>
  <c r="J109" i="43" s="1"/>
  <c r="D97" i="43"/>
  <c r="E100" i="43" s="1"/>
  <c r="H100" i="43" s="1"/>
  <c r="E97" i="43"/>
  <c r="K56" i="43"/>
  <c r="G56" i="43" s="1"/>
  <c r="H56" i="43" s="1"/>
  <c r="O74" i="43"/>
  <c r="E111" i="43"/>
  <c r="H111" i="43" s="1"/>
  <c r="L111" i="43" s="1"/>
  <c r="N111" i="43" s="1"/>
  <c r="N47" i="43"/>
  <c r="K55" i="43"/>
  <c r="K58" i="43" s="1"/>
  <c r="D37" i="43" s="1"/>
  <c r="M21" i="43"/>
  <c r="M7" i="43"/>
  <c r="O28" i="43"/>
  <c r="O31" i="43"/>
  <c r="E46" i="18"/>
  <c r="H46" i="18" s="1"/>
  <c r="L46" i="18" s="1"/>
  <c r="N46" i="18" s="1"/>
  <c r="E47" i="18"/>
  <c r="H47" i="18" s="1"/>
  <c r="L47" i="18" s="1"/>
  <c r="N47" i="18" s="1"/>
  <c r="W19" i="18"/>
  <c r="E45" i="18"/>
  <c r="H45" i="18" s="1"/>
  <c r="L45" i="18" s="1"/>
  <c r="N45" i="18" s="1"/>
  <c r="W20" i="18"/>
  <c r="C22" i="18"/>
  <c r="K26" i="18"/>
  <c r="K28" i="18"/>
  <c r="J44" i="18" s="1"/>
  <c r="E106" i="30"/>
  <c r="H106" i="30" s="1"/>
  <c r="N47" i="30"/>
  <c r="K55" i="30"/>
  <c r="K58" i="30" s="1"/>
  <c r="D37" i="30" s="1"/>
  <c r="E108" i="30" s="1"/>
  <c r="H108" i="30" s="1"/>
  <c r="E101" i="30"/>
  <c r="H101" i="30" s="1"/>
  <c r="G47" i="30"/>
  <c r="D43" i="18"/>
  <c r="O18" i="18"/>
  <c r="M19" i="18"/>
  <c r="U11" i="18" s="1"/>
  <c r="V11" i="18" s="1"/>
  <c r="B8" i="18"/>
  <c r="R11" i="18" s="1"/>
  <c r="P21" i="18"/>
  <c r="Q21" i="18" s="1"/>
  <c r="F8" i="18"/>
  <c r="E43" i="18" s="1"/>
  <c r="H43" i="18" s="1"/>
  <c r="H104" i="30"/>
  <c r="F31" i="43"/>
  <c r="F31" i="30"/>
  <c r="I15" i="22"/>
  <c r="F20" i="42"/>
  <c r="F34" i="30"/>
  <c r="E116" i="30" s="1"/>
  <c r="H116" i="30" s="1"/>
  <c r="L116" i="30" s="1"/>
  <c r="N116" i="30" s="1"/>
  <c r="E116" i="43"/>
  <c r="H116" i="43" s="1"/>
  <c r="L116" i="43" s="1"/>
  <c r="N116" i="43" s="1"/>
  <c r="E10" i="42"/>
  <c r="G57" i="43"/>
  <c r="H57" i="43" s="1"/>
  <c r="P76" i="43"/>
  <c r="E110" i="30"/>
  <c r="H110" i="30" s="1"/>
  <c r="J36" i="46"/>
  <c r="P38" i="30"/>
  <c r="K12" i="35"/>
  <c r="U28" i="22" s="1"/>
  <c r="P38" i="43"/>
  <c r="K11" i="35"/>
  <c r="T28" i="22" s="1"/>
  <c r="E12" i="35"/>
  <c r="U27" i="22" s="1"/>
  <c r="F75" i="42" s="1"/>
  <c r="M18" i="30"/>
  <c r="H93" i="30"/>
  <c r="L93" i="30" s="1"/>
  <c r="H93" i="43"/>
  <c r="L93" i="43" s="1"/>
  <c r="N93" i="43" s="1"/>
  <c r="L11" i="35"/>
  <c r="V28" i="22" s="1"/>
  <c r="N95" i="43"/>
  <c r="N95" i="30"/>
  <c r="F12" i="35"/>
  <c r="W27" i="22" s="1"/>
  <c r="H75" i="42" s="1"/>
  <c r="L12" i="35"/>
  <c r="W28" i="22" s="1"/>
  <c r="P39" i="43"/>
  <c r="M18" i="43"/>
  <c r="E89" i="30" l="1"/>
  <c r="H89" i="30" s="1"/>
  <c r="M7" i="30"/>
  <c r="G57" i="30"/>
  <c r="H57" i="30" s="1"/>
  <c r="O30" i="30"/>
  <c r="O28" i="30" s="1"/>
  <c r="O66" i="30"/>
  <c r="G56" i="30"/>
  <c r="H56" i="30" s="1"/>
  <c r="L109" i="43"/>
  <c r="N109" i="43" s="1"/>
  <c r="J79" i="47"/>
  <c r="J36" i="47"/>
  <c r="J118" i="47"/>
  <c r="G55" i="43"/>
  <c r="H55" i="43" s="1"/>
  <c r="H58" i="43" s="1"/>
  <c r="P30" i="43" s="1"/>
  <c r="O78" i="43"/>
  <c r="K68" i="43" s="1"/>
  <c r="J100" i="43" s="1"/>
  <c r="L100" i="43" s="1"/>
  <c r="N100" i="43" s="1"/>
  <c r="D107" i="43"/>
  <c r="F37" i="43"/>
  <c r="P78" i="43" s="1"/>
  <c r="E107" i="43"/>
  <c r="E108" i="43"/>
  <c r="H108" i="43" s="1"/>
  <c r="D102" i="43"/>
  <c r="E105" i="43" s="1"/>
  <c r="H105" i="43" s="1"/>
  <c r="P70" i="43"/>
  <c r="G55" i="30"/>
  <c r="H55" i="30" s="1"/>
  <c r="H58" i="30" s="1"/>
  <c r="P30" i="30" s="1"/>
  <c r="P27" i="30" s="1"/>
  <c r="O78" i="30"/>
  <c r="K68" i="30" s="1"/>
  <c r="D107" i="30"/>
  <c r="E107" i="30"/>
  <c r="F37" i="30"/>
  <c r="P78" i="30" s="1"/>
  <c r="D102" i="30"/>
  <c r="E105" i="30" s="1"/>
  <c r="H105" i="30" s="1"/>
  <c r="P70" i="30"/>
  <c r="D97" i="30"/>
  <c r="E100" i="30" s="1"/>
  <c r="H100" i="30" s="1"/>
  <c r="E97" i="30"/>
  <c r="O68" i="30"/>
  <c r="W11" i="18"/>
  <c r="V15" i="18"/>
  <c r="V16" i="18" s="1"/>
  <c r="V14" i="18"/>
  <c r="D42" i="18" s="1"/>
  <c r="M21" i="18"/>
  <c r="U13" i="18" s="1"/>
  <c r="V13" i="18" s="1"/>
  <c r="W13" i="18" s="1"/>
  <c r="M20" i="18"/>
  <c r="U12" i="18" s="1"/>
  <c r="V12" i="18" s="1"/>
  <c r="W12" i="18" s="1"/>
  <c r="L43" i="18"/>
  <c r="N43" i="18" s="1"/>
  <c r="N50" i="18" s="1"/>
  <c r="H44" i="18"/>
  <c r="L44" i="18" s="1"/>
  <c r="N44" i="18" s="1"/>
  <c r="K72" i="30"/>
  <c r="J109" i="30" s="1"/>
  <c r="L109" i="30" s="1"/>
  <c r="N109" i="30" s="1"/>
  <c r="K74" i="30"/>
  <c r="J110" i="30" s="1"/>
  <c r="L110" i="30" s="1"/>
  <c r="N110" i="30" s="1"/>
  <c r="O31" i="30"/>
  <c r="F32" i="30"/>
  <c r="F32" i="43"/>
  <c r="H59" i="30"/>
  <c r="E117" i="30" s="1"/>
  <c r="H117" i="30" s="1"/>
  <c r="L117" i="30" s="1"/>
  <c r="N117" i="30" s="1"/>
  <c r="N93" i="30"/>
  <c r="O29" i="30" l="1"/>
  <c r="K70" i="30"/>
  <c r="O27" i="30"/>
  <c r="Q27" i="30" s="1"/>
  <c r="R27" i="30" s="1"/>
  <c r="J99" i="43"/>
  <c r="L99" i="43" s="1"/>
  <c r="N99" i="43" s="1"/>
  <c r="K70" i="43"/>
  <c r="J105" i="43" s="1"/>
  <c r="L105" i="43" s="1"/>
  <c r="N105" i="43" s="1"/>
  <c r="J98" i="43"/>
  <c r="L98" i="43" s="1"/>
  <c r="N98" i="43" s="1"/>
  <c r="K66" i="43"/>
  <c r="J89" i="43" s="1"/>
  <c r="L89" i="43" s="1"/>
  <c r="N89" i="43" s="1"/>
  <c r="H59" i="43"/>
  <c r="E117" i="43" s="1"/>
  <c r="H117" i="43" s="1"/>
  <c r="L117" i="43" s="1"/>
  <c r="N117" i="43" s="1"/>
  <c r="J101" i="43"/>
  <c r="L101" i="43" s="1"/>
  <c r="N101" i="43" s="1"/>
  <c r="K76" i="43"/>
  <c r="J108" i="43" s="1"/>
  <c r="L108" i="43" s="1"/>
  <c r="N108" i="43" s="1"/>
  <c r="K74" i="43"/>
  <c r="J110" i="43" s="1"/>
  <c r="L110" i="43" s="1"/>
  <c r="N110" i="43" s="1"/>
  <c r="K66" i="30"/>
  <c r="J106" i="30"/>
  <c r="L106" i="30" s="1"/>
  <c r="N106" i="30" s="1"/>
  <c r="K76" i="30"/>
  <c r="J108" i="30" s="1"/>
  <c r="L108" i="30" s="1"/>
  <c r="N108" i="30" s="1"/>
  <c r="W15" i="18"/>
  <c r="W16" i="18" s="1"/>
  <c r="H48" i="18" s="1"/>
  <c r="L48" i="18" s="1"/>
  <c r="N48" i="18" s="1"/>
  <c r="W14" i="18"/>
  <c r="C52" i="18" s="1"/>
  <c r="C125" i="47" s="1"/>
  <c r="D52" i="18"/>
  <c r="F52" i="18" s="1"/>
  <c r="F125" i="47" s="1"/>
  <c r="P29" i="30"/>
  <c r="Q29" i="30" s="1"/>
  <c r="R29" i="30" s="1"/>
  <c r="J99" i="30"/>
  <c r="L99" i="30" s="1"/>
  <c r="N99" i="30" s="1"/>
  <c r="J98" i="30"/>
  <c r="L98" i="30" s="1"/>
  <c r="N98" i="30" s="1"/>
  <c r="J101" i="30"/>
  <c r="L101" i="30" s="1"/>
  <c r="N101" i="30" s="1"/>
  <c r="J100" i="30"/>
  <c r="L100" i="30" s="1"/>
  <c r="N100" i="30" s="1"/>
  <c r="Q30" i="30"/>
  <c r="R30" i="30" s="1"/>
  <c r="P28" i="30"/>
  <c r="Q28" i="30" s="1"/>
  <c r="R28" i="30" s="1"/>
  <c r="P31" i="30"/>
  <c r="Q31" i="30" s="1"/>
  <c r="R31" i="30" s="1"/>
  <c r="C122" i="43"/>
  <c r="C122" i="30"/>
  <c r="H60" i="30"/>
  <c r="P28" i="43"/>
  <c r="Q28" i="43" s="1"/>
  <c r="R28" i="43" s="1"/>
  <c r="Q30" i="43"/>
  <c r="R30" i="43" s="1"/>
  <c r="P31" i="43"/>
  <c r="Q31" i="43" s="1"/>
  <c r="R31" i="43" s="1"/>
  <c r="P27" i="43"/>
  <c r="Q27" i="43" s="1"/>
  <c r="R27" i="43" s="1"/>
  <c r="P29" i="43"/>
  <c r="Q29" i="43" s="1"/>
  <c r="R29" i="43" s="1"/>
  <c r="E118" i="43" l="1"/>
  <c r="H118" i="43" s="1"/>
  <c r="L118" i="43" s="1"/>
  <c r="F106" i="47"/>
  <c r="J105" i="30"/>
  <c r="L105" i="30" s="1"/>
  <c r="N105" i="30" s="1"/>
  <c r="J104" i="30"/>
  <c r="L104" i="30" s="1"/>
  <c r="N104" i="30" s="1"/>
  <c r="C123" i="30"/>
  <c r="F99" i="47"/>
  <c r="J103" i="30"/>
  <c r="L103" i="30" s="1"/>
  <c r="N103" i="30" s="1"/>
  <c r="J106" i="43"/>
  <c r="L106" i="43" s="1"/>
  <c r="N106" i="43" s="1"/>
  <c r="J103" i="43"/>
  <c r="L103" i="43" s="1"/>
  <c r="N103" i="43" s="1"/>
  <c r="J90" i="43"/>
  <c r="L90" i="43" s="1"/>
  <c r="N90" i="43" s="1"/>
  <c r="H60" i="43"/>
  <c r="J104" i="43"/>
  <c r="L104" i="43" s="1"/>
  <c r="N104" i="43" s="1"/>
  <c r="H122" i="43"/>
  <c r="H123" i="43" s="1"/>
  <c r="J89" i="30"/>
  <c r="L89" i="30" s="1"/>
  <c r="N89" i="30" s="1"/>
  <c r="J90" i="30"/>
  <c r="L90" i="30" s="1"/>
  <c r="N90" i="30" s="1"/>
  <c r="C125" i="42"/>
  <c r="C53" i="18"/>
  <c r="C126" i="47" s="1"/>
  <c r="N53" i="18"/>
  <c r="O53" i="18" s="1"/>
  <c r="N51" i="18" s="1"/>
  <c r="F53" i="18"/>
  <c r="F126" i="47" s="1"/>
  <c r="F125" i="42"/>
  <c r="F106" i="42"/>
  <c r="C123" i="43"/>
  <c r="C125" i="43"/>
  <c r="B23" i="38"/>
  <c r="F99" i="42"/>
  <c r="C124" i="30"/>
  <c r="H122" i="30"/>
  <c r="B18" i="38"/>
  <c r="C125" i="30"/>
  <c r="E118" i="30"/>
  <c r="H118" i="30" s="1"/>
  <c r="L118" i="30" s="1"/>
  <c r="S101" i="30"/>
  <c r="S99" i="30"/>
  <c r="S112" i="30"/>
  <c r="S118" i="30"/>
  <c r="S89" i="30"/>
  <c r="S95" i="30"/>
  <c r="S110" i="30"/>
  <c r="S108" i="30"/>
  <c r="S106" i="30"/>
  <c r="S100" i="30"/>
  <c r="S116" i="30"/>
  <c r="S104" i="30"/>
  <c r="S115" i="30"/>
  <c r="S111" i="30"/>
  <c r="S117" i="30"/>
  <c r="N118" i="43"/>
  <c r="N119" i="43" s="1"/>
  <c r="S111" i="43"/>
  <c r="S117" i="43"/>
  <c r="S112" i="43"/>
  <c r="S95" i="43"/>
  <c r="S103" i="43"/>
  <c r="S116" i="43"/>
  <c r="S115" i="43"/>
  <c r="S108" i="43"/>
  <c r="S118" i="43"/>
  <c r="S94" i="43"/>
  <c r="S101" i="43"/>
  <c r="S106" i="43"/>
  <c r="S100" i="43"/>
  <c r="S98" i="43"/>
  <c r="S99" i="43"/>
  <c r="S93" i="43"/>
  <c r="S89" i="43"/>
  <c r="S109" i="43"/>
  <c r="S105" i="43"/>
  <c r="S110" i="43"/>
  <c r="F109" i="42" l="1"/>
  <c r="F109" i="47"/>
  <c r="S103" i="30"/>
  <c r="B16" i="38"/>
  <c r="B17" i="38" s="1"/>
  <c r="F101" i="47"/>
  <c r="C124" i="43"/>
  <c r="F108" i="47" s="1"/>
  <c r="F107" i="47"/>
  <c r="S90" i="30"/>
  <c r="F102" i="42"/>
  <c r="F102" i="47"/>
  <c r="F100" i="42"/>
  <c r="F100" i="47"/>
  <c r="S104" i="43"/>
  <c r="E6" i="38"/>
  <c r="S90" i="43"/>
  <c r="I122" i="43"/>
  <c r="F107" i="42"/>
  <c r="C126" i="42"/>
  <c r="D53" i="18"/>
  <c r="D54" i="18" s="1"/>
  <c r="C54" i="18"/>
  <c r="F126" i="42"/>
  <c r="F54" i="18"/>
  <c r="F101" i="42"/>
  <c r="H123" i="30"/>
  <c r="E5" i="38"/>
  <c r="I122" i="30"/>
  <c r="N118" i="30"/>
  <c r="N119" i="30" s="1"/>
  <c r="S94" i="30"/>
  <c r="S98" i="30"/>
  <c r="S109" i="30"/>
  <c r="S93" i="30"/>
  <c r="M126" i="30" s="1"/>
  <c r="N125" i="30" s="1"/>
  <c r="E122" i="30" s="1"/>
  <c r="N120" i="30" s="1"/>
  <c r="S105" i="30"/>
  <c r="R118" i="43"/>
  <c r="R112" i="43"/>
  <c r="R115" i="43"/>
  <c r="R108" i="43"/>
  <c r="R94" i="43"/>
  <c r="R90" i="43"/>
  <c r="R105" i="43"/>
  <c r="R116" i="43"/>
  <c r="R104" i="43"/>
  <c r="D122" i="43"/>
  <c r="R98" i="43"/>
  <c r="R101" i="43"/>
  <c r="R117" i="43"/>
  <c r="R109" i="43"/>
  <c r="N121" i="43"/>
  <c r="R103" i="43"/>
  <c r="R106" i="43"/>
  <c r="R89" i="43"/>
  <c r="R111" i="43"/>
  <c r="R93" i="43"/>
  <c r="R110" i="43"/>
  <c r="R99" i="43"/>
  <c r="R100" i="43"/>
  <c r="R95" i="43"/>
  <c r="M126" i="43"/>
  <c r="N125" i="43" s="1"/>
  <c r="E122" i="43" s="1"/>
  <c r="N120" i="43" s="1"/>
  <c r="B21" i="38"/>
  <c r="B22" i="38" s="1"/>
  <c r="F108" i="42"/>
  <c r="I123" i="43"/>
  <c r="H124" i="43"/>
  <c r="C127" i="42" l="1"/>
  <c r="C127" i="47"/>
  <c r="J106" i="42"/>
  <c r="J106" i="47"/>
  <c r="J99" i="42"/>
  <c r="J99" i="47"/>
  <c r="F127" i="42"/>
  <c r="F127" i="47"/>
  <c r="J107" i="42"/>
  <c r="J107" i="47"/>
  <c r="R116" i="30"/>
  <c r="R89" i="30"/>
  <c r="R117" i="30"/>
  <c r="R108" i="30"/>
  <c r="R103" i="30"/>
  <c r="R106" i="30"/>
  <c r="R93" i="30"/>
  <c r="R94" i="30"/>
  <c r="R101" i="30"/>
  <c r="R118" i="30"/>
  <c r="R115" i="30"/>
  <c r="R109" i="30"/>
  <c r="D122" i="30"/>
  <c r="R105" i="30"/>
  <c r="R111" i="30"/>
  <c r="R104" i="30"/>
  <c r="R95" i="30"/>
  <c r="R112" i="30"/>
  <c r="R90" i="30"/>
  <c r="R99" i="30"/>
  <c r="N121" i="30"/>
  <c r="R110" i="30"/>
  <c r="R98" i="30"/>
  <c r="R100" i="30"/>
  <c r="H124" i="30"/>
  <c r="I123" i="30"/>
  <c r="H125" i="43"/>
  <c r="I124" i="43"/>
  <c r="J108" i="47" s="1"/>
  <c r="M124" i="43"/>
  <c r="L124" i="43"/>
  <c r="R119" i="43"/>
  <c r="F122" i="43"/>
  <c r="H106" i="47" s="1"/>
  <c r="D123" i="43"/>
  <c r="J100" i="42" l="1"/>
  <c r="J100" i="47"/>
  <c r="R119" i="30"/>
  <c r="I124" i="30"/>
  <c r="J101" i="47" s="1"/>
  <c r="H125" i="30"/>
  <c r="L124" i="30"/>
  <c r="M124" i="30"/>
  <c r="D123" i="30"/>
  <c r="F122" i="30"/>
  <c r="H99" i="47" s="1"/>
  <c r="F6" i="38"/>
  <c r="H106" i="42"/>
  <c r="J108" i="42"/>
  <c r="I125" i="43"/>
  <c r="F123" i="43"/>
  <c r="D124" i="43"/>
  <c r="H107" i="42" l="1"/>
  <c r="H107" i="47"/>
  <c r="J109" i="42"/>
  <c r="J109" i="47"/>
  <c r="H99" i="42"/>
  <c r="F5" i="38"/>
  <c r="D124" i="30"/>
  <c r="F123" i="30"/>
  <c r="J101" i="42"/>
  <c r="I125" i="30"/>
  <c r="G11" i="38"/>
  <c r="H11" i="38" s="1"/>
  <c r="G13" i="38"/>
  <c r="H13" i="38" s="1"/>
  <c r="I13" i="38" s="1"/>
  <c r="D125" i="43"/>
  <c r="F125" i="43" s="1"/>
  <c r="F124" i="43"/>
  <c r="I11" i="38" l="1"/>
  <c r="K106" i="42" s="1"/>
  <c r="K106" i="47"/>
  <c r="J102" i="42"/>
  <c r="J102" i="47"/>
  <c r="H100" i="42"/>
  <c r="H100" i="47"/>
  <c r="H108" i="42"/>
  <c r="H108" i="47"/>
  <c r="H109" i="42"/>
  <c r="H109" i="47"/>
  <c r="D125" i="30"/>
  <c r="F125" i="30" s="1"/>
  <c r="F124" i="30"/>
  <c r="G5" i="38"/>
  <c r="H5" i="38" s="1"/>
  <c r="G7" i="38"/>
  <c r="H7" i="38" s="1"/>
  <c r="I7" i="38" s="1"/>
  <c r="T57" i="43"/>
  <c r="G14" i="38"/>
  <c r="H101" i="42" l="1"/>
  <c r="H101" i="47"/>
  <c r="H102" i="42"/>
  <c r="H102" i="47"/>
  <c r="I5" i="38"/>
  <c r="T57" i="30" s="1"/>
  <c r="K99" i="47" l="1"/>
  <c r="G8" i="38"/>
  <c r="K99" i="42"/>
</calcChain>
</file>

<file path=xl/comments1.xml><?xml version="1.0" encoding="utf-8"?>
<comments xmlns="http://schemas.openxmlformats.org/spreadsheetml/2006/main">
  <authors>
    <author>STIVINSON</author>
    <author>tc={F4C78DFD-55AB-4778-B6B3-60BA6BB83573}</author>
    <author>tc={F701700C-9BD6-4B93-BF55-099B5E101711}</author>
  </authors>
  <commentList>
    <comment ref="M29" authorId="0" shapeId="0">
      <text>
        <r>
          <rPr>
            <b/>
            <sz val="9"/>
            <color indexed="81"/>
            <rFont val="Tahoma"/>
            <family val="2"/>
          </rPr>
          <t xml:space="preserve">CERTIFICADO: INM RVP # 5053 - 2020-12-17 </t>
        </r>
        <r>
          <rPr>
            <sz val="9"/>
            <color indexed="81"/>
            <rFont val="Tahoma"/>
            <family val="2"/>
          </rPr>
          <t xml:space="preserve">
</t>
        </r>
      </text>
    </comment>
    <comment ref="N29" authorId="0" shapeId="0">
      <text>
        <r>
          <rPr>
            <b/>
            <sz val="9"/>
            <color indexed="81"/>
            <rFont val="Tahoma"/>
            <family val="2"/>
          </rPr>
          <t>CERTIFICADO: INM  # 6385 2022-11-23 INM  # 3692 2018-11-06</t>
        </r>
        <r>
          <rPr>
            <sz val="9"/>
            <color indexed="81"/>
            <rFont val="Tahoma"/>
            <family val="2"/>
          </rPr>
          <t xml:space="preserve">
</t>
        </r>
      </text>
    </comment>
    <comment ref="Q3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r>
      </text>
    </comment>
    <comment ref="H71"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r>
      </text>
    </comment>
    <comment ref="N142" authorId="0" shapeId="0">
      <text>
        <r>
          <rPr>
            <sz val="9"/>
            <color indexed="81"/>
            <rFont val="Tahoma"/>
            <family val="2"/>
          </rPr>
          <t>punto de calibración al 10% según certificado</t>
        </r>
      </text>
    </comment>
    <comment ref="O142" authorId="0" shapeId="0">
      <text>
        <r>
          <rPr>
            <b/>
            <sz val="9"/>
            <color indexed="81"/>
            <rFont val="Tahoma"/>
            <family val="2"/>
          </rPr>
          <t>punto de calibración al 10% según certificado</t>
        </r>
        <r>
          <rPr>
            <sz val="9"/>
            <color indexed="81"/>
            <rFont val="Tahoma"/>
            <family val="2"/>
          </rPr>
          <t xml:space="preserve">
</t>
        </r>
      </text>
    </comment>
    <comment ref="Q142" authorId="0" shapeId="0">
      <text>
        <r>
          <rPr>
            <b/>
            <sz val="9"/>
            <color indexed="81"/>
            <rFont val="Tahoma"/>
            <family val="2"/>
          </rPr>
          <t>punto de calibración al 50% según certificado</t>
        </r>
        <r>
          <rPr>
            <sz val="9"/>
            <color indexed="81"/>
            <rFont val="Tahoma"/>
            <family val="2"/>
          </rPr>
          <t xml:space="preserve">
</t>
        </r>
      </text>
    </comment>
    <comment ref="R142" authorId="0" shapeId="0">
      <text>
        <r>
          <rPr>
            <b/>
            <sz val="9"/>
            <color indexed="81"/>
            <rFont val="Tahoma"/>
            <family val="2"/>
          </rPr>
          <t>punto de calibración al 50% según certificado</t>
        </r>
        <r>
          <rPr>
            <sz val="9"/>
            <color indexed="81"/>
            <rFont val="Tahoma"/>
            <family val="2"/>
          </rPr>
          <t xml:space="preserve">
</t>
        </r>
      </text>
    </comment>
    <comment ref="T142" authorId="0" shapeId="0">
      <text>
        <r>
          <rPr>
            <b/>
            <sz val="9"/>
            <color indexed="81"/>
            <rFont val="Tahoma"/>
            <family val="2"/>
          </rPr>
          <t>punto de calibración al 100% según certificado</t>
        </r>
        <r>
          <rPr>
            <sz val="9"/>
            <color indexed="81"/>
            <rFont val="Tahoma"/>
            <family val="2"/>
          </rPr>
          <t xml:space="preserve">
</t>
        </r>
      </text>
    </comment>
    <comment ref="U142" authorId="0" shapeId="0">
      <text>
        <r>
          <rPr>
            <b/>
            <sz val="9"/>
            <color indexed="81"/>
            <rFont val="Tahoma"/>
            <family val="2"/>
          </rPr>
          <t>punto de calibración al 100% según certificado</t>
        </r>
        <r>
          <rPr>
            <sz val="9"/>
            <color indexed="81"/>
            <rFont val="Tahoma"/>
            <family val="2"/>
          </rPr>
          <t xml:space="preserve">
</t>
        </r>
      </text>
    </comment>
    <comment ref="R154" authorId="0" shapeId="0">
      <text>
        <r>
          <rPr>
            <sz val="9"/>
            <color indexed="81"/>
            <rFont val="Tahoma"/>
            <family val="2"/>
          </rPr>
          <t>punto de calibración al 10% según certificado</t>
        </r>
      </text>
    </comment>
    <comment ref="S154" authorId="0" shapeId="0">
      <text>
        <r>
          <rPr>
            <b/>
            <sz val="9"/>
            <color indexed="81"/>
            <rFont val="Tahoma"/>
            <family val="2"/>
          </rPr>
          <t>punto de calibración al 10% según certificado</t>
        </r>
        <r>
          <rPr>
            <sz val="9"/>
            <color indexed="81"/>
            <rFont val="Tahoma"/>
            <family val="2"/>
          </rPr>
          <t xml:space="preserve">
</t>
        </r>
      </text>
    </comment>
    <comment ref="U154" authorId="0" shapeId="0">
      <text>
        <r>
          <rPr>
            <b/>
            <sz val="9"/>
            <color indexed="81"/>
            <rFont val="Tahoma"/>
            <family val="2"/>
          </rPr>
          <t>punto de calibración al 50% según certificado</t>
        </r>
        <r>
          <rPr>
            <sz val="9"/>
            <color indexed="81"/>
            <rFont val="Tahoma"/>
            <family val="2"/>
          </rPr>
          <t xml:space="preserve">
</t>
        </r>
      </text>
    </comment>
    <comment ref="V154" authorId="0" shapeId="0">
      <text>
        <r>
          <rPr>
            <b/>
            <sz val="9"/>
            <color indexed="81"/>
            <rFont val="Tahoma"/>
            <family val="2"/>
          </rPr>
          <t>punto de calibración al 50% según certificado</t>
        </r>
        <r>
          <rPr>
            <sz val="9"/>
            <color indexed="81"/>
            <rFont val="Tahoma"/>
            <family val="2"/>
          </rPr>
          <t xml:space="preserve">
</t>
        </r>
      </text>
    </comment>
    <comment ref="X154" authorId="0" shapeId="0">
      <text>
        <r>
          <rPr>
            <b/>
            <sz val="9"/>
            <color indexed="81"/>
            <rFont val="Tahoma"/>
            <family val="2"/>
          </rPr>
          <t>punto de calibración al 100% según certificado</t>
        </r>
        <r>
          <rPr>
            <sz val="9"/>
            <color indexed="81"/>
            <rFont val="Tahoma"/>
            <family val="2"/>
          </rPr>
          <t xml:space="preserve">
</t>
        </r>
      </text>
    </comment>
    <comment ref="Y154" authorId="0" shape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shapeId="0">
      <text>
        <r>
          <rPr>
            <b/>
            <sz val="9"/>
            <color indexed="81"/>
            <rFont val="Tahoma"/>
            <family val="2"/>
          </rPr>
          <t>ecuación 15 Euramet cg-21</t>
        </r>
        <r>
          <rPr>
            <sz val="9"/>
            <color indexed="81"/>
            <rFont val="Tahoma"/>
            <family val="2"/>
          </rPr>
          <t xml:space="preserve">
</t>
        </r>
      </text>
    </comment>
    <comment ref="B68" authorId="0" shapeId="0">
      <text>
        <r>
          <rPr>
            <b/>
            <sz val="9"/>
            <color indexed="81"/>
            <rFont val="Tahoma"/>
            <family val="2"/>
          </rPr>
          <t xml:space="preserve">ecuación 16  Euramet cg-21
</t>
        </r>
        <r>
          <rPr>
            <sz val="9"/>
            <color indexed="81"/>
            <rFont val="Tahoma"/>
            <family val="2"/>
          </rPr>
          <t xml:space="preserve">
</t>
        </r>
      </text>
    </comment>
    <comment ref="B70" authorId="0" shapeId="0">
      <text>
        <r>
          <rPr>
            <b/>
            <sz val="9"/>
            <color indexed="81"/>
            <rFont val="Tahoma"/>
            <family val="2"/>
          </rPr>
          <t xml:space="preserve">ecuación 17 Euramet cg-21
</t>
        </r>
      </text>
    </comment>
    <comment ref="B72" authorId="0" shapeId="0">
      <text>
        <r>
          <rPr>
            <b/>
            <sz val="9"/>
            <color indexed="81"/>
            <rFont val="Tahoma"/>
            <family val="2"/>
          </rPr>
          <t xml:space="preserve">ecuación 18 Euramet cg-21
</t>
        </r>
      </text>
    </comment>
    <comment ref="B74" authorId="0" shapeId="0">
      <text>
        <r>
          <rPr>
            <b/>
            <sz val="9"/>
            <color indexed="81"/>
            <rFont val="Tahoma"/>
            <family val="2"/>
          </rPr>
          <t xml:space="preserve">ecuación 19 Euramet cg-21
</t>
        </r>
      </text>
    </comment>
    <comment ref="B76" authorId="0" shapeId="0">
      <text>
        <r>
          <rPr>
            <b/>
            <sz val="9"/>
            <color indexed="81"/>
            <rFont val="Tahoma"/>
            <family val="2"/>
          </rPr>
          <t xml:space="preserve">ecuación 20 Euramet cg-21
</t>
        </r>
      </text>
    </comment>
    <comment ref="B78" authorId="0" shapeId="0">
      <text>
        <r>
          <rPr>
            <b/>
            <sz val="9"/>
            <color indexed="81"/>
            <rFont val="Tahoma"/>
            <family val="2"/>
          </rPr>
          <t xml:space="preserve">ecuación 21 Euramet cg-21
</t>
        </r>
      </text>
    </comment>
    <comment ref="B80" authorId="0" shapeId="0">
      <text>
        <r>
          <rPr>
            <b/>
            <sz val="9"/>
            <color indexed="81"/>
            <rFont val="Tahoma"/>
            <family val="2"/>
          </rPr>
          <t xml:space="preserve">ecuación 22 Euramet cg-21
</t>
        </r>
      </text>
    </comment>
    <comment ref="B82" authorId="0" shapeId="0">
      <text>
        <r>
          <rPr>
            <b/>
            <sz val="9"/>
            <color indexed="81"/>
            <rFont val="Tahoma"/>
            <family val="2"/>
          </rPr>
          <t xml:space="preserve">ecuación 23 Euramet cg-21
</t>
        </r>
      </text>
    </comment>
    <comment ref="B89" authorId="0" shapeId="0">
      <text>
        <r>
          <rPr>
            <b/>
            <sz val="9"/>
            <color indexed="81"/>
            <rFont val="Tahoma"/>
            <family val="2"/>
          </rPr>
          <t>numeral: 6.3.3.1 ecuación (5)</t>
        </r>
        <r>
          <rPr>
            <sz val="9"/>
            <color indexed="81"/>
            <rFont val="Tahoma"/>
            <family val="2"/>
          </rPr>
          <t xml:space="preserve">
Euramet cg-21</t>
        </r>
      </text>
    </comment>
    <comment ref="B90" authorId="0" shapeId="0">
      <text>
        <r>
          <rPr>
            <b/>
            <sz val="9"/>
            <color indexed="81"/>
            <rFont val="Tahoma"/>
            <family val="2"/>
          </rPr>
          <t>numeral:6.3.3.1 ecuación (7)</t>
        </r>
        <r>
          <rPr>
            <sz val="9"/>
            <color indexed="81"/>
            <rFont val="Tahoma"/>
            <family val="2"/>
          </rPr>
          <t xml:space="preserve">
Euramet cg-21</t>
        </r>
      </text>
    </comment>
    <comment ref="B97" authorId="0" shapeId="0">
      <text>
        <r>
          <rPr>
            <b/>
            <sz val="9"/>
            <color indexed="81"/>
            <rFont val="Tahoma"/>
            <family val="2"/>
          </rPr>
          <t>Numeral:6.3.3.2</t>
        </r>
        <r>
          <rPr>
            <sz val="9"/>
            <color indexed="81"/>
            <rFont val="Tahoma"/>
            <family val="2"/>
          </rPr>
          <t xml:space="preserve">
Euramet cg-21</t>
        </r>
      </text>
    </comment>
    <comment ref="B98" authorId="0" shapeId="0">
      <text>
        <r>
          <rPr>
            <b/>
            <sz val="9"/>
            <color indexed="81"/>
            <rFont val="Tahoma"/>
            <family val="2"/>
          </rPr>
          <t>numeral:6.3.3.2</t>
        </r>
        <r>
          <rPr>
            <sz val="9"/>
            <color indexed="81"/>
            <rFont val="Tahoma"/>
            <family val="2"/>
          </rPr>
          <t xml:space="preserve">
Euramet cg-21</t>
        </r>
      </text>
    </comment>
    <comment ref="B99" authorId="0" shapeId="0">
      <text>
        <r>
          <rPr>
            <b/>
            <sz val="9"/>
            <color indexed="81"/>
            <rFont val="Tahoma"/>
            <family val="2"/>
          </rPr>
          <t>Numeral:6.3.3.2</t>
        </r>
        <r>
          <rPr>
            <sz val="9"/>
            <color indexed="81"/>
            <rFont val="Tahoma"/>
            <family val="2"/>
          </rPr>
          <t xml:space="preserve">
Euramet cg-21</t>
        </r>
      </text>
    </comment>
    <comment ref="B100" authorId="0" shapeId="0">
      <text>
        <r>
          <rPr>
            <b/>
            <sz val="9"/>
            <color indexed="81"/>
            <rFont val="Tahoma"/>
            <family val="2"/>
          </rPr>
          <t>numeral:6.3.3.2</t>
        </r>
        <r>
          <rPr>
            <sz val="9"/>
            <color indexed="81"/>
            <rFont val="Tahoma"/>
            <family val="2"/>
          </rPr>
          <t xml:space="preserve">
Euramet cg-21</t>
        </r>
      </text>
    </comment>
    <comment ref="B101" authorId="0" shapeId="0">
      <text>
        <r>
          <rPr>
            <b/>
            <sz val="9"/>
            <color indexed="81"/>
            <rFont val="Tahoma"/>
            <family val="2"/>
          </rPr>
          <t>numeral:6.3.3.2</t>
        </r>
        <r>
          <rPr>
            <sz val="9"/>
            <color indexed="81"/>
            <rFont val="Tahoma"/>
            <family val="2"/>
          </rPr>
          <t xml:space="preserve">
Euramet cg-21</t>
        </r>
      </text>
    </comment>
    <comment ref="B102" authorId="0" shapeId="0">
      <text>
        <r>
          <rPr>
            <b/>
            <sz val="9"/>
            <color indexed="81"/>
            <rFont val="Tahoma"/>
            <family val="2"/>
          </rPr>
          <t>Numeral:6.3.3.3</t>
        </r>
        <r>
          <rPr>
            <sz val="9"/>
            <color indexed="81"/>
            <rFont val="Tahoma"/>
            <family val="2"/>
          </rPr>
          <t xml:space="preserve">
Euramet cg-21</t>
        </r>
      </text>
    </comment>
    <comment ref="B103" authorId="0" shapeId="0">
      <text>
        <r>
          <rPr>
            <b/>
            <sz val="9"/>
            <color indexed="81"/>
            <rFont val="Tahoma"/>
            <family val="2"/>
          </rPr>
          <t>numeral:6.3.3.3</t>
        </r>
        <r>
          <rPr>
            <sz val="9"/>
            <color indexed="81"/>
            <rFont val="Tahoma"/>
            <family val="2"/>
          </rPr>
          <t xml:space="preserve">
Euramet cg-21</t>
        </r>
      </text>
    </comment>
    <comment ref="B104" authorId="0" shapeId="0">
      <text>
        <r>
          <rPr>
            <b/>
            <sz val="9"/>
            <color indexed="81"/>
            <rFont val="Tahoma"/>
            <family val="2"/>
          </rPr>
          <t>numeral:6.3.3.3</t>
        </r>
        <r>
          <rPr>
            <sz val="9"/>
            <color indexed="81"/>
            <rFont val="Tahoma"/>
            <family val="2"/>
          </rPr>
          <t xml:space="preserve">
Euramet cg-21</t>
        </r>
      </text>
    </comment>
    <comment ref="B105" authorId="0" shapeId="0">
      <text>
        <r>
          <rPr>
            <b/>
            <sz val="9"/>
            <color indexed="81"/>
            <rFont val="Tahoma"/>
            <family val="2"/>
          </rPr>
          <t>numeral:6.3.3.3</t>
        </r>
        <r>
          <rPr>
            <sz val="9"/>
            <color indexed="81"/>
            <rFont val="Tahoma"/>
            <family val="2"/>
          </rPr>
          <t xml:space="preserve">
Euramet cg-21</t>
        </r>
      </text>
    </comment>
    <comment ref="B106" authorId="0" shapeId="0">
      <text>
        <r>
          <rPr>
            <b/>
            <sz val="9"/>
            <color indexed="81"/>
            <rFont val="Tahoma"/>
            <family val="2"/>
          </rPr>
          <t>numeral:6.3.3.3</t>
        </r>
        <r>
          <rPr>
            <sz val="9"/>
            <color indexed="81"/>
            <rFont val="Tahoma"/>
            <family val="2"/>
          </rPr>
          <t xml:space="preserve">
Euramet cg-21</t>
        </r>
      </text>
    </comment>
    <comment ref="B108" authorId="0" shapeId="0">
      <text>
        <r>
          <rPr>
            <b/>
            <sz val="9"/>
            <color indexed="81"/>
            <rFont val="Tahoma"/>
            <family val="2"/>
          </rPr>
          <t>numeral:6.3.3.5</t>
        </r>
        <r>
          <rPr>
            <sz val="9"/>
            <color indexed="81"/>
            <rFont val="Tahoma"/>
            <family val="2"/>
          </rPr>
          <t xml:space="preserve">
Euramet cg-21</t>
        </r>
      </text>
    </comment>
    <comment ref="B109" authorId="0" shapeId="0">
      <text>
        <r>
          <rPr>
            <b/>
            <sz val="9"/>
            <color indexed="81"/>
            <rFont val="Tahoma"/>
            <family val="2"/>
          </rPr>
          <t>numeral:6.3.3.4</t>
        </r>
        <r>
          <rPr>
            <sz val="9"/>
            <color indexed="81"/>
            <rFont val="Tahoma"/>
            <family val="2"/>
          </rPr>
          <t xml:space="preserve">
Euramet cg-21</t>
        </r>
      </text>
    </comment>
    <comment ref="B110" authorId="0" shapeId="0">
      <text>
        <r>
          <rPr>
            <b/>
            <sz val="9"/>
            <color indexed="81"/>
            <rFont val="Tahoma"/>
            <family val="2"/>
          </rPr>
          <t>numeral:6.3.3.4</t>
        </r>
        <r>
          <rPr>
            <sz val="9"/>
            <color indexed="81"/>
            <rFont val="Tahoma"/>
            <family val="2"/>
          </rPr>
          <t xml:space="preserve">
Euramet cg-21</t>
        </r>
      </text>
    </comment>
    <comment ref="B111" authorId="0" shapeId="0">
      <text>
        <r>
          <rPr>
            <b/>
            <sz val="9"/>
            <color indexed="81"/>
            <rFont val="Tahoma"/>
            <family val="2"/>
          </rPr>
          <t>numeral:6.3.3.4</t>
        </r>
        <r>
          <rPr>
            <sz val="9"/>
            <color indexed="81"/>
            <rFont val="Tahoma"/>
            <family val="2"/>
          </rPr>
          <t xml:space="preserve">
Euramet cg-21</t>
        </r>
      </text>
    </comment>
    <comment ref="B115" authorId="0" shapeId="0">
      <text>
        <r>
          <rPr>
            <b/>
            <sz val="9"/>
            <color indexed="81"/>
            <rFont val="Tahoma"/>
            <family val="2"/>
          </rPr>
          <t>numeral:6.3.3.6</t>
        </r>
        <r>
          <rPr>
            <sz val="9"/>
            <color indexed="81"/>
            <rFont val="Tahoma"/>
            <family val="2"/>
          </rPr>
          <t xml:space="preserve">
Euramet cg-21</t>
        </r>
      </text>
    </comment>
    <comment ref="B116" authorId="0" shapeId="0">
      <text>
        <r>
          <rPr>
            <b/>
            <sz val="9"/>
            <color indexed="81"/>
            <rFont val="Tahoma"/>
            <family val="2"/>
          </rPr>
          <t>numeral:6.3.3.6</t>
        </r>
        <r>
          <rPr>
            <sz val="9"/>
            <color indexed="81"/>
            <rFont val="Tahoma"/>
            <family val="2"/>
          </rPr>
          <t xml:space="preserve">
Euramet cg-21</t>
        </r>
      </text>
    </comment>
    <comment ref="B117" authorId="0" shapeId="0">
      <text>
        <r>
          <rPr>
            <b/>
            <sz val="9"/>
            <color indexed="81"/>
            <rFont val="Tahoma"/>
            <family val="2"/>
          </rPr>
          <t>numeral:6.3.3.8</t>
        </r>
        <r>
          <rPr>
            <sz val="9"/>
            <color indexed="81"/>
            <rFont val="Tahoma"/>
            <family val="2"/>
          </rPr>
          <t xml:space="preserve">
Euramet cg-21</t>
        </r>
      </text>
    </comment>
    <comment ref="B118" authorId="0" shape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66" authorId="0" shapeId="0">
      <text>
        <r>
          <rPr>
            <b/>
            <sz val="9"/>
            <color indexed="81"/>
            <rFont val="Tahoma"/>
            <family val="2"/>
          </rPr>
          <t>ecuación 15 Euramet cg-21</t>
        </r>
        <r>
          <rPr>
            <sz val="9"/>
            <color indexed="81"/>
            <rFont val="Tahoma"/>
            <family val="2"/>
          </rPr>
          <t xml:space="preserve">
</t>
        </r>
      </text>
    </comment>
    <comment ref="B68" authorId="0" shapeId="0">
      <text>
        <r>
          <rPr>
            <b/>
            <sz val="9"/>
            <color indexed="81"/>
            <rFont val="Tahoma"/>
            <family val="2"/>
          </rPr>
          <t xml:space="preserve">ecuación 16  Euramet cg-21
</t>
        </r>
        <r>
          <rPr>
            <sz val="9"/>
            <color indexed="81"/>
            <rFont val="Tahoma"/>
            <family val="2"/>
          </rPr>
          <t xml:space="preserve">
</t>
        </r>
      </text>
    </comment>
    <comment ref="B70" authorId="0" shapeId="0">
      <text>
        <r>
          <rPr>
            <b/>
            <sz val="9"/>
            <color indexed="81"/>
            <rFont val="Tahoma"/>
            <family val="2"/>
          </rPr>
          <t xml:space="preserve">ecuación 17 Euramet cg-21
</t>
        </r>
      </text>
    </comment>
    <comment ref="B72" authorId="0" shapeId="0">
      <text>
        <r>
          <rPr>
            <b/>
            <sz val="9"/>
            <color indexed="81"/>
            <rFont val="Tahoma"/>
            <family val="2"/>
          </rPr>
          <t xml:space="preserve">ecuación 18 Euramet cg-21
</t>
        </r>
      </text>
    </comment>
    <comment ref="B74" authorId="0" shapeId="0">
      <text>
        <r>
          <rPr>
            <b/>
            <sz val="9"/>
            <color indexed="81"/>
            <rFont val="Tahoma"/>
            <family val="2"/>
          </rPr>
          <t xml:space="preserve">ecuación 19 Euramet cg-21
</t>
        </r>
      </text>
    </comment>
    <comment ref="B76" authorId="0" shapeId="0">
      <text>
        <r>
          <rPr>
            <b/>
            <sz val="9"/>
            <color indexed="81"/>
            <rFont val="Tahoma"/>
            <family val="2"/>
          </rPr>
          <t xml:space="preserve">ecuación 20 Euramet cg-21
</t>
        </r>
      </text>
    </comment>
    <comment ref="B78" authorId="0" shapeId="0">
      <text>
        <r>
          <rPr>
            <b/>
            <sz val="9"/>
            <color indexed="81"/>
            <rFont val="Tahoma"/>
            <family val="2"/>
          </rPr>
          <t xml:space="preserve">ecuación 21 Euramet cg-21
</t>
        </r>
      </text>
    </comment>
    <comment ref="B80" authorId="0" shapeId="0">
      <text>
        <r>
          <rPr>
            <b/>
            <sz val="9"/>
            <color indexed="81"/>
            <rFont val="Tahoma"/>
            <family val="2"/>
          </rPr>
          <t xml:space="preserve">ecuación 22 Euramet cg-21
</t>
        </r>
      </text>
    </comment>
    <comment ref="B82" authorId="0" shapeId="0">
      <text>
        <r>
          <rPr>
            <b/>
            <sz val="9"/>
            <color indexed="81"/>
            <rFont val="Tahoma"/>
            <family val="2"/>
          </rPr>
          <t xml:space="preserve">ecuación 23 Euramet cg-21
</t>
        </r>
      </text>
    </comment>
    <comment ref="B89" authorId="0" shapeId="0">
      <text>
        <r>
          <rPr>
            <b/>
            <sz val="9"/>
            <color indexed="81"/>
            <rFont val="Tahoma"/>
            <family val="2"/>
          </rPr>
          <t>numeral: 6.3.3.1 ecuación (5)</t>
        </r>
        <r>
          <rPr>
            <sz val="9"/>
            <color indexed="81"/>
            <rFont val="Tahoma"/>
            <family val="2"/>
          </rPr>
          <t xml:space="preserve">
Euramet cg-21</t>
        </r>
      </text>
    </comment>
    <comment ref="B90" authorId="0" shapeId="0">
      <text>
        <r>
          <rPr>
            <b/>
            <sz val="9"/>
            <color indexed="81"/>
            <rFont val="Tahoma"/>
            <family val="2"/>
          </rPr>
          <t>numeral:6.3.3.1 ecuación (7)</t>
        </r>
        <r>
          <rPr>
            <sz val="9"/>
            <color indexed="81"/>
            <rFont val="Tahoma"/>
            <family val="2"/>
          </rPr>
          <t xml:space="preserve">
Euramet cg-21</t>
        </r>
      </text>
    </comment>
    <comment ref="B97" authorId="0" shapeId="0">
      <text>
        <r>
          <rPr>
            <b/>
            <sz val="9"/>
            <color indexed="81"/>
            <rFont val="Tahoma"/>
            <family val="2"/>
          </rPr>
          <t>Numeral:6.3.3.2</t>
        </r>
        <r>
          <rPr>
            <sz val="9"/>
            <color indexed="81"/>
            <rFont val="Tahoma"/>
            <family val="2"/>
          </rPr>
          <t xml:space="preserve">
Euramet cg-21</t>
        </r>
      </text>
    </comment>
    <comment ref="B98" authorId="0" shapeId="0">
      <text>
        <r>
          <rPr>
            <b/>
            <sz val="9"/>
            <color indexed="81"/>
            <rFont val="Tahoma"/>
            <family val="2"/>
          </rPr>
          <t>numeral:6.3.3.2</t>
        </r>
        <r>
          <rPr>
            <sz val="9"/>
            <color indexed="81"/>
            <rFont val="Tahoma"/>
            <family val="2"/>
          </rPr>
          <t xml:space="preserve">
Euramet cg-21</t>
        </r>
      </text>
    </comment>
    <comment ref="B99" authorId="0" shapeId="0">
      <text>
        <r>
          <rPr>
            <b/>
            <sz val="9"/>
            <color indexed="81"/>
            <rFont val="Tahoma"/>
            <family val="2"/>
          </rPr>
          <t>Numeral:6.3.3.2</t>
        </r>
        <r>
          <rPr>
            <sz val="9"/>
            <color indexed="81"/>
            <rFont val="Tahoma"/>
            <family val="2"/>
          </rPr>
          <t xml:space="preserve">
Euramet cg-21</t>
        </r>
      </text>
    </comment>
    <comment ref="B100" authorId="0" shapeId="0">
      <text>
        <r>
          <rPr>
            <b/>
            <sz val="9"/>
            <color indexed="81"/>
            <rFont val="Tahoma"/>
            <family val="2"/>
          </rPr>
          <t>numeral:6.3.3.2</t>
        </r>
        <r>
          <rPr>
            <sz val="9"/>
            <color indexed="81"/>
            <rFont val="Tahoma"/>
            <family val="2"/>
          </rPr>
          <t xml:space="preserve">
Euramet cg-21</t>
        </r>
      </text>
    </comment>
    <comment ref="B101" authorId="0" shapeId="0">
      <text>
        <r>
          <rPr>
            <b/>
            <sz val="9"/>
            <color indexed="81"/>
            <rFont val="Tahoma"/>
            <family val="2"/>
          </rPr>
          <t>numeral:6.3.3.2</t>
        </r>
        <r>
          <rPr>
            <sz val="9"/>
            <color indexed="81"/>
            <rFont val="Tahoma"/>
            <family val="2"/>
          </rPr>
          <t xml:space="preserve">
Euramet cg-21</t>
        </r>
      </text>
    </comment>
    <comment ref="B102" authorId="0" shapeId="0">
      <text>
        <r>
          <rPr>
            <b/>
            <sz val="9"/>
            <color indexed="81"/>
            <rFont val="Tahoma"/>
            <family val="2"/>
          </rPr>
          <t>Numeral:6.3.3.3</t>
        </r>
        <r>
          <rPr>
            <sz val="9"/>
            <color indexed="81"/>
            <rFont val="Tahoma"/>
            <family val="2"/>
          </rPr>
          <t xml:space="preserve">
Euramet cg-21</t>
        </r>
      </text>
    </comment>
    <comment ref="B103" authorId="0" shapeId="0">
      <text>
        <r>
          <rPr>
            <b/>
            <sz val="9"/>
            <color indexed="81"/>
            <rFont val="Tahoma"/>
            <family val="2"/>
          </rPr>
          <t>numeral:6.3.3.3</t>
        </r>
        <r>
          <rPr>
            <sz val="9"/>
            <color indexed="81"/>
            <rFont val="Tahoma"/>
            <family val="2"/>
          </rPr>
          <t xml:space="preserve">
Euramet cg-21</t>
        </r>
      </text>
    </comment>
    <comment ref="B104" authorId="0" shapeId="0">
      <text>
        <r>
          <rPr>
            <b/>
            <sz val="9"/>
            <color indexed="81"/>
            <rFont val="Tahoma"/>
            <family val="2"/>
          </rPr>
          <t>numeral:6.3.3.3</t>
        </r>
        <r>
          <rPr>
            <sz val="9"/>
            <color indexed="81"/>
            <rFont val="Tahoma"/>
            <family val="2"/>
          </rPr>
          <t xml:space="preserve">
Euramet cg-21</t>
        </r>
      </text>
    </comment>
    <comment ref="B105" authorId="0" shapeId="0">
      <text>
        <r>
          <rPr>
            <b/>
            <sz val="9"/>
            <color indexed="81"/>
            <rFont val="Tahoma"/>
            <family val="2"/>
          </rPr>
          <t>numeral:6.3.3.3</t>
        </r>
        <r>
          <rPr>
            <sz val="9"/>
            <color indexed="81"/>
            <rFont val="Tahoma"/>
            <family val="2"/>
          </rPr>
          <t xml:space="preserve">
Euramet cg-21</t>
        </r>
      </text>
    </comment>
    <comment ref="B106" authorId="0" shapeId="0">
      <text>
        <r>
          <rPr>
            <b/>
            <sz val="9"/>
            <color indexed="81"/>
            <rFont val="Tahoma"/>
            <family val="2"/>
          </rPr>
          <t>numeral:6.3.3.3</t>
        </r>
        <r>
          <rPr>
            <sz val="9"/>
            <color indexed="81"/>
            <rFont val="Tahoma"/>
            <family val="2"/>
          </rPr>
          <t xml:space="preserve">
Euramet cg-21</t>
        </r>
      </text>
    </comment>
    <comment ref="B108" authorId="0" shapeId="0">
      <text>
        <r>
          <rPr>
            <b/>
            <sz val="9"/>
            <color indexed="81"/>
            <rFont val="Tahoma"/>
            <family val="2"/>
          </rPr>
          <t>numeral:6.3.3.5</t>
        </r>
        <r>
          <rPr>
            <sz val="9"/>
            <color indexed="81"/>
            <rFont val="Tahoma"/>
            <family val="2"/>
          </rPr>
          <t xml:space="preserve">
Euramet cg-21</t>
        </r>
      </text>
    </comment>
    <comment ref="B109" authorId="0" shapeId="0">
      <text>
        <r>
          <rPr>
            <b/>
            <sz val="9"/>
            <color indexed="81"/>
            <rFont val="Tahoma"/>
            <family val="2"/>
          </rPr>
          <t>numeral:6.3.3.4</t>
        </r>
        <r>
          <rPr>
            <sz val="9"/>
            <color indexed="81"/>
            <rFont val="Tahoma"/>
            <family val="2"/>
          </rPr>
          <t xml:space="preserve">
Euramet cg-21</t>
        </r>
      </text>
    </comment>
    <comment ref="B110" authorId="0" shapeId="0">
      <text>
        <r>
          <rPr>
            <b/>
            <sz val="9"/>
            <color indexed="81"/>
            <rFont val="Tahoma"/>
            <family val="2"/>
          </rPr>
          <t>numeral:6.3.3.4</t>
        </r>
        <r>
          <rPr>
            <sz val="9"/>
            <color indexed="81"/>
            <rFont val="Tahoma"/>
            <family val="2"/>
          </rPr>
          <t xml:space="preserve">
Euramet cg-21</t>
        </r>
      </text>
    </comment>
    <comment ref="B111" authorId="0" shapeId="0">
      <text>
        <r>
          <rPr>
            <b/>
            <sz val="9"/>
            <color indexed="81"/>
            <rFont val="Tahoma"/>
            <family val="2"/>
          </rPr>
          <t>numeral:6.3.3.4</t>
        </r>
        <r>
          <rPr>
            <sz val="9"/>
            <color indexed="81"/>
            <rFont val="Tahoma"/>
            <family val="2"/>
          </rPr>
          <t xml:space="preserve">
Euramet cg-21</t>
        </r>
      </text>
    </comment>
    <comment ref="B115" authorId="0" shapeId="0">
      <text>
        <r>
          <rPr>
            <b/>
            <sz val="9"/>
            <color indexed="81"/>
            <rFont val="Tahoma"/>
            <family val="2"/>
          </rPr>
          <t>numeral:6.3.3.6</t>
        </r>
        <r>
          <rPr>
            <sz val="9"/>
            <color indexed="81"/>
            <rFont val="Tahoma"/>
            <family val="2"/>
          </rPr>
          <t xml:space="preserve">
Euramet cg-21</t>
        </r>
      </text>
    </comment>
    <comment ref="B116" authorId="0" shapeId="0">
      <text>
        <r>
          <rPr>
            <b/>
            <sz val="9"/>
            <color indexed="81"/>
            <rFont val="Tahoma"/>
            <family val="2"/>
          </rPr>
          <t>numeral:6.3.3.6</t>
        </r>
        <r>
          <rPr>
            <sz val="9"/>
            <color indexed="81"/>
            <rFont val="Tahoma"/>
            <family val="2"/>
          </rPr>
          <t xml:space="preserve">
Euramet cg-21</t>
        </r>
      </text>
    </comment>
    <comment ref="B117" authorId="0" shapeId="0">
      <text>
        <r>
          <rPr>
            <b/>
            <sz val="9"/>
            <color indexed="81"/>
            <rFont val="Tahoma"/>
            <family val="2"/>
          </rPr>
          <t>numeral:6.3.3.8</t>
        </r>
        <r>
          <rPr>
            <sz val="9"/>
            <color indexed="81"/>
            <rFont val="Tahoma"/>
            <family val="2"/>
          </rPr>
          <t xml:space="preserve">
Euramet cg-21</t>
        </r>
      </text>
    </comment>
    <comment ref="B118" authorId="0" shape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<sst xmlns="http://schemas.openxmlformats.org/spreadsheetml/2006/main" count="1942" uniqueCount="669">
  <si>
    <t xml:space="preserve">HOJA DE CÁLCULO PARA CALIBRACIÓN DE RECIPIENTES VOLUMÉTRICOS </t>
  </si>
  <si>
    <t>Información Inicial</t>
  </si>
  <si>
    <t>No</t>
  </si>
  <si>
    <t>Fecha de Recepción</t>
  </si>
  <si>
    <t>Lugar y Dirección de Calibración</t>
  </si>
  <si>
    <t>Fecha de calibración</t>
  </si>
  <si>
    <t>Solicitante</t>
  </si>
  <si>
    <t>Dirección del Solicitante</t>
  </si>
  <si>
    <t>Ciudad del Solicitante</t>
  </si>
  <si>
    <t>Metrólogos</t>
  </si>
  <si>
    <t>Bogotá D.C.</t>
  </si>
  <si>
    <t>Nombre del Metrólogo</t>
  </si>
  <si>
    <t>Laboratorio de calibración de masa y volumen, avenida carrera  50 # 26-55 Int 2,  piso 5.</t>
  </si>
  <si>
    <t>SC</t>
  </si>
  <si>
    <t>Stivinson Córdoba Sánchez</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</si>
  <si>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</si>
  <si>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</si>
  <si>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</si>
  <si>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</si>
  <si>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</si>
  <si>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</si>
  <si>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</si>
  <si>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</si>
  <si>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</si>
  <si>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</si>
  <si>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</si>
  <si>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</si>
  <si>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</si>
  <si>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</si>
  <si>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</si>
  <si>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</si>
  <si>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</si>
  <si>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</si>
  <si>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</si>
  <si>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</si>
  <si>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</si>
  <si>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</si>
  <si>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</si>
  <si>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</si>
  <si>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</si>
  <si>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</si>
  <si>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</si>
  <si>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</si>
  <si>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</si>
  <si>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</si>
  <si>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</si>
  <si>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</si>
  <si>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</si>
  <si>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</si>
  <si>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</si>
  <si>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E3</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</si>
  <si>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</si>
  <si>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</si>
  <si>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</si>
  <si>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</si>
  <si>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</si>
  <si>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</si>
  <si>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</si>
  <si>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</si>
  <si>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</si>
  <si>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</si>
  <si>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</si>
  <si>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</si>
  <si>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</si>
  <si>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</si>
  <si>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</si>
  <si>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</si>
  <si>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</si>
  <si>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</si>
  <si>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</si>
  <si>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</si>
  <si>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</si>
  <si>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</si>
  <si>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</si>
  <si>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</si>
  <si>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</si>
  <si>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</si>
  <si>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</si>
  <si>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</si>
  <si>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</si>
  <si>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</si>
  <si>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</si>
  <si>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</si>
  <si>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</si>
  <si>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</si>
  <si>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</si>
  <si>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</si>
  <si>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</si>
  <si>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</si>
  <si>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</si>
  <si>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</si>
  <si>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</si>
  <si>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</si>
  <si>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</si>
  <si>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</si>
  <si>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</si>
  <si>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</si>
  <si>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</si>
  <si>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</si>
  <si>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</si>
  <si>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</si>
  <si>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</si>
  <si>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</si>
  <si>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</si>
  <si>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</si>
  <si>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</si>
  <si>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</si>
  <si>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</si>
  <si>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</si>
  <si>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</si>
  <si>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</si>
  <si>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</si>
  <si>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</si>
  <si>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</si>
  <si>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</si>
  <si>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</si>
  <si>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</si>
  <si>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</si>
  <si>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</si>
  <si>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</si>
  <si>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</si>
  <si>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</si>
  <si>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</si>
  <si>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</si>
  <si>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</si>
  <si>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</si>
  <si>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</si>
  <si>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</si>
  <si>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</si>
  <si>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</si>
  <si>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</si>
  <si>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</si>
  <si>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</si>
  <si>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</si>
  <si>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</si>
  <si>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</si>
  <si>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</si>
  <si>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</si>
  <si>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</si>
  <si>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</si>
  <si>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</si>
  <si>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</si>
  <si>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</si>
  <si>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 hr</t>
  </si>
  <si>
    <t>Humedad</t>
  </si>
  <si>
    <t>Presión Atmosférica</t>
  </si>
  <si>
    <t>2021-05-31</t>
  </si>
  <si>
    <t xml:space="preserve">M-012  </t>
  </si>
  <si>
    <t>2020-06-18 / 2020-06-19/ 2020-05-29</t>
  </si>
  <si>
    <t>INM-4610, INM 4611 - INM 4625</t>
  </si>
  <si>
    <t xml:space="preserve">M-010 </t>
  </si>
  <si>
    <t>0,26.0714.0802.024</t>
  </si>
  <si>
    <t>M-010</t>
  </si>
  <si>
    <t>INM 2148</t>
  </si>
  <si>
    <t xml:space="preserve">M-013  </t>
  </si>
  <si>
    <t xml:space="preserve">2021-05-12 / 2021-05-13  / 2020-10-02 </t>
  </si>
  <si>
    <t>INM 4782- INM 4783 -  INM 4703</t>
  </si>
  <si>
    <t xml:space="preserve">M-011 </t>
  </si>
  <si>
    <t>0,22.0714.0802.024</t>
  </si>
  <si>
    <t>M-011</t>
  </si>
  <si>
    <t>INM 5239</t>
  </si>
  <si>
    <t>INM 1997</t>
  </si>
  <si>
    <t>INM 2147</t>
  </si>
  <si>
    <t>2020-06-18 2020-06-19- 2020-05-29</t>
  </si>
  <si>
    <t>INM 4608 - INM 4609 -   INM 4623</t>
  </si>
  <si>
    <t xml:space="preserve">M-012 </t>
  </si>
  <si>
    <t>2020-07-07 / 2020-07-08 / 2020-05-29</t>
  </si>
  <si>
    <t>INM-4627-INM 4628-INM 4624</t>
  </si>
  <si>
    <t xml:space="preserve">M-013 </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</si>
  <si>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</si>
  <si>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</si>
  <si>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</si>
  <si>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</si>
  <si>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</si>
  <si>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</si>
  <si>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</si>
  <si>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</si>
  <si>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</si>
  <si>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</si>
  <si>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</si>
  <si>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</si>
  <si>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</si>
  <si>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</si>
  <si>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</si>
  <si>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</si>
  <si>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</si>
  <si>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</si>
  <si>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</si>
  <si>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</si>
  <si>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</si>
  <si>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</si>
  <si>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</si>
  <si>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</si>
  <si>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</si>
  <si>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</si>
  <si>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</si>
  <si>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</si>
  <si>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</si>
  <si>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</si>
  <si>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</si>
  <si>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</si>
  <si>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</si>
  <si>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</si>
  <si>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</si>
  <si>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</si>
  <si>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</si>
  <si>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</si>
  <si>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</si>
  <si>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</si>
  <si>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</si>
  <si>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</si>
  <si>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</si>
  <si>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</si>
  <si>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</si>
  <si>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</si>
  <si>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</si>
  <si>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</si>
  <si>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</si>
  <si>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</si>
  <si>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</si>
  <si>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</si>
  <si>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</si>
  <si>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</si>
  <si>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</si>
  <si>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</si>
  <si>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</si>
  <si>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</si>
  <si>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</si>
  <si>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</si>
  <si>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</si>
  <si>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</si>
  <si>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</si>
  <si>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</si>
  <si>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</si>
  <si>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</si>
  <si>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</si>
  <si>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</si>
  <si>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</si>
  <si>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</si>
  <si>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</si>
  <si>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</si>
  <si>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Ciudad</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</si>
  <si>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</si>
  <si>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</si>
  <si>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</si>
  <si>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</si>
  <si>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</si>
  <si>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</si>
  <si>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</si>
  <si>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</si>
  <si>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</si>
  <si>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</si>
  <si>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</si>
  <si>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</si>
  <si>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</si>
  <si>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</si>
  <si>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</si>
  <si>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</si>
  <si>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</si>
  <si>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</si>
  <si>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</si>
  <si>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</si>
  <si>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</si>
  <si>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</si>
  <si>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</si>
  <si>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</si>
  <si>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</si>
  <si>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</si>
  <si>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</si>
  <si>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</si>
  <si>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</si>
  <si>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</si>
  <si>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</si>
  <si>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</si>
  <si>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</si>
  <si>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</si>
  <si>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</si>
  <si>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</si>
  <si>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</si>
  <si>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</si>
  <si>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</si>
  <si>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</si>
  <si>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</si>
  <si>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</si>
  <si>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</si>
  <si>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</si>
  <si>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</si>
  <si>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</si>
  <si>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</si>
  <si>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</si>
  <si>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</si>
  <si>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</si>
  <si>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</si>
  <si>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</si>
  <si>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</si>
  <si>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</si>
  <si>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</si>
  <si>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</si>
  <si>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</si>
  <si>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</si>
  <si>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</si>
  <si>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</si>
  <si>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</si>
  <si>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</si>
  <si>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</si>
  <si>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</si>
  <si>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</si>
  <si>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</si>
  <si>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</si>
  <si>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</si>
  <si>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</si>
  <si>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</si>
  <si>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</si>
  <si>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</si>
  <si>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</si>
  <si>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</si>
  <si>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</si>
  <si>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</si>
  <si>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</si>
  <si>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</si>
  <si>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</si>
  <si>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</si>
  <si>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</si>
  <si>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</si>
  <si>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</si>
  <si>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</si>
  <si>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</si>
  <si>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</si>
  <si>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</si>
  <si>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</si>
  <si>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</si>
  <si>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</si>
  <si>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</si>
  <si>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</si>
  <si>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</si>
  <si>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</si>
  <si>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</si>
  <si>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</si>
  <si>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</si>
  <si>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</si>
  <si>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</si>
  <si>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</si>
  <si>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</si>
  <si>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</si>
  <si>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</si>
  <si>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</si>
  <si>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</si>
  <si>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</si>
  <si>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</si>
  <si>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</si>
  <si>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</si>
  <si>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</si>
  <si>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</si>
  <si>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</si>
  <si>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</si>
  <si>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</si>
  <si>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</si>
  <si>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</si>
  <si>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</si>
  <si>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</si>
  <si>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</si>
  <si>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</si>
  <si>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</si>
  <si>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</si>
  <si>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</si>
  <si>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</si>
  <si>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</si>
  <si>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</si>
  <si>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</si>
  <si>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</si>
  <si>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</si>
  <si>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</si>
  <si>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</si>
  <si>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</si>
  <si>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</si>
  <si>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</si>
  <si>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</si>
  <si>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</si>
  <si>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</si>
  <si>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</si>
  <si>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</si>
  <si>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</si>
  <si>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</si>
  <si>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</si>
  <si>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</si>
  <si>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</si>
  <si>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</si>
  <si>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</si>
  <si>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</si>
  <si>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</si>
  <si>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</si>
  <si>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</si>
  <si>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</si>
  <si>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</si>
  <si>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</si>
  <si>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</si>
  <si>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</si>
  <si>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</si>
  <si>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</si>
  <si>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</si>
  <si>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</si>
  <si>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</si>
  <si>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</si>
  <si>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</si>
  <si>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</si>
  <si>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</si>
  <si>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</si>
  <si>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</si>
  <si>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</si>
  <si>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</si>
  <si>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</si>
  <si>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</si>
  <si>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</si>
  <si>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</si>
  <si>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</si>
  <si>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HOJA DE CÁLCULO PARA CALIBRACIÓN DE RECIPIENTES VOLUMÉTRICOS</t>
  </si>
  <si>
    <t>Lugar de verificación de la escala</t>
  </si>
  <si>
    <t>Fecha de verificación de la escala</t>
  </si>
  <si>
    <t>Certificado</t>
  </si>
  <si>
    <r>
      <t xml:space="preserve">                      DATOS PROBETA PATRÓN                      (V</t>
    </r>
    <r>
      <rPr>
        <b/>
        <vertAlign val="subscript"/>
        <sz val="14"/>
        <color theme="0"/>
        <rFont val="Arial"/>
        <family val="2"/>
      </rPr>
      <t>sp</t>
    </r>
    <r>
      <rPr>
        <b/>
        <sz val="14"/>
        <color theme="0"/>
        <rFont val="Arial"/>
        <family val="2"/>
      </rPr>
      <t>) (mL)</t>
    </r>
  </si>
  <si>
    <t>INTERPOLACIÓN CERTIFICADO DE CALIBRACIÓN</t>
  </si>
  <si>
    <t>ANÁLISIS DE DATOS INTERPOLACIÓN (mL)</t>
  </si>
  <si>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</si>
  <si>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</si>
  <si>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</si>
  <si>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</si>
  <si>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</si>
  <si>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</si>
  <si>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</si>
  <si>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</si>
  <si>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</si>
  <si>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</si>
  <si>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</si>
  <si>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r>
      <t>INTERVALO DE LA ESCALA DEL RV  EN  ±10 in</t>
    </r>
    <r>
      <rPr>
        <b/>
        <vertAlign val="superscript"/>
        <sz val="14"/>
        <rFont val="Arial"/>
        <family val="2"/>
      </rPr>
      <t xml:space="preserve">3  </t>
    </r>
    <r>
      <rPr>
        <b/>
        <sz val="14"/>
        <rFont val="Arial"/>
        <family val="2"/>
      </rPr>
      <t>Y/O ± 1%</t>
    </r>
  </si>
  <si>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</si>
  <si>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</si>
  <si>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t>
  </si>
  <si>
    <r>
      <t>in</t>
    </r>
    <r>
      <rPr>
        <vertAlign val="superscript"/>
        <sz val="12"/>
        <color theme="1"/>
        <rFont val="Arial"/>
        <family val="2"/>
      </rPr>
      <t>3</t>
    </r>
  </si>
  <si>
    <r>
      <t>y</t>
    </r>
    <r>
      <rPr>
        <b/>
        <vertAlign val="subscript"/>
        <sz val="12"/>
        <color theme="1"/>
        <rFont val="Arial"/>
        <family val="2"/>
      </rPr>
      <t>3</t>
    </r>
  </si>
  <si>
    <t>m</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</si>
  <si>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</si>
  <si>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</si>
  <si>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</si>
  <si>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</si>
  <si>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</si>
  <si>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</si>
  <si>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</si>
  <si>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TABLA DE CONVERSIÓN                                        
Disponible en  https://www.nist.gov/physical-measurement-laboratory/nist-guide-si-appendix-b</t>
  </si>
  <si>
    <t>1    (mm)</t>
  </si>
  <si>
    <t>2    (mm)</t>
  </si>
  <si>
    <t>3    (mm)</t>
  </si>
  <si>
    <t xml:space="preserve">   PROMEDIOS                  (mm)</t>
  </si>
  <si>
    <t>Volumen Indicado Vsp</t>
  </si>
  <si>
    <t>Volumen calculado</t>
  </si>
  <si>
    <t>m     =</t>
  </si>
  <si>
    <t>h máx.</t>
  </si>
  <si>
    <t>Volumen nominal</t>
  </si>
  <si>
    <t>Volumen convencional</t>
  </si>
  <si>
    <t>Error</t>
  </si>
  <si>
    <t xml:space="preserve">Incertidumbre por interpolación </t>
  </si>
  <si>
    <t>h min</t>
  </si>
  <si>
    <r>
      <t>Diferencia de alturas  (D</t>
    </r>
    <r>
      <rPr>
        <b/>
        <vertAlign val="subscript"/>
        <sz val="12"/>
        <color theme="1"/>
        <rFont val="Arial"/>
        <family val="2"/>
      </rPr>
      <t>h</t>
    </r>
    <r>
      <rPr>
        <b/>
        <sz val="12"/>
        <color theme="1"/>
        <rFont val="Arial"/>
        <family val="2"/>
      </rPr>
      <t>)</t>
    </r>
  </si>
  <si>
    <t>Litro</t>
  </si>
  <si>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</si>
  <si>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</si>
  <si>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t>COEFICIENTE DE SENSIBILIDAD CON RESPECTO AL VOLUMEN DE REFERENCIA (RVP)</t>
  </si>
  <si>
    <t>Respecto a D</t>
  </si>
  <si>
    <t xml:space="preserve">Respecto </t>
  </si>
  <si>
    <t>PRESUPUESTO DE INCERTIDUMBRE</t>
  </si>
  <si>
    <t>Magnitud de entrada</t>
  </si>
  <si>
    <t>Valor estimado (xi)</t>
  </si>
  <si>
    <t>Incertidumbre original</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</si>
  <si>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</si>
  <si>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</si>
  <si>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</si>
  <si>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</si>
  <si>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</si>
  <si>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</si>
  <si>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</si>
  <si>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</si>
  <si>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</si>
  <si>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</si>
  <si>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</si>
  <si>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</si>
  <si>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</si>
  <si>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</si>
  <si>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</si>
  <si>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</si>
  <si>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</si>
  <si>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Precinto #</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</si>
  <si>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</si>
  <si>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</si>
  <si>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</si>
  <si>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</si>
  <si>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</si>
  <si>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</si>
  <si>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</si>
  <si>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</si>
  <si>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</si>
  <si>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</si>
  <si>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</si>
  <si>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</si>
  <si>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</si>
  <si>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</si>
  <si>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</si>
  <si>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</si>
  <si>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</si>
  <si>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</si>
  <si>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</si>
  <si>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</si>
  <si>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</si>
  <si>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</si>
  <si>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</si>
  <si>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</si>
  <si>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</si>
  <si>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</si>
  <si>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</si>
  <si>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</si>
  <si>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</si>
  <si>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</si>
  <si>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</si>
  <si>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</si>
  <si>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</si>
  <si>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</si>
  <si>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</si>
  <si>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</si>
  <si>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</si>
  <si>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</si>
  <si>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r>
      <t>in</t>
    </r>
    <r>
      <rPr>
        <vertAlign val="superscript"/>
        <sz val="12"/>
        <rFont val="Arial"/>
        <family val="2"/>
      </rPr>
      <t>3</t>
    </r>
  </si>
  <si>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</si>
  <si>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</si>
  <si>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</si>
  <si>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</si>
  <si>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</si>
  <si>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</si>
  <si>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</si>
  <si>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</si>
  <si>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</si>
  <si>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</si>
  <si>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</si>
  <si>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</si>
  <si>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</si>
  <si>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</si>
  <si>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</si>
  <si>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</si>
  <si>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</si>
  <si>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</si>
  <si>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</si>
  <si>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</si>
  <si>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</si>
  <si>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</si>
  <si>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</si>
  <si>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</si>
  <si>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</si>
  <si>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</si>
  <si>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</si>
  <si>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</si>
  <si>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</si>
  <si>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</si>
  <si>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</si>
  <si>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</si>
  <si>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</si>
  <si>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</si>
  <si>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</si>
  <si>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</si>
  <si>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</si>
  <si>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</si>
  <si>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</si>
  <si>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</si>
  <si>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</si>
  <si>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</si>
  <si>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</si>
  <si>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"La incertidumbre expandida de la medición reportada se establece como la incertidumbre estándar de medición multiplicada por el factor de cobertura "k",y la probabilidad de cobertura,  la cual debe ser aproximada al 95 % y no menor a este valor".</t>
  </si>
  <si>
    <t>7.   TRAZABILIDAD METROLÓGICA</t>
  </si>
  <si>
    <t>Propiedad de un resultado de medida por la cual el resultado puede relacionarse con una referencia mediante una cadena ininterrumpida y documentada de calibraciones, cada una de las cuales contribuye a la incertidumbre de medida.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</si>
  <si>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</si>
  <si>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</si>
  <si>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</si>
  <si>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</si>
  <si>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</si>
  <si>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</si>
  <si>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</si>
  <si>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</si>
  <si>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</si>
  <si>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</si>
  <si>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</si>
  <si>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</si>
  <si>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</si>
  <si>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</si>
  <si>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</si>
  <si>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</si>
  <si>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</si>
  <si>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</si>
  <si>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</si>
  <si>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in3</t>
  </si>
  <si>
    <t>La declaración de conformidad se aplica teniendo en cuenta el error más la incertidumbre de medición, la cual no deberá superar los errores máximos permitidos (EMP), según lo definido en la OIML R 120:2010, numeral 2.2.2.2.</t>
  </si>
  <si>
    <t>9.   SE AJUSTO LA ESCALA</t>
  </si>
  <si>
    <t>División mínima promedio de la escala:</t>
  </si>
  <si>
    <t xml:space="preserve"> ±</t>
  </si>
  <si>
    <r>
      <t>in</t>
    </r>
    <r>
      <rPr>
        <b/>
        <vertAlign val="superscript"/>
        <sz val="12"/>
        <rFont val="Arial"/>
        <family val="2"/>
      </rPr>
      <t>3</t>
    </r>
  </si>
  <si>
    <r>
      <t>in</t>
    </r>
    <r>
      <rPr>
        <b/>
        <i/>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</si>
  <si>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</si>
  <si>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</si>
  <si>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</si>
  <si>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</si>
  <si>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</si>
  <si>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</si>
  <si>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</si>
  <si>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</si>
  <si>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</si>
  <si>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</si>
  <si>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</si>
  <si>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</si>
  <si>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</si>
  <si>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</si>
  <si>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</si>
  <si>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</si>
  <si>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</si>
  <si>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</si>
  <si>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La incertidumbre estándar de medición se multiplica por un factor de cobertura "k"=2.</t>
  </si>
  <si>
    <t>FIRMAS AUTORIZADAS:</t>
  </si>
  <si>
    <t>Firma Autorizada</t>
  </si>
  <si>
    <t>Calibrado por</t>
  </si>
  <si>
    <t xml:space="preserve">Fecha de elaboración:  </t>
  </si>
  <si>
    <t xml:space="preserve">Fecha de emisión:  </t>
  </si>
  <si>
    <t>…………………..Fin de este documento………………………</t>
  </si>
  <si>
    <t>Informe N°</t>
  </si>
  <si>
    <t xml:space="preserve">1.   INFORMACIÓN DEL EQUIPO </t>
  </si>
  <si>
    <t xml:space="preserve">2.   LUGAR Y DIRECCIÓN </t>
  </si>
  <si>
    <t>4.   REGISTRO FOTOGRÁFICO</t>
  </si>
  <si>
    <t>5.   OBSERVACIONES</t>
  </si>
  <si>
    <t>Autorizado por</t>
  </si>
  <si>
    <t>Elaborado por</t>
  </si>
  <si>
    <t>Código interno  LCV-XX-XXXX 
  No. Radicado</t>
  </si>
  <si>
    <t>Ciudad de Origen</t>
  </si>
  <si>
    <t>Fecha de Recepción          Ver RT03-F09</t>
  </si>
  <si>
    <t>N °  Certificado y Estampilla 
LCP-XXX-XX</t>
  </si>
  <si>
    <t>INM 5913</t>
  </si>
  <si>
    <t>2022-05-17</t>
  </si>
  <si>
    <t>INM 5912</t>
  </si>
  <si>
    <t>INM 6385</t>
  </si>
  <si>
    <t>INM 6564</t>
  </si>
  <si>
    <t>INM 6562</t>
  </si>
  <si>
    <t>INM 6596</t>
  </si>
  <si>
    <t>2023-04-03</t>
  </si>
  <si>
    <t>INM 6597</t>
  </si>
  <si>
    <t>2022-05-23</t>
  </si>
  <si>
    <t>INM 6603</t>
  </si>
  <si>
    <t>2023-04-05</t>
  </si>
  <si>
    <t>INM 6608</t>
  </si>
  <si>
    <t>2023-04-11</t>
  </si>
  <si>
    <t>La escala fue calibrada:</t>
  </si>
  <si>
    <t>2023-03-28</t>
  </si>
  <si>
    <t>INM 6588</t>
  </si>
  <si>
    <t>INM 6591</t>
  </si>
  <si>
    <t>INM 6390</t>
  </si>
  <si>
    <t>1 099,608</t>
  </si>
  <si>
    <t>INM 6593</t>
  </si>
  <si>
    <t>INM 6639</t>
  </si>
  <si>
    <t>2023-04-24</t>
  </si>
  <si>
    <t>INM 6638</t>
  </si>
  <si>
    <t>2023-05-08</t>
  </si>
  <si>
    <t>INM 6668</t>
  </si>
  <si>
    <t>INM 6667</t>
  </si>
  <si>
    <t>Laboratorios de calibración, avenida carrera  50 # 26-55, interior 2 del CAN,  piso 5.</t>
  </si>
  <si>
    <t>Para la calibración del recipiente volumétrico, se utilizó el método  establecido en el documento normativo I-CAL-GUI-021 No. 21 Versión 2.1(09/2021).</t>
  </si>
  <si>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</si>
  <si>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</si>
  <si>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0,5 in</t>
    </r>
    <r>
      <rPr>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</si>
</sst>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i/>
      <vertAlign val="superscript"/>
      <sz val="12"/>
      <name val="Arial"/>
      <family val="2"/>
    </font>
    <font>
      <b/>
      <sz val="14"/>
      <name val="Arial"/>
      <family val="2"/>
    </font>
    <font>
      <b/>
      <vertAlign val="superscript"/>
      <sz val="14"/>
      <name val="Arial"/>
      <family val="2"/>
    </font>
    <font>
      <sz val="12"/>
      <color rgb="FFFF0000"/>
      <name val="Arial"/>
      <family val="2"/>
    </font>
    <font>
      <b/>
      <sz val="12"/>
      <color rgb="FFFF0000"/>
      <name val="Arial"/>
      <family val="2"/>
    </font>
    <font>
      <sz val="10"/>
      <color theme="0"/>
      <name val="Arial"/>
      <family val="2"/>
    </font>
    <font>
      <sz val="12"/>
      <color theme="0"/>
      <name val="Calibri"/>
      <family val="2"/>
    </font>
    <font>
      <sz val="12"/>
      <color theme="0"/>
      <name val="Arial Narrow"/>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s>
  <cellStyleXfs count="12">
    <xf numFmtId="0" fontId="0" fillId="0" borderId="0"/>
    <xf numFmtId="0" fontId="13" fillId="10" borderId="0" applyNumberFormat="0" applyBorder="0" applyAlignment="0" applyProtection="0"/>
    <xf numFmtId="0" fontId="18" fillId="22" borderId="8">
      <alignment horizontal="center" vertical="center" wrapText="1"/>
    </xf>
    <xf numFmtId="0" fontId="18" fillId="14" borderId="8">
      <alignment horizontal="center" vertical="center" wrapText="1"/>
    </xf>
    <xf numFmtId="0" fontId="18" fillId="23" borderId="8">
      <alignment horizontal="center" vertical="center" wrapText="1"/>
    </xf>
    <xf numFmtId="0" fontId="12" fillId="2" borderId="0">
      <alignment horizontal="center"/>
    </xf>
    <xf numFmtId="0" fontId="12" fillId="24" borderId="0">
      <alignment horizontal="center"/>
    </xf>
    <xf numFmtId="0" fontId="18" fillId="9" borderId="9">
      <alignment horizontal="center"/>
    </xf>
    <xf numFmtId="0" fontId="39" fillId="10" borderId="0" applyNumberFormat="0" applyBorder="0" applyAlignment="0" applyProtection="0"/>
    <xf numFmtId="2" fontId="18" fillId="27" borderId="40" applyFont="0" applyBorder="0" applyAlignment="0">
      <alignment horizontal="center" vertical="center" wrapText="1"/>
      <protection locked="0"/>
    </xf>
    <xf numFmtId="0" fontId="8" fillId="28" borderId="9" applyBorder="0">
      <alignment horizontal="center" vertical="center"/>
    </xf>
    <xf numFmtId="9" fontId="53" fillId="0" borderId="0" applyFont="0" applyFill="0" applyBorder="0" applyAlignment="0" applyProtection="0"/>
  </cellStyleXfs>
  <cellXfs count="1812">
    <xf numFmtId="0" fontId="0" fillId="0" borderId="0" xfId="0"/>
    <xf numFmtId="0" fontId="14" fillId="8" borderId="46" xfId="0" applyFont="1" applyFill="1" applyBorder="1" applyAlignment="1" applyProtection="1">
      <alignment horizontal="center" vertical="center" wrapText="1"/>
      <protection hidden="1"/>
    </xf>
    <xf numFmtId="2" fontId="26" fillId="16" borderId="19" xfId="1" applyNumberFormat="1" applyFont="1" applyFill="1" applyBorder="1" applyAlignment="1" applyProtection="1">
      <alignment horizontal="center" vertical="center"/>
      <protection hidden="1"/>
    </xf>
    <xf numFmtId="2" fontId="26" fillId="16" borderId="22" xfId="1" applyNumberFormat="1" applyFont="1" applyFill="1" applyBorder="1" applyAlignment="1" applyProtection="1">
      <alignment horizontal="center" vertical="center" wrapText="1"/>
      <protection hidden="1"/>
    </xf>
    <xf numFmtId="2" fontId="17" fillId="16" borderId="22" xfId="1" applyNumberFormat="1" applyFont="1" applyFill="1" applyBorder="1" applyAlignment="1" applyProtection="1">
      <alignment horizontal="center" vertical="center" wrapText="1"/>
      <protection hidden="1"/>
    </xf>
    <xf numFmtId="0" fontId="8" fillId="0" borderId="0" xfId="0" applyFont="1" applyProtection="1">
      <protection hidden="1"/>
    </xf>
    <xf numFmtId="0" fontId="11" fillId="16" borderId="19"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protection locked="0" hidden="1"/>
    </xf>
    <xf numFmtId="14" fontId="18" fillId="15" borderId="22" xfId="0" applyNumberFormat="1" applyFont="1" applyFill="1" applyBorder="1" applyAlignment="1" applyProtection="1">
      <alignment horizontal="center" vertical="center" wrapText="1"/>
      <protection hidden="1"/>
    </xf>
    <xf numFmtId="0" fontId="11" fillId="16" borderId="22"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36" xfId="0" applyFont="1" applyFill="1" applyBorder="1" applyAlignment="1" applyProtection="1">
      <alignment horizontal="center" vertical="center" wrapText="1"/>
      <protection hidden="1"/>
    </xf>
    <xf numFmtId="0" fontId="8" fillId="0" borderId="0" xfId="0" applyFont="1" applyAlignment="1" applyProtection="1">
      <alignment vertical="center" wrapText="1"/>
      <protection hidden="1"/>
    </xf>
    <xf numFmtId="0" fontId="8" fillId="2" borderId="0" xfId="0" applyFont="1" applyFill="1" applyAlignment="1" applyProtection="1">
      <alignment vertical="center" wrapText="1"/>
      <protection hidden="1"/>
    </xf>
    <xf numFmtId="0" fontId="7" fillId="2" borderId="0" xfId="0" applyFont="1" applyFill="1" applyAlignment="1" applyProtection="1">
      <alignment horizontal="center" vertical="center" wrapText="1"/>
      <protection hidden="1"/>
    </xf>
    <xf numFmtId="0" fontId="8" fillId="2" borderId="0" xfId="0" applyFont="1" applyFill="1" applyProtection="1">
      <protection hidden="1"/>
    </xf>
    <xf numFmtId="0" fontId="11" fillId="21" borderId="22" xfId="0" applyFont="1" applyFill="1" applyBorder="1" applyAlignment="1" applyProtection="1">
      <alignment horizontal="center" vertical="center" wrapText="1"/>
      <protection hidden="1"/>
    </xf>
    <xf numFmtId="0" fontId="7" fillId="2" borderId="74" xfId="0" applyFont="1" applyFill="1" applyBorder="1" applyAlignment="1" applyProtection="1">
      <alignment horizontal="right"/>
      <protection hidden="1"/>
    </xf>
    <xf numFmtId="2" fontId="18" fillId="15" borderId="55" xfId="0" applyNumberFormat="1" applyFont="1" applyFill="1" applyBorder="1" applyAlignment="1" applyProtection="1">
      <alignment vertical="center" wrapText="1"/>
      <protection hidden="1"/>
    </xf>
    <xf numFmtId="2" fontId="18" fillId="15" borderId="56" xfId="0" applyNumberFormat="1" applyFont="1" applyFill="1" applyBorder="1" applyAlignment="1" applyProtection="1">
      <alignment vertical="center" wrapText="1"/>
      <protection hidden="1"/>
    </xf>
    <xf numFmtId="1" fontId="18" fillId="15" borderId="54" xfId="0" applyNumberFormat="1" applyFont="1" applyFill="1" applyBorder="1" applyAlignment="1" applyProtection="1">
      <alignment vertical="center" wrapText="1"/>
      <protection hidden="1"/>
    </xf>
    <xf numFmtId="1" fontId="18" fillId="15" borderId="60" xfId="0" applyNumberFormat="1" applyFont="1" applyFill="1" applyBorder="1" applyAlignment="1" applyProtection="1">
      <alignment vertical="center" wrapText="1"/>
      <protection hidden="1"/>
    </xf>
    <xf numFmtId="0" fontId="7" fillId="5" borderId="42" xfId="0" applyFont="1" applyFill="1" applyBorder="1" applyAlignment="1" applyProtection="1">
      <alignment horizontal="center" vertical="center"/>
      <protection hidden="1"/>
    </xf>
    <xf numFmtId="0" fontId="7" fillId="2" borderId="75" xfId="0" applyFont="1" applyFill="1" applyBorder="1" applyAlignment="1" applyProtection="1">
      <alignment horizontal="right"/>
      <protection hidden="1"/>
    </xf>
    <xf numFmtId="0" fontId="7" fillId="2" borderId="5" xfId="0" applyFont="1" applyFill="1" applyBorder="1" applyAlignment="1" applyProtection="1">
      <alignment horizontal="center"/>
      <protection hidden="1"/>
    </xf>
    <xf numFmtId="0" fontId="7" fillId="2" borderId="7" xfId="0" applyFont="1" applyFill="1" applyBorder="1" applyAlignment="1" applyProtection="1">
      <alignment horizontal="right"/>
      <protection hidden="1"/>
    </xf>
    <xf numFmtId="0" fontId="31" fillId="4" borderId="30" xfId="0" applyFont="1" applyFill="1" applyBorder="1" applyAlignment="1" applyProtection="1">
      <alignment horizontal="center" vertical="center" wrapText="1"/>
      <protection hidden="1"/>
    </xf>
    <xf numFmtId="0" fontId="9" fillId="4" borderId="32" xfId="0" applyFont="1" applyFill="1" applyBorder="1" applyAlignment="1" applyProtection="1">
      <alignment vertical="top" wrapText="1"/>
      <protection hidden="1"/>
    </xf>
    <xf numFmtId="0" fontId="9" fillId="4" borderId="42" xfId="0" applyFont="1" applyFill="1" applyBorder="1" applyAlignment="1" applyProtection="1">
      <alignment vertical="center" wrapText="1"/>
      <protection hidden="1"/>
    </xf>
    <xf numFmtId="0" fontId="7" fillId="3" borderId="20" xfId="0" applyFont="1" applyFill="1" applyBorder="1" applyAlignment="1" applyProtection="1">
      <alignment horizontal="center" vertical="center"/>
      <protection hidden="1"/>
    </xf>
    <xf numFmtId="0" fontId="7" fillId="5" borderId="30" xfId="0" applyFont="1" applyFill="1" applyBorder="1" applyAlignment="1" applyProtection="1">
      <alignment horizontal="center" vertical="center"/>
      <protection hidden="1"/>
    </xf>
    <xf numFmtId="0" fontId="7" fillId="5" borderId="32"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68" xfId="0" applyFont="1" applyFill="1" applyBorder="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vertical="center" wrapText="1"/>
      <protection hidden="1"/>
    </xf>
    <xf numFmtId="0" fontId="7"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5" borderId="56" xfId="0" applyFont="1" applyFill="1" applyBorder="1" applyAlignment="1" applyProtection="1">
      <alignment vertical="top" wrapText="1"/>
      <protection hidden="1"/>
    </xf>
    <xf numFmtId="0" fontId="7" fillId="2" borderId="1" xfId="0" applyFont="1" applyFill="1" applyBorder="1" applyAlignment="1" applyProtection="1">
      <alignment vertical="center" wrapText="1"/>
      <protection hidden="1"/>
    </xf>
    <xf numFmtId="167" fontId="7" fillId="7" borderId="68" xfId="0" applyNumberFormat="1" applyFont="1" applyFill="1" applyBorder="1" applyAlignment="1" applyProtection="1">
      <alignment horizontal="center" vertical="center" wrapText="1"/>
      <protection hidden="1"/>
    </xf>
    <xf numFmtId="167" fontId="7" fillId="7" borderId="73"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protection hidden="1"/>
    </xf>
    <xf numFmtId="0" fontId="7" fillId="4" borderId="39" xfId="0" applyFont="1" applyFill="1" applyBorder="1" applyAlignment="1" applyProtection="1">
      <alignment horizontal="center" vertical="center" wrapText="1"/>
      <protection hidden="1"/>
    </xf>
    <xf numFmtId="0" fontId="7" fillId="4" borderId="32"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166" fontId="34" fillId="7" borderId="27"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0" fontId="37" fillId="7" borderId="39" xfId="0" applyFont="1" applyFill="1" applyBorder="1" applyAlignment="1" applyProtection="1">
      <alignment horizontal="center" vertical="center" wrapText="1"/>
      <protection hidden="1"/>
    </xf>
    <xf numFmtId="0" fontId="42" fillId="7" borderId="40" xfId="0" applyFont="1" applyFill="1" applyBorder="1" applyAlignment="1" applyProtection="1">
      <alignment horizontal="center" vertical="center" wrapText="1"/>
      <protection hidden="1"/>
    </xf>
    <xf numFmtId="0" fontId="37" fillId="7" borderId="41" xfId="0" applyFont="1" applyFill="1" applyBorder="1" applyAlignment="1" applyProtection="1">
      <alignment horizontal="center" vertical="center" wrapText="1"/>
      <protection hidden="1"/>
    </xf>
    <xf numFmtId="0" fontId="37" fillId="7" borderId="42" xfId="0" applyFont="1" applyFill="1" applyBorder="1" applyAlignment="1" applyProtection="1">
      <alignment horizontal="center" vertical="center" wrapText="1"/>
      <protection hidden="1"/>
    </xf>
    <xf numFmtId="0" fontId="37" fillId="7" borderId="43" xfId="0" applyFont="1" applyFill="1" applyBorder="1" applyAlignment="1" applyProtection="1">
      <alignment horizontal="center" vertical="center" wrapText="1"/>
      <protection hidden="1"/>
    </xf>
    <xf numFmtId="0" fontId="37" fillId="7" borderId="37" xfId="0" applyFont="1" applyFill="1" applyBorder="1" applyAlignment="1" applyProtection="1">
      <alignment horizontal="center" vertical="center" wrapText="1"/>
      <protection hidden="1"/>
    </xf>
    <xf numFmtId="0" fontId="7" fillId="5" borderId="63" xfId="0" applyFont="1" applyFill="1" applyBorder="1" applyAlignment="1" applyProtection="1">
      <alignment vertical="top" wrapText="1"/>
      <protection hidden="1"/>
    </xf>
    <xf numFmtId="2" fontId="7" fillId="7" borderId="1" xfId="0" applyNumberFormat="1" applyFont="1" applyFill="1" applyBorder="1" applyAlignment="1" applyProtection="1">
      <alignment horizontal="center" vertical="center" wrapText="1"/>
      <protection hidden="1"/>
    </xf>
    <xf numFmtId="0" fontId="7" fillId="2" borderId="7" xfId="0" applyFont="1" applyFill="1" applyBorder="1" applyAlignment="1" applyProtection="1">
      <alignment vertical="center" wrapText="1"/>
      <protection hidden="1"/>
    </xf>
    <xf numFmtId="0" fontId="7" fillId="2" borderId="8" xfId="0" applyFont="1" applyFill="1" applyBorder="1" applyAlignment="1" applyProtection="1">
      <alignment horizontal="center" vertical="center" wrapText="1"/>
      <protection hidden="1"/>
    </xf>
    <xf numFmtId="168" fontId="7" fillId="2" borderId="69" xfId="0" applyNumberFormat="1" applyFont="1" applyFill="1" applyBorder="1" applyAlignment="1" applyProtection="1">
      <alignment vertical="center"/>
      <protection hidden="1"/>
    </xf>
    <xf numFmtId="0" fontId="7" fillId="5" borderId="47" xfId="0" applyFont="1" applyFill="1" applyBorder="1" applyAlignment="1" applyProtection="1">
      <alignment vertical="top" wrapText="1"/>
      <protection hidden="1"/>
    </xf>
    <xf numFmtId="166" fontId="7"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8" xfId="0" applyNumberFormat="1" applyFont="1" applyFill="1" applyBorder="1" applyAlignment="1" applyProtection="1">
      <alignment vertical="center"/>
      <protection hidden="1"/>
    </xf>
    <xf numFmtId="168" fontId="25" fillId="2" borderId="48" xfId="0" applyNumberFormat="1" applyFont="1" applyFill="1" applyBorder="1" applyAlignment="1" applyProtection="1">
      <alignment vertical="center" wrapText="1"/>
      <protection hidden="1"/>
    </xf>
    <xf numFmtId="166" fontId="7" fillId="5" borderId="3" xfId="0" applyNumberFormat="1" applyFont="1" applyFill="1" applyBorder="1" applyAlignment="1" applyProtection="1">
      <alignment horizontal="center" vertical="center" wrapText="1"/>
      <protection hidden="1"/>
    </xf>
    <xf numFmtId="165" fontId="7" fillId="5" borderId="14" xfId="0" applyNumberFormat="1" applyFont="1" applyFill="1" applyBorder="1" applyAlignment="1" applyProtection="1">
      <alignment horizontal="center" vertical="center" wrapText="1"/>
      <protection hidden="1"/>
    </xf>
    <xf numFmtId="167" fontId="7" fillId="7" borderId="65" xfId="0" applyNumberFormat="1" applyFont="1" applyFill="1" applyBorder="1" applyAlignment="1" applyProtection="1">
      <alignment horizontal="center" vertical="center"/>
      <protection hidden="1"/>
    </xf>
    <xf numFmtId="0" fontId="8" fillId="0" borderId="0" xfId="0" applyFont="1"/>
    <xf numFmtId="0" fontId="14" fillId="0" borderId="0" xfId="0" applyFont="1" applyAlignment="1">
      <alignment horizontal="center" vertical="center"/>
    </xf>
    <xf numFmtId="0" fontId="36" fillId="0" borderId="0" xfId="0" applyFont="1"/>
    <xf numFmtId="0" fontId="8" fillId="0" borderId="0" xfId="0" applyFont="1" applyAlignment="1">
      <alignment vertical="center"/>
    </xf>
    <xf numFmtId="0" fontId="7" fillId="0" borderId="0" xfId="0" applyFont="1" applyAlignment="1">
      <alignment horizontal="center" vertical="center" wrapText="1"/>
    </xf>
    <xf numFmtId="167" fontId="7" fillId="0" borderId="0" xfId="0" applyNumberFormat="1" applyFont="1" applyAlignment="1">
      <alignment horizontal="center" vertical="center" wrapText="1"/>
    </xf>
    <xf numFmtId="0" fontId="7" fillId="16" borderId="6"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 fontId="12" fillId="24" borderId="1" xfId="6" applyNumberFormat="1" applyBorder="1" applyAlignment="1" applyProtection="1">
      <alignment horizontal="center" vertical="center"/>
      <protection locked="0" hidden="1"/>
    </xf>
    <xf numFmtId="2" fontId="35" fillId="7" borderId="9" xfId="0" applyNumberFormat="1"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2" fontId="15" fillId="16" borderId="19" xfId="1" applyNumberFormat="1" applyFont="1" applyFill="1" applyBorder="1" applyAlignment="1" applyProtection="1">
      <alignment horizontal="center" vertical="center"/>
      <protection hidden="1"/>
    </xf>
    <xf numFmtId="2" fontId="15" fillId="16" borderId="22" xfId="1"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21" borderId="67"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wrapText="1"/>
      <protection locked="0" hidden="1"/>
    </xf>
    <xf numFmtId="0" fontId="12" fillId="24" borderId="70" xfId="6" applyBorder="1" applyAlignment="1" applyProtection="1">
      <alignment horizontal="center" vertical="center" wrapText="1"/>
      <protection locked="0" hidden="1"/>
    </xf>
    <xf numFmtId="0" fontId="12" fillId="24" borderId="69" xfId="6" applyBorder="1" applyAlignment="1" applyProtection="1">
      <alignment horizontal="center" vertical="center" wrapText="1"/>
      <protection locked="0" hidden="1"/>
    </xf>
    <xf numFmtId="0" fontId="36" fillId="2" borderId="48" xfId="0" applyFont="1" applyFill="1" applyBorder="1" applyAlignment="1" applyProtection="1">
      <alignment horizontal="center" vertical="center" wrapText="1"/>
      <protection hidden="1"/>
    </xf>
    <xf numFmtId="0" fontId="12" fillId="24" borderId="49" xfId="6" applyBorder="1" applyAlignment="1" applyProtection="1">
      <alignment horizontal="center" vertical="center" wrapText="1"/>
      <protection locked="0" hidden="1"/>
    </xf>
    <xf numFmtId="0" fontId="7" fillId="16" borderId="78" xfId="0" applyFont="1" applyFill="1" applyBorder="1" applyAlignment="1" applyProtection="1">
      <alignment horizontal="center" vertical="center" wrapText="1"/>
      <protection hidden="1"/>
    </xf>
    <xf numFmtId="0" fontId="12" fillId="24" borderId="8" xfId="6" applyBorder="1" applyAlignment="1" applyProtection="1">
      <alignment horizontal="center" vertical="center" wrapText="1"/>
      <protection locked="0" hidden="1"/>
    </xf>
    <xf numFmtId="0" fontId="7" fillId="16" borderId="65" xfId="0" applyFont="1" applyFill="1" applyBorder="1" applyAlignment="1" applyProtection="1">
      <alignment horizontal="center" vertical="center" wrapText="1"/>
      <protection hidden="1"/>
    </xf>
    <xf numFmtId="0" fontId="7" fillId="16" borderId="49"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48" fillId="2" borderId="0" xfId="0" applyFont="1" applyFill="1" applyAlignment="1" applyProtection="1">
      <alignment vertical="center" wrapText="1"/>
      <protection hidden="1"/>
    </xf>
    <xf numFmtId="0" fontId="7" fillId="5" borderId="1" xfId="0" applyFont="1" applyFill="1" applyBorder="1" applyAlignment="1" applyProtection="1">
      <alignment horizontal="center" vertical="center" wrapText="1"/>
      <protection hidden="1"/>
    </xf>
    <xf numFmtId="0" fontId="14" fillId="2" borderId="0" xfId="0" applyFont="1" applyFill="1" applyAlignment="1" applyProtection="1">
      <alignment horizontal="center" vertical="center" wrapText="1"/>
      <protection hidden="1"/>
    </xf>
    <xf numFmtId="0" fontId="36" fillId="2" borderId="0" xfId="0" applyFont="1" applyFill="1" applyAlignment="1" applyProtection="1">
      <alignment horizontal="center" vertical="center" wrapText="1"/>
      <protection hidden="1"/>
    </xf>
    <xf numFmtId="0" fontId="36" fillId="5" borderId="30" xfId="0" applyFont="1" applyFill="1" applyBorder="1" applyAlignment="1" applyProtection="1">
      <alignment horizontal="center" vertical="center" wrapText="1"/>
      <protection hidden="1"/>
    </xf>
    <xf numFmtId="0" fontId="36" fillId="7" borderId="36" xfId="0" applyFont="1" applyFill="1" applyBorder="1" applyAlignment="1" applyProtection="1">
      <alignment horizontal="center" vertical="center" wrapText="1"/>
      <protection hidden="1"/>
    </xf>
    <xf numFmtId="0" fontId="36" fillId="5" borderId="32" xfId="0" applyFont="1" applyFill="1" applyBorder="1" applyAlignment="1" applyProtection="1">
      <alignment horizontal="center" vertical="center" wrapText="1"/>
      <protection hidden="1"/>
    </xf>
    <xf numFmtId="0" fontId="36" fillId="7" borderId="34" xfId="0" applyFont="1" applyFill="1" applyBorder="1" applyAlignment="1" applyProtection="1">
      <alignment horizontal="center" vertical="center" wrapText="1"/>
      <protection hidden="1"/>
    </xf>
    <xf numFmtId="0" fontId="36" fillId="7" borderId="9" xfId="0" applyFont="1" applyFill="1" applyBorder="1" applyAlignment="1" applyProtection="1">
      <alignment horizontal="center" vertical="center" wrapText="1"/>
      <protection hidden="1"/>
    </xf>
    <xf numFmtId="0" fontId="36" fillId="5" borderId="23" xfId="0" applyFont="1" applyFill="1" applyBorder="1" applyAlignment="1" applyProtection="1">
      <alignment vertical="center" wrapText="1"/>
      <protection hidden="1"/>
    </xf>
    <xf numFmtId="0" fontId="36" fillId="2" borderId="32" xfId="0" applyFont="1" applyFill="1" applyBorder="1" applyAlignment="1" applyProtection="1">
      <alignment horizontal="center" vertical="center" wrapText="1"/>
      <protection hidden="1"/>
    </xf>
    <xf numFmtId="0" fontId="36" fillId="5" borderId="23" xfId="0" applyFont="1" applyFill="1" applyBorder="1" applyAlignment="1" applyProtection="1">
      <alignment horizontal="left" vertical="center" wrapText="1"/>
      <protection hidden="1"/>
    </xf>
    <xf numFmtId="0" fontId="36" fillId="5" borderId="42" xfId="0" applyFont="1" applyFill="1" applyBorder="1" applyAlignment="1" applyProtection="1">
      <alignment horizontal="center" vertical="center" wrapText="1"/>
      <protection hidden="1"/>
    </xf>
    <xf numFmtId="0" fontId="36" fillId="7" borderId="43" xfId="0" applyFont="1" applyFill="1" applyBorder="1" applyAlignment="1" applyProtection="1">
      <alignment horizontal="center" vertical="center" wrapText="1"/>
      <protection hidden="1"/>
    </xf>
    <xf numFmtId="0" fontId="36" fillId="2" borderId="0" xfId="0" applyFont="1" applyFill="1" applyAlignment="1" applyProtection="1">
      <alignment vertical="center" wrapText="1"/>
      <protection hidden="1"/>
    </xf>
    <xf numFmtId="0" fontId="7" fillId="0" borderId="0" xfId="0" applyFont="1" applyAlignment="1" applyProtection="1">
      <alignment vertical="center" wrapText="1"/>
      <protection hidden="1"/>
    </xf>
    <xf numFmtId="0" fontId="8" fillId="9" borderId="0" xfId="0" applyFont="1" applyFill="1" applyAlignment="1" applyProtection="1">
      <alignment vertical="center" wrapText="1"/>
      <protection hidden="1"/>
    </xf>
    <xf numFmtId="0" fontId="7" fillId="2" borderId="0" xfId="0" applyFont="1" applyFill="1" applyAlignment="1" applyProtection="1">
      <alignment horizontal="right" vertical="center" wrapText="1"/>
      <protection hidden="1"/>
    </xf>
    <xf numFmtId="0" fontId="7" fillId="2" borderId="51" xfId="0" applyFont="1" applyFill="1" applyBorder="1" applyAlignment="1" applyProtection="1">
      <alignment horizontal="center" vertical="center" wrapText="1"/>
      <protection hidden="1"/>
    </xf>
    <xf numFmtId="0" fontId="7" fillId="2" borderId="13"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35" fillId="5" borderId="21" xfId="0" applyFont="1" applyFill="1" applyBorder="1" applyAlignment="1" applyProtection="1">
      <alignment horizontal="center" vertical="center" wrapText="1"/>
      <protection hidden="1"/>
    </xf>
    <xf numFmtId="0" fontId="35" fillId="5" borderId="22" xfId="0" applyFont="1" applyFill="1" applyBorder="1" applyAlignment="1" applyProtection="1">
      <alignment horizontal="center" vertical="center" wrapText="1"/>
      <protection hidden="1"/>
    </xf>
    <xf numFmtId="0" fontId="35" fillId="5" borderId="20"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14" fillId="2" borderId="0" xfId="0" applyFont="1" applyFill="1" applyAlignment="1" applyProtection="1">
      <alignment vertical="center" wrapText="1"/>
      <protection hidden="1"/>
    </xf>
    <xf numFmtId="0" fontId="7" fillId="5" borderId="52" xfId="0" applyFon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6" fillId="0" borderId="0" xfId="0" applyFont="1" applyProtection="1">
      <protection hidden="1"/>
    </xf>
    <xf numFmtId="0" fontId="7" fillId="0" borderId="0" xfId="0" applyFont="1" applyAlignment="1" applyProtection="1">
      <alignment vertical="center"/>
      <protection hidden="1"/>
    </xf>
    <xf numFmtId="169" fontId="7" fillId="0" borderId="0" xfId="0" applyNumberFormat="1" applyFont="1" applyAlignment="1" applyProtection="1">
      <alignment vertical="center"/>
      <protection hidden="1"/>
    </xf>
    <xf numFmtId="169" fontId="6" fillId="0" borderId="0" xfId="0" applyNumberFormat="1" applyFont="1" applyProtection="1">
      <protection hidden="1"/>
    </xf>
    <xf numFmtId="0" fontId="6" fillId="0" borderId="0" xfId="0" applyFont="1" applyAlignment="1" applyProtection="1">
      <alignment horizontal="center" vertical="center"/>
      <protection hidden="1"/>
    </xf>
    <xf numFmtId="2" fontId="7" fillId="21" borderId="2" xfId="1" applyNumberFormat="1" applyFont="1" applyFill="1" applyBorder="1" applyAlignment="1" applyProtection="1">
      <alignment horizontal="center" vertical="center" wrapText="1"/>
      <protection hidden="1"/>
    </xf>
    <xf numFmtId="2" fontId="7" fillId="21" borderId="71" xfId="1" applyNumberFormat="1" applyFont="1" applyFill="1" applyBorder="1" applyAlignment="1" applyProtection="1">
      <alignment horizontal="center" vertical="center" wrapText="1"/>
      <protection hidden="1"/>
    </xf>
    <xf numFmtId="2" fontId="7" fillId="21" borderId="66" xfId="1" applyNumberFormat="1" applyFont="1" applyFill="1" applyBorder="1" applyAlignment="1" applyProtection="1">
      <alignment horizontal="center" vertical="center" wrapText="1"/>
      <protection hidden="1"/>
    </xf>
    <xf numFmtId="2" fontId="7" fillId="16" borderId="66" xfId="1" applyNumberFormat="1" applyFont="1" applyFill="1" applyBorder="1" applyAlignment="1" applyProtection="1">
      <alignment horizontal="center" vertical="center" wrapText="1"/>
      <protection hidden="1"/>
    </xf>
    <xf numFmtId="2" fontId="7" fillId="16" borderId="72" xfId="1" applyNumberFormat="1" applyFont="1" applyFill="1" applyBorder="1" applyAlignment="1" applyProtection="1">
      <alignment horizontal="center" vertical="center" wrapText="1"/>
      <protection hidden="1"/>
    </xf>
    <xf numFmtId="0" fontId="12" fillId="0" borderId="0" xfId="0" applyFont="1" applyProtection="1">
      <protection hidden="1"/>
    </xf>
    <xf numFmtId="0" fontId="7" fillId="18" borderId="1" xfId="0" applyFont="1" applyFill="1" applyBorder="1" applyAlignment="1" applyProtection="1">
      <alignment horizontal="center" vertical="center"/>
      <protection hidden="1"/>
    </xf>
    <xf numFmtId="2" fontId="7" fillId="16" borderId="1" xfId="1" applyNumberFormat="1" applyFont="1" applyFill="1" applyBorder="1" applyAlignment="1" applyProtection="1">
      <alignment horizontal="center" vertical="center" wrapText="1"/>
      <protection hidden="1"/>
    </xf>
    <xf numFmtId="2" fontId="7" fillId="16" borderId="20" xfId="1" applyNumberFormat="1" applyFont="1" applyFill="1" applyBorder="1" applyAlignment="1" applyProtection="1">
      <alignment horizontal="center" vertical="center" wrapText="1"/>
      <protection hidden="1"/>
    </xf>
    <xf numFmtId="2" fontId="7" fillId="21" borderId="20" xfId="1" applyNumberFormat="1" applyFont="1" applyFill="1" applyBorder="1" applyAlignment="1" applyProtection="1">
      <alignment horizontal="center" vertical="center" wrapText="1"/>
      <protection hidden="1"/>
    </xf>
    <xf numFmtId="0" fontId="7" fillId="7" borderId="39" xfId="0" applyFont="1" applyFill="1" applyBorder="1" applyAlignment="1" applyProtection="1">
      <alignment horizontal="center" vertical="center" wrapText="1"/>
      <protection hidden="1"/>
    </xf>
    <xf numFmtId="0" fontId="7" fillId="7" borderId="42" xfId="0" applyFont="1" applyFill="1" applyBorder="1" applyAlignment="1" applyProtection="1">
      <alignment horizontal="center" vertical="center" wrapText="1"/>
      <protection hidden="1"/>
    </xf>
    <xf numFmtId="169" fontId="7" fillId="5" borderId="22" xfId="0" applyNumberFormat="1"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7" borderId="39" xfId="0" applyFont="1" applyFill="1" applyBorder="1" applyAlignment="1" applyProtection="1">
      <alignment horizontal="center" vertical="center"/>
      <protection hidden="1"/>
    </xf>
    <xf numFmtId="0" fontId="12" fillId="0" borderId="0" xfId="0" applyFont="1" applyAlignment="1" applyProtection="1">
      <alignment horizontal="center" vertical="center" wrapText="1"/>
      <protection hidden="1"/>
    </xf>
    <xf numFmtId="0" fontId="7" fillId="7" borderId="42" xfId="0" applyFont="1" applyFill="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5" borderId="44" xfId="0" applyFont="1" applyFill="1" applyBorder="1" applyAlignment="1" applyProtection="1">
      <alignment horizontal="center" vertical="center" wrapText="1"/>
      <protection hidden="1"/>
    </xf>
    <xf numFmtId="169" fontId="7" fillId="5" borderId="52" xfId="0" applyNumberFormat="1"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169" fontId="7" fillId="5" borderId="66" xfId="0" applyNumberFormat="1"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protection hidden="1"/>
    </xf>
    <xf numFmtId="0" fontId="7" fillId="5" borderId="72" xfId="0" applyFont="1" applyFill="1" applyBorder="1" applyAlignment="1" applyProtection="1">
      <alignment horizontal="center" vertical="center" wrapText="1"/>
      <protection hidden="1"/>
    </xf>
    <xf numFmtId="169" fontId="7" fillId="5" borderId="20"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protection hidden="1"/>
    </xf>
    <xf numFmtId="0" fontId="7" fillId="29" borderId="6" xfId="0" applyFont="1" applyFill="1" applyBorder="1" applyAlignment="1" applyProtection="1">
      <alignment horizontal="center" vertical="center"/>
      <protection hidden="1"/>
    </xf>
    <xf numFmtId="0" fontId="25" fillId="19" borderId="22" xfId="0" applyFont="1" applyFill="1" applyBorder="1" applyAlignment="1" applyProtection="1">
      <alignment horizontal="center" vertical="top" wrapText="1"/>
      <protection hidden="1"/>
    </xf>
    <xf numFmtId="166" fontId="49" fillId="7" borderId="41" xfId="0" applyNumberFormat="1" applyFont="1" applyFill="1" applyBorder="1" applyAlignment="1" applyProtection="1">
      <alignment horizontal="center" vertical="center"/>
      <protection hidden="1"/>
    </xf>
    <xf numFmtId="166" fontId="49" fillId="7" borderId="34" xfId="0" applyNumberFormat="1" applyFont="1" applyFill="1" applyBorder="1" applyAlignment="1" applyProtection="1">
      <alignment horizontal="center" vertical="center"/>
      <protection hidden="1"/>
    </xf>
    <xf numFmtId="166" fontId="49" fillId="7" borderId="37" xfId="0" applyNumberFormat="1" applyFont="1" applyFill="1" applyBorder="1" applyAlignment="1" applyProtection="1">
      <alignment horizontal="center" vertical="center"/>
      <protection hidden="1"/>
    </xf>
    <xf numFmtId="0" fontId="15" fillId="5" borderId="39" xfId="0" applyFont="1" applyFill="1" applyBorder="1" applyAlignment="1" applyProtection="1">
      <alignment horizontal="center" vertical="center" wrapText="1"/>
      <protection hidden="1"/>
    </xf>
    <xf numFmtId="0" fontId="15" fillId="5" borderId="32" xfId="0" applyFont="1" applyFill="1" applyBorder="1" applyAlignment="1" applyProtection="1">
      <alignment horizontal="center" vertical="center" wrapText="1"/>
      <protection hidden="1"/>
    </xf>
    <xf numFmtId="2" fontId="15" fillId="19" borderId="22" xfId="1" applyNumberFormat="1"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4" fillId="17" borderId="19" xfId="0" applyFont="1" applyFill="1" applyBorder="1" applyAlignment="1" applyProtection="1">
      <alignment horizontal="center" vertical="center" wrapText="1"/>
      <protection hidden="1"/>
    </xf>
    <xf numFmtId="0" fontId="14" fillId="17" borderId="22" xfId="0" applyFont="1" applyFill="1" applyBorder="1" applyAlignment="1" applyProtection="1">
      <alignment horizontal="center" vertical="center"/>
      <protection hidden="1"/>
    </xf>
    <xf numFmtId="0" fontId="14" fillId="17" borderId="22" xfId="0" applyFont="1" applyFill="1" applyBorder="1" applyAlignment="1" applyProtection="1">
      <alignment horizontal="center" vertical="center" wrapText="1"/>
      <protection hidden="1"/>
    </xf>
    <xf numFmtId="0" fontId="14" fillId="17" borderId="20" xfId="0" applyFont="1" applyFill="1" applyBorder="1" applyAlignment="1" applyProtection="1">
      <alignment horizontal="center" vertical="center" wrapText="1"/>
      <protection hidden="1"/>
    </xf>
    <xf numFmtId="0" fontId="46" fillId="30" borderId="40" xfId="0" applyFont="1" applyFill="1" applyBorder="1" applyAlignment="1" applyProtection="1">
      <alignment horizontal="center" vertical="center" wrapText="1"/>
      <protection hidden="1"/>
    </xf>
    <xf numFmtId="0" fontId="46" fillId="30" borderId="9" xfId="0" applyFont="1" applyFill="1" applyBorder="1" applyAlignment="1" applyProtection="1">
      <alignment horizontal="center" vertical="center" wrapText="1"/>
      <protection hidden="1"/>
    </xf>
    <xf numFmtId="0" fontId="46" fillId="30" borderId="43" xfId="0" applyFont="1" applyFill="1" applyBorder="1" applyAlignment="1" applyProtection="1">
      <alignment horizontal="center" vertical="center" wrapText="1"/>
      <protection hidden="1"/>
    </xf>
    <xf numFmtId="0" fontId="46" fillId="30" borderId="43" xfId="0" applyFont="1" applyFill="1" applyBorder="1" applyAlignment="1" applyProtection="1">
      <alignment vertical="center" wrapText="1"/>
      <protection hidden="1"/>
    </xf>
    <xf numFmtId="173" fontId="46" fillId="30" borderId="9" xfId="0" applyNumberFormat="1" applyFont="1" applyFill="1" applyBorder="1" applyAlignment="1" applyProtection="1">
      <alignment horizontal="center" vertical="center" wrapText="1"/>
      <protection hidden="1"/>
    </xf>
    <xf numFmtId="4" fontId="46" fillId="30" borderId="9" xfId="0" applyNumberFormat="1" applyFont="1" applyFill="1" applyBorder="1" applyAlignment="1" applyProtection="1">
      <alignment horizontal="center" vertical="center" wrapText="1"/>
      <protection hidden="1"/>
    </xf>
    <xf numFmtId="0" fontId="46" fillId="30" borderId="12" xfId="0" applyFont="1" applyFill="1" applyBorder="1" applyAlignment="1" applyProtection="1">
      <alignment horizontal="center" vertical="center" wrapText="1"/>
      <protection hidden="1"/>
    </xf>
    <xf numFmtId="0" fontId="46" fillId="30" borderId="12" xfId="0" applyFont="1" applyFill="1" applyBorder="1" applyAlignment="1" applyProtection="1">
      <alignment vertical="center" wrapText="1"/>
      <protection hidden="1"/>
    </xf>
    <xf numFmtId="0" fontId="46" fillId="30" borderId="18" xfId="0" applyFont="1" applyFill="1" applyBorder="1" applyAlignment="1" applyProtection="1">
      <alignment horizontal="center" vertical="center" wrapText="1"/>
      <protection hidden="1"/>
    </xf>
    <xf numFmtId="0" fontId="12" fillId="24" borderId="6" xfId="6" applyBorder="1" applyAlignment="1" applyProtection="1">
      <alignment horizontal="center" vertical="center"/>
      <protection locked="0" hidden="1"/>
    </xf>
    <xf numFmtId="166" fontId="7" fillId="5" borderId="37" xfId="0" applyNumberFormat="1" applyFont="1" applyFill="1" applyBorder="1" applyAlignment="1" applyProtection="1">
      <alignment horizontal="center" vertical="center" wrapText="1"/>
      <protection hidden="1"/>
    </xf>
    <xf numFmtId="0" fontId="12" fillId="24" borderId="8" xfId="6" applyBorder="1" applyAlignment="1" applyProtection="1">
      <alignment horizontal="center" vertical="center"/>
      <protection locked="0" hidden="1"/>
    </xf>
    <xf numFmtId="0" fontId="7" fillId="18" borderId="20" xfId="0"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2" fontId="7" fillId="7" borderId="50" xfId="0" applyNumberFormat="1" applyFont="1" applyFill="1" applyBorder="1" applyAlignment="1" applyProtection="1">
      <alignment horizontal="center" vertical="center" wrapText="1"/>
      <protection hidden="1"/>
    </xf>
    <xf numFmtId="2" fontId="7" fillId="7" borderId="64" xfId="0" applyNumberFormat="1" applyFont="1" applyFill="1" applyBorder="1" applyAlignment="1" applyProtection="1">
      <alignment horizontal="center" vertical="center"/>
      <protection hidden="1"/>
    </xf>
    <xf numFmtId="2" fontId="35" fillId="7" borderId="40" xfId="0" applyNumberFormat="1" applyFont="1" applyFill="1" applyBorder="1" applyAlignment="1" applyProtection="1">
      <alignment horizontal="center" vertical="center" wrapText="1"/>
      <protection hidden="1"/>
    </xf>
    <xf numFmtId="0" fontId="5" fillId="0" borderId="0" xfId="0" applyFont="1"/>
    <xf numFmtId="0" fontId="7" fillId="5" borderId="29" xfId="0" applyFont="1" applyFill="1" applyBorder="1" applyAlignment="1">
      <alignment horizontal="center" vertical="center"/>
    </xf>
    <xf numFmtId="0" fontId="7" fillId="5" borderId="66" xfId="0" applyFont="1" applyFill="1" applyBorder="1" applyAlignment="1">
      <alignment horizontal="center" vertical="center" wrapText="1"/>
    </xf>
    <xf numFmtId="0" fontId="7" fillId="5" borderId="66" xfId="0" applyFont="1" applyFill="1" applyBorder="1" applyAlignment="1">
      <alignment horizontal="center" vertical="center"/>
    </xf>
    <xf numFmtId="0" fontId="7" fillId="5" borderId="71" xfId="0" applyFont="1" applyFill="1" applyBorder="1" applyAlignment="1">
      <alignment horizontal="center" vertical="center"/>
    </xf>
    <xf numFmtId="0" fontId="15" fillId="16" borderId="70" xfId="0" applyFont="1" applyFill="1" applyBorder="1" applyAlignment="1" applyProtection="1">
      <alignment horizontal="center" vertical="center" wrapText="1"/>
      <protection hidden="1"/>
    </xf>
    <xf numFmtId="167" fontId="15" fillId="7" borderId="41" xfId="0" applyNumberFormat="1" applyFont="1" applyFill="1" applyBorder="1" applyAlignment="1" applyProtection="1">
      <alignment horizontal="center" vertical="center" wrapText="1"/>
      <protection hidden="1"/>
    </xf>
    <xf numFmtId="167" fontId="15" fillId="7" borderId="34" xfId="0" applyNumberFormat="1" applyFont="1" applyFill="1" applyBorder="1" applyAlignment="1" applyProtection="1">
      <alignment horizontal="center" vertical="center" wrapText="1"/>
      <protection hidden="1"/>
    </xf>
    <xf numFmtId="167" fontId="15" fillId="7" borderId="37" xfId="0" applyNumberFormat="1" applyFont="1" applyFill="1" applyBorder="1" applyAlignment="1" applyProtection="1">
      <alignment horizontal="center" vertical="center" wrapText="1"/>
      <protection hidden="1"/>
    </xf>
    <xf numFmtId="0" fontId="7" fillId="7" borderId="1" xfId="0"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169" fontId="35" fillId="0" borderId="0" xfId="0" applyNumberFormat="1" applyFont="1" applyProtection="1">
      <protection hidden="1"/>
    </xf>
    <xf numFmtId="1" fontId="18" fillId="6" borderId="45" xfId="0" applyNumberFormat="1" applyFont="1" applyFill="1" applyBorder="1" applyAlignment="1" applyProtection="1">
      <alignment horizontal="center" vertical="center" wrapText="1"/>
      <protection locked="0" hidden="1"/>
    </xf>
    <xf numFmtId="0" fontId="12" fillId="24" borderId="49" xfId="6" applyBorder="1" applyAlignment="1" applyProtection="1">
      <alignment horizontal="center" vertical="center"/>
      <protection locked="0" hidden="1"/>
    </xf>
    <xf numFmtId="0" fontId="15" fillId="16" borderId="32" xfId="0" applyFont="1" applyFill="1" applyBorder="1" applyAlignment="1" applyProtection="1">
      <alignment horizontal="center" vertical="center" wrapText="1"/>
      <protection hidden="1"/>
    </xf>
    <xf numFmtId="0" fontId="15" fillId="16" borderId="42" xfId="0" applyFont="1" applyFill="1" applyBorder="1" applyAlignment="1" applyProtection="1">
      <alignment horizontal="center" vertical="center" wrapText="1"/>
      <protection hidden="1"/>
    </xf>
    <xf numFmtId="0" fontId="54" fillId="0" borderId="0" xfId="0" applyFont="1"/>
    <xf numFmtId="0" fontId="54" fillId="0" borderId="0" xfId="0" applyFont="1" applyAlignment="1">
      <alignment horizontal="center"/>
    </xf>
    <xf numFmtId="166" fontId="54" fillId="0" borderId="0" xfId="0" applyNumberFormat="1" applyFont="1"/>
    <xf numFmtId="10" fontId="12" fillId="24" borderId="1" xfId="11" applyNumberFormat="1" applyFont="1" applyFill="1" applyBorder="1" applyAlignment="1" applyProtection="1">
      <alignment horizontal="center" vertical="center"/>
      <protection locked="0" hidden="1"/>
    </xf>
    <xf numFmtId="0" fontId="20" fillId="25" borderId="1" xfId="0" applyFont="1" applyFill="1" applyBorder="1" applyAlignment="1" applyProtection="1">
      <alignment horizontal="center" vertical="center"/>
      <protection hidden="1"/>
    </xf>
    <xf numFmtId="0" fontId="54" fillId="18" borderId="1" xfId="0" applyFont="1" applyFill="1" applyBorder="1" applyAlignment="1">
      <alignment horizontal="center"/>
    </xf>
    <xf numFmtId="0" fontId="35" fillId="18" borderId="8" xfId="0" applyFont="1" applyFill="1" applyBorder="1" applyAlignment="1" applyProtection="1">
      <alignment horizontal="center" vertical="center" wrapText="1"/>
      <protection hidden="1"/>
    </xf>
    <xf numFmtId="0" fontId="15" fillId="0" borderId="32" xfId="0" applyFont="1" applyBorder="1" applyAlignment="1">
      <alignment horizontal="center" vertical="center" wrapText="1"/>
    </xf>
    <xf numFmtId="0" fontId="7" fillId="0" borderId="9" xfId="0" applyFont="1" applyBorder="1" applyAlignment="1">
      <alignment horizontal="center" vertical="center" wrapText="1"/>
    </xf>
    <xf numFmtId="0" fontId="7" fillId="13" borderId="9" xfId="0" applyFont="1" applyFill="1" applyBorder="1" applyAlignment="1">
      <alignment horizontal="center" vertical="center" wrapText="1"/>
    </xf>
    <xf numFmtId="0" fontId="7" fillId="13" borderId="43" xfId="0" applyFont="1" applyFill="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34" xfId="0" applyFont="1" applyBorder="1" applyAlignment="1">
      <alignment horizontal="center" vertical="center" wrapText="1"/>
    </xf>
    <xf numFmtId="0" fontId="36" fillId="0" borderId="0" xfId="0" applyFont="1" applyAlignment="1" applyProtection="1">
      <alignment vertical="center" wrapText="1"/>
      <protection hidden="1"/>
    </xf>
    <xf numFmtId="2" fontId="7" fillId="31" borderId="40" xfId="0" applyNumberFormat="1" applyFont="1" applyFill="1" applyBorder="1" applyAlignment="1">
      <alignment horizontal="center" vertical="center" wrapText="1"/>
    </xf>
    <xf numFmtId="2" fontId="7" fillId="31" borderId="9" xfId="0" applyNumberFormat="1" applyFont="1" applyFill="1" applyBorder="1" applyAlignment="1">
      <alignment horizontal="center" vertical="center" wrapText="1"/>
    </xf>
    <xf numFmtId="2" fontId="7" fillId="31" borderId="43" xfId="0" applyNumberFormat="1" applyFont="1" applyFill="1" applyBorder="1" applyAlignment="1">
      <alignment horizontal="center" vertical="center" wrapText="1"/>
    </xf>
    <xf numFmtId="0" fontId="7" fillId="31" borderId="19" xfId="0" applyFont="1" applyFill="1" applyBorder="1" applyAlignment="1">
      <alignment horizontal="center" vertical="center" wrapText="1"/>
    </xf>
    <xf numFmtId="0" fontId="7" fillId="31" borderId="22" xfId="0" applyFont="1" applyFill="1" applyBorder="1" applyAlignment="1">
      <alignment horizontal="center" vertical="center" wrapText="1"/>
    </xf>
    <xf numFmtId="0" fontId="7" fillId="31" borderId="20" xfId="0" applyFont="1" applyFill="1" applyBorder="1" applyAlignment="1">
      <alignment horizontal="center" vertical="center" wrapText="1"/>
    </xf>
    <xf numFmtId="0" fontId="7" fillId="31" borderId="57" xfId="0" applyFont="1" applyFill="1" applyBorder="1" applyAlignment="1">
      <alignment horizontal="center" vertical="center" wrapText="1"/>
    </xf>
    <xf numFmtId="0" fontId="7" fillId="31" borderId="35" xfId="0" applyFont="1" applyFill="1" applyBorder="1" applyAlignment="1">
      <alignment horizontal="center" vertical="center" wrapText="1"/>
    </xf>
    <xf numFmtId="0" fontId="7" fillId="31" borderId="55" xfId="0" applyFont="1" applyFill="1" applyBorder="1" applyAlignment="1">
      <alignment horizontal="center" vertical="center" wrapText="1"/>
    </xf>
    <xf numFmtId="0" fontId="7" fillId="31" borderId="39" xfId="0" applyFont="1" applyFill="1" applyBorder="1" applyAlignment="1">
      <alignment horizontal="center" vertical="center" wrapText="1"/>
    </xf>
    <xf numFmtId="0" fontId="7" fillId="31" borderId="40" xfId="0" applyFont="1" applyFill="1" applyBorder="1" applyAlignment="1">
      <alignment horizontal="center" vertical="center" wrapText="1"/>
    </xf>
    <xf numFmtId="0" fontId="7" fillId="31" borderId="41" xfId="0" applyFont="1" applyFill="1" applyBorder="1" applyAlignment="1">
      <alignment horizontal="center" vertical="center" wrapText="1"/>
    </xf>
    <xf numFmtId="0" fontId="7" fillId="31" borderId="32" xfId="0" applyFont="1" applyFill="1" applyBorder="1" applyAlignment="1">
      <alignment horizontal="center" vertical="center" wrapText="1"/>
    </xf>
    <xf numFmtId="0" fontId="7" fillId="31" borderId="9" xfId="0" applyFont="1" applyFill="1" applyBorder="1" applyAlignment="1">
      <alignment horizontal="center" vertical="center" wrapText="1"/>
    </xf>
    <xf numFmtId="0" fontId="7" fillId="31" borderId="34" xfId="0" applyFont="1" applyFill="1" applyBorder="1" applyAlignment="1">
      <alignment horizontal="center" vertical="center" wrapText="1"/>
    </xf>
    <xf numFmtId="0" fontId="35" fillId="2" borderId="42" xfId="0" applyFont="1" applyFill="1" applyBorder="1" applyAlignment="1" applyProtection="1">
      <alignment horizontal="center" vertical="center" wrapText="1"/>
      <protection hidden="1"/>
    </xf>
    <xf numFmtId="2" fontId="35" fillId="2" borderId="43" xfId="0" applyNumberFormat="1" applyFont="1" applyFill="1" applyBorder="1" applyAlignment="1" applyProtection="1">
      <alignment horizontal="center" vertical="center" wrapText="1"/>
      <protection hidden="1"/>
    </xf>
    <xf numFmtId="0" fontId="35" fillId="2" borderId="43" xfId="0" applyFont="1" applyFill="1" applyBorder="1" applyAlignment="1" applyProtection="1">
      <alignment horizontal="center" vertical="center" wrapText="1"/>
      <protection hidden="1"/>
    </xf>
    <xf numFmtId="0" fontId="35" fillId="2" borderId="37" xfId="0" applyFont="1" applyFill="1" applyBorder="1" applyAlignment="1" applyProtection="1">
      <alignment horizontal="center" vertical="center" wrapText="1"/>
      <protection hidden="1"/>
    </xf>
    <xf numFmtId="0" fontId="35" fillId="2" borderId="38" xfId="0" applyFont="1" applyFill="1" applyBorder="1" applyAlignment="1" applyProtection="1">
      <alignment horizontal="center" vertical="center" wrapText="1"/>
      <protection hidden="1"/>
    </xf>
    <xf numFmtId="3" fontId="35" fillId="32" borderId="70" xfId="0" applyNumberFormat="1" applyFont="1" applyFill="1" applyBorder="1" applyAlignment="1">
      <alignment vertical="center" wrapText="1"/>
    </xf>
    <xf numFmtId="3" fontId="35" fillId="32" borderId="69" xfId="0" applyNumberFormat="1" applyFont="1" applyFill="1" applyBorder="1" applyAlignment="1">
      <alignment horizontal="center" vertical="center" wrapText="1"/>
    </xf>
    <xf numFmtId="3" fontId="35" fillId="32" borderId="49" xfId="0" applyNumberFormat="1" applyFont="1" applyFill="1" applyBorder="1" applyAlignment="1">
      <alignment horizontal="center" wrapText="1"/>
    </xf>
    <xf numFmtId="0" fontId="7" fillId="5" borderId="39" xfId="0" applyFont="1" applyFill="1" applyBorder="1" applyAlignment="1" applyProtection="1">
      <alignment horizontal="center" vertical="center" wrapText="1"/>
      <protection hidden="1"/>
    </xf>
    <xf numFmtId="0" fontId="35" fillId="7" borderId="39" xfId="0" applyFont="1" applyFill="1" applyBorder="1" applyAlignment="1">
      <alignment horizontal="center" vertical="center" wrapText="1"/>
    </xf>
    <xf numFmtId="0" fontId="49" fillId="7" borderId="40" xfId="0" applyFont="1" applyFill="1" applyBorder="1" applyAlignment="1">
      <alignment horizontal="center" vertical="center" wrapText="1"/>
    </xf>
    <xf numFmtId="0" fontId="49" fillId="7" borderId="41" xfId="0" applyFont="1" applyFill="1" applyBorder="1" applyAlignment="1">
      <alignment horizontal="center" vertical="center" wrapText="1"/>
    </xf>
    <xf numFmtId="167" fontId="35" fillId="7" borderId="32" xfId="0" applyNumberFormat="1" applyFont="1" applyFill="1" applyBorder="1" applyAlignment="1">
      <alignment horizontal="center" vertical="center" wrapText="1"/>
    </xf>
    <xf numFmtId="0" fontId="49" fillId="7" borderId="9" xfId="0" applyFont="1" applyFill="1" applyBorder="1" applyAlignment="1">
      <alignment horizontal="center" vertical="center" wrapText="1"/>
    </xf>
    <xf numFmtId="0" fontId="49" fillId="7" borderId="34" xfId="0" applyFont="1" applyFill="1" applyBorder="1" applyAlignment="1">
      <alignment horizontal="center" vertical="center" wrapText="1"/>
    </xf>
    <xf numFmtId="0" fontId="35" fillId="7" borderId="42" xfId="0" applyFont="1" applyFill="1" applyBorder="1" applyAlignment="1">
      <alignment horizontal="center" vertical="center"/>
    </xf>
    <xf numFmtId="0" fontId="49" fillId="7" borderId="43" xfId="0" applyFont="1" applyFill="1" applyBorder="1" applyAlignment="1">
      <alignment vertical="center" wrapText="1"/>
    </xf>
    <xf numFmtId="0" fontId="49" fillId="7" borderId="37" xfId="0" applyFont="1" applyFill="1" applyBorder="1" applyAlignment="1">
      <alignment vertical="center" wrapText="1"/>
    </xf>
    <xf numFmtId="0" fontId="7" fillId="18" borderId="22" xfId="0" applyFont="1" applyFill="1" applyBorder="1" applyAlignment="1" applyProtection="1">
      <alignment horizontal="center" vertical="center" wrapText="1"/>
      <protection hidden="1"/>
    </xf>
    <xf numFmtId="169" fontId="7" fillId="18" borderId="22" xfId="0" applyNumberFormat="1" applyFont="1" applyFill="1" applyBorder="1" applyAlignment="1" applyProtection="1">
      <alignment horizontal="center" vertical="center" wrapText="1"/>
      <protection hidden="1"/>
    </xf>
    <xf numFmtId="0" fontId="7" fillId="18" borderId="28" xfId="0" applyFont="1" applyFill="1" applyBorder="1" applyAlignment="1" applyProtection="1">
      <alignment horizontal="center" vertical="center" wrapText="1"/>
      <protection hidden="1"/>
    </xf>
    <xf numFmtId="0" fontId="7" fillId="5" borderId="56" xfId="0" applyFont="1" applyFill="1" applyBorder="1" applyAlignment="1" applyProtection="1">
      <alignment vertical="center" wrapText="1"/>
      <protection hidden="1"/>
    </xf>
    <xf numFmtId="0" fontId="7" fillId="5" borderId="39" xfId="0" applyFont="1" applyFill="1" applyBorder="1" applyAlignment="1" applyProtection="1">
      <alignment vertical="center" wrapText="1"/>
      <protection hidden="1"/>
    </xf>
    <xf numFmtId="14" fontId="25" fillId="5" borderId="40" xfId="0" applyNumberFormat="1" applyFont="1" applyFill="1" applyBorder="1" applyAlignment="1" applyProtection="1">
      <alignment horizontal="center" vertical="center" wrapText="1"/>
      <protection hidden="1"/>
    </xf>
    <xf numFmtId="0" fontId="7" fillId="5" borderId="42" xfId="0" applyFont="1" applyFill="1" applyBorder="1" applyAlignment="1" applyProtection="1">
      <alignment vertical="center" wrapText="1"/>
      <protection hidden="1"/>
    </xf>
    <xf numFmtId="2" fontId="7" fillId="5" borderId="16" xfId="0" applyNumberFormat="1" applyFont="1" applyFill="1" applyBorder="1" applyAlignment="1" applyProtection="1">
      <alignment horizontal="center" vertical="center" wrapText="1"/>
      <protection hidden="1"/>
    </xf>
    <xf numFmtId="0" fontId="7" fillId="5" borderId="47" xfId="0" applyFont="1" applyFill="1" applyBorder="1" applyAlignment="1" applyProtection="1">
      <alignment vertical="center" wrapText="1"/>
      <protection hidden="1"/>
    </xf>
    <xf numFmtId="0" fontId="7" fillId="0" borderId="32" xfId="0" applyFont="1" applyBorder="1" applyAlignment="1" applyProtection="1">
      <alignment horizontal="left" vertical="center" wrapText="1"/>
      <protection hidden="1"/>
    </xf>
    <xf numFmtId="0" fontId="7" fillId="0" borderId="34" xfId="0" applyFont="1" applyBorder="1" applyAlignment="1" applyProtection="1">
      <alignment horizontal="left" vertical="center" wrapText="1"/>
      <protection hidden="1"/>
    </xf>
    <xf numFmtId="0" fontId="7" fillId="2" borderId="16" xfId="0" applyFont="1" applyFill="1" applyBorder="1" applyAlignment="1" applyProtection="1">
      <alignment horizontal="left" vertical="center" wrapText="1"/>
      <protection hidden="1"/>
    </xf>
    <xf numFmtId="166" fontId="7" fillId="5" borderId="67" xfId="0" applyNumberFormat="1" applyFont="1" applyFill="1" applyBorder="1" applyAlignment="1" applyProtection="1">
      <alignment horizontal="center" vertical="center" wrapText="1"/>
      <protection hidden="1"/>
    </xf>
    <xf numFmtId="166" fontId="7" fillId="5" borderId="39" xfId="0" applyNumberFormat="1" applyFont="1" applyFill="1" applyBorder="1" applyAlignment="1" applyProtection="1">
      <alignment horizontal="center" vertical="center" wrapText="1"/>
      <protection hidden="1"/>
    </xf>
    <xf numFmtId="166" fontId="7" fillId="5" borderId="19" xfId="0" applyNumberFormat="1" applyFont="1" applyFill="1" applyBorder="1" applyAlignment="1" applyProtection="1">
      <alignment horizontal="center" vertical="center" wrapText="1"/>
      <protection hidden="1"/>
    </xf>
    <xf numFmtId="11" fontId="7" fillId="5" borderId="71" xfId="0" applyNumberFormat="1" applyFont="1" applyFill="1" applyBorder="1" applyAlignment="1" applyProtection="1">
      <alignment horizontal="center" vertical="center" wrapText="1"/>
      <protection hidden="1"/>
    </xf>
    <xf numFmtId="1" fontId="18" fillId="15" borderId="44" xfId="0" applyNumberFormat="1" applyFont="1" applyFill="1" applyBorder="1" applyAlignment="1" applyProtection="1">
      <alignment horizontal="center" vertical="center" wrapText="1"/>
      <protection hidden="1"/>
    </xf>
    <xf numFmtId="2" fontId="18" fillId="19" borderId="52" xfId="0" applyNumberFormat="1" applyFont="1" applyFill="1" applyBorder="1" applyAlignment="1" applyProtection="1">
      <alignment horizontal="center" vertical="center" wrapText="1"/>
      <protection hidden="1"/>
    </xf>
    <xf numFmtId="1" fontId="18" fillId="15" borderId="52" xfId="0" applyNumberFormat="1" applyFont="1" applyFill="1" applyBorder="1" applyAlignment="1" applyProtection="1">
      <alignment horizontal="center" vertical="center" wrapText="1"/>
      <protection hidden="1"/>
    </xf>
    <xf numFmtId="2" fontId="18" fillId="15" borderId="52" xfId="0" applyNumberFormat="1" applyFont="1" applyFill="1" applyBorder="1" applyAlignment="1" applyProtection="1">
      <alignment horizontal="center" vertical="center" wrapText="1"/>
      <protection hidden="1"/>
    </xf>
    <xf numFmtId="167" fontId="18" fillId="19" borderId="52" xfId="0" applyNumberFormat="1" applyFont="1" applyFill="1" applyBorder="1" applyAlignment="1" applyProtection="1">
      <alignment horizontal="center" vertical="center" wrapText="1"/>
      <protection hidden="1"/>
    </xf>
    <xf numFmtId="0" fontId="11" fillId="21" borderId="22" xfId="0" applyFont="1" applyFill="1" applyBorder="1" applyAlignment="1" applyProtection="1">
      <alignment horizontal="center" vertical="center"/>
      <protection hidden="1"/>
    </xf>
    <xf numFmtId="0" fontId="35" fillId="2" borderId="0" xfId="0" applyFont="1" applyFill="1" applyAlignment="1" applyProtection="1">
      <alignment vertical="center" wrapText="1"/>
      <protection hidden="1"/>
    </xf>
    <xf numFmtId="0" fontId="7" fillId="5" borderId="39"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42" xfId="0" applyFont="1" applyFill="1" applyBorder="1" applyAlignment="1" applyProtection="1">
      <alignment horizontal="left" vertical="center" wrapText="1"/>
      <protection hidden="1"/>
    </xf>
    <xf numFmtId="2" fontId="36" fillId="0" borderId="0" xfId="0" applyNumberFormat="1" applyFont="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35" fillId="7" borderId="1" xfId="0" applyFont="1" applyFill="1" applyBorder="1" applyAlignment="1" applyProtection="1">
      <alignment horizontal="center" vertical="center" wrapText="1"/>
      <protection hidden="1"/>
    </xf>
    <xf numFmtId="2" fontId="7" fillId="7" borderId="71" xfId="0" applyNumberFormat="1" applyFont="1" applyFill="1" applyBorder="1" applyAlignment="1" applyProtection="1">
      <alignment horizontal="center" vertical="center" wrapText="1"/>
      <protection hidden="1"/>
    </xf>
    <xf numFmtId="2" fontId="7" fillId="7" borderId="72" xfId="0" applyNumberFormat="1" applyFont="1" applyFill="1" applyBorder="1" applyAlignment="1" applyProtection="1">
      <alignment horizontal="center" vertical="center"/>
      <protection hidden="1"/>
    </xf>
    <xf numFmtId="166" fontId="7" fillId="5" borderId="71" xfId="0" applyNumberFormat="1" applyFont="1" applyFill="1" applyBorder="1" applyAlignment="1" applyProtection="1">
      <alignment horizontal="center" vertical="center" wrapText="1"/>
      <protection hidden="1"/>
    </xf>
    <xf numFmtId="166" fontId="7" fillId="5" borderId="50" xfId="0" applyNumberFormat="1" applyFont="1" applyFill="1" applyBorder="1" applyAlignment="1" applyProtection="1">
      <alignment horizontal="center" vertical="center" wrapText="1"/>
      <protection hidden="1"/>
    </xf>
    <xf numFmtId="11" fontId="7" fillId="5" borderId="50"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left" vertical="center" wrapText="1"/>
      <protection hidden="1"/>
    </xf>
    <xf numFmtId="2" fontId="7" fillId="5" borderId="42" xfId="0" applyNumberFormat="1" applyFont="1" applyFill="1" applyBorder="1" applyAlignment="1" applyProtection="1">
      <alignment horizontal="center" vertical="center"/>
      <protection hidden="1"/>
    </xf>
    <xf numFmtId="14" fontId="35" fillId="19" borderId="22" xfId="0" applyNumberFormat="1" applyFont="1" applyFill="1" applyBorder="1" applyAlignment="1" applyProtection="1">
      <alignment horizontal="center" vertical="center" wrapText="1"/>
      <protection hidden="1"/>
    </xf>
    <xf numFmtId="0" fontId="60" fillId="0" borderId="0" xfId="0" applyFont="1" applyProtection="1">
      <protection hidden="1"/>
    </xf>
    <xf numFmtId="0" fontId="15" fillId="0" borderId="0" xfId="0" applyFont="1" applyAlignment="1" applyProtection="1">
      <alignment horizontal="right"/>
      <protection hidden="1"/>
    </xf>
    <xf numFmtId="0" fontId="15" fillId="0" borderId="0" xfId="0" applyFont="1" applyAlignment="1" applyProtection="1">
      <alignment horizontal="right" vertical="center" wrapText="1"/>
      <protection hidden="1"/>
    </xf>
    <xf numFmtId="0" fontId="61" fillId="0" borderId="0" xfId="0" applyFont="1" applyAlignment="1" applyProtection="1">
      <alignment vertical="center" wrapText="1"/>
      <protection hidden="1"/>
    </xf>
    <xf numFmtId="0" fontId="60" fillId="0" borderId="0" xfId="0" applyFont="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60" fillId="0" borderId="0" xfId="0" applyFont="1" applyAlignment="1" applyProtection="1">
      <alignment vertical="center" wrapText="1"/>
      <protection hidden="1"/>
    </xf>
    <xf numFmtId="0" fontId="35" fillId="0" borderId="0" xfId="0" applyFont="1" applyProtection="1">
      <protection hidden="1"/>
    </xf>
    <xf numFmtId="177" fontId="35" fillId="0" borderId="0" xfId="0" applyNumberFormat="1" applyFont="1" applyAlignment="1" applyProtection="1">
      <alignment horizontal="left" vertical="center" wrapText="1"/>
      <protection hidden="1"/>
    </xf>
    <xf numFmtId="0" fontId="35" fillId="0" borderId="0" xfId="0" applyFont="1" applyAlignment="1" applyProtection="1">
      <alignment vertical="center" wrapText="1"/>
      <protection hidden="1"/>
    </xf>
    <xf numFmtId="0" fontId="15" fillId="0" borderId="0" xfId="0" applyFont="1" applyAlignment="1" applyProtection="1">
      <alignment vertical="center"/>
      <protection hidden="1"/>
    </xf>
    <xf numFmtId="0" fontId="35" fillId="0" borderId="0" xfId="0" applyFont="1" applyAlignment="1" applyProtection="1">
      <alignment horizontal="justify" vertical="justify" wrapText="1"/>
      <protection hidden="1"/>
    </xf>
    <xf numFmtId="0" fontId="60" fillId="0" borderId="0" xfId="0" applyFont="1" applyAlignment="1" applyProtection="1">
      <alignment vertical="justify" wrapText="1"/>
      <protection hidden="1"/>
    </xf>
    <xf numFmtId="1" fontId="15" fillId="0" borderId="0" xfId="0" applyNumberFormat="1" applyFont="1" applyAlignment="1" applyProtection="1">
      <alignment horizontal="right" vertical="center" wrapText="1"/>
      <protection hidden="1"/>
    </xf>
    <xf numFmtId="1" fontId="15" fillId="0" borderId="0" xfId="0" applyNumberFormat="1" applyFont="1" applyAlignment="1" applyProtection="1">
      <alignment horizontal="center"/>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justify" vertical="justify" wrapText="1"/>
      <protection hidden="1"/>
    </xf>
    <xf numFmtId="0" fontId="63" fillId="0" borderId="0" xfId="0" applyFont="1" applyProtection="1">
      <protection hidden="1"/>
    </xf>
    <xf numFmtId="0" fontId="64" fillId="0" borderId="0" xfId="0" applyFont="1" applyAlignment="1" applyProtection="1">
      <alignment horizontal="justify" vertical="center"/>
      <protection hidden="1"/>
    </xf>
    <xf numFmtId="0" fontId="65" fillId="0" borderId="0" xfId="0" applyFont="1" applyAlignment="1" applyProtection="1">
      <alignment horizontal="center"/>
      <protection hidden="1"/>
    </xf>
    <xf numFmtId="0" fontId="55" fillId="0" borderId="0" xfId="0" applyFont="1" applyAlignment="1" applyProtection="1">
      <alignment horizontal="center" vertical="center" wrapText="1"/>
      <protection hidden="1"/>
    </xf>
    <xf numFmtId="0" fontId="15" fillId="0" borderId="0" xfId="0" applyFont="1" applyAlignment="1" applyProtection="1">
      <alignment horizontal="justify" vertical="center" wrapText="1"/>
      <protection hidden="1"/>
    </xf>
    <xf numFmtId="0" fontId="60" fillId="0" borderId="0" xfId="0" applyFont="1" applyAlignment="1" applyProtection="1">
      <alignment horizontal="justify" vertical="center" wrapText="1"/>
      <protection hidden="1"/>
    </xf>
    <xf numFmtId="1" fontId="15" fillId="0" borderId="0" xfId="0" applyNumberFormat="1" applyFont="1" applyAlignment="1" applyProtection="1">
      <alignment horizontal="justify" vertical="center" wrapText="1"/>
      <protection hidden="1"/>
    </xf>
    <xf numFmtId="0" fontId="63" fillId="0" borderId="0" xfId="0" applyFont="1" applyAlignment="1" applyProtection="1">
      <alignment horizontal="justify" vertical="center"/>
      <protection hidden="1"/>
    </xf>
    <xf numFmtId="188" fontId="35" fillId="0" borderId="0" xfId="0" applyNumberFormat="1" applyFont="1" applyAlignment="1" applyProtection="1">
      <alignment horizontal="left" vertical="center" wrapText="1"/>
      <protection hidden="1"/>
    </xf>
    <xf numFmtId="0" fontId="63" fillId="0" borderId="0" xfId="0" applyFont="1" applyAlignment="1" applyProtection="1">
      <alignment horizontal="left"/>
      <protection hidden="1"/>
    </xf>
    <xf numFmtId="0" fontId="61" fillId="0" borderId="0" xfId="0" applyFont="1" applyAlignment="1" applyProtection="1">
      <alignment horizontal="left" vertical="center"/>
      <protection hidden="1"/>
    </xf>
    <xf numFmtId="0" fontId="60" fillId="0" borderId="0" xfId="0" applyFont="1" applyAlignment="1" applyProtection="1">
      <alignment horizontal="justify" vertical="justify" wrapText="1"/>
      <protection hidden="1"/>
    </xf>
    <xf numFmtId="0" fontId="15" fillId="0" borderId="1" xfId="0" applyFont="1" applyBorder="1" applyAlignment="1" applyProtection="1">
      <alignment horizontal="center" vertical="center"/>
      <protection hidden="1"/>
    </xf>
    <xf numFmtId="0" fontId="15" fillId="0" borderId="1" xfId="0" applyFont="1" applyBorder="1" applyAlignment="1" applyProtection="1">
      <alignment horizontal="center" vertical="center" wrapText="1"/>
      <protection hidden="1"/>
    </xf>
    <xf numFmtId="2" fontId="66" fillId="27" borderId="0" xfId="9" applyFont="1" applyBorder="1" applyAlignment="1">
      <alignment horizontal="center" vertical="center" wrapText="1"/>
      <protection locked="0"/>
    </xf>
    <xf numFmtId="185" fontId="35" fillId="0" borderId="44" xfId="0" applyNumberFormat="1" applyFont="1" applyBorder="1" applyAlignment="1" applyProtection="1">
      <alignment horizontal="center" vertical="center" wrapText="1"/>
      <protection hidden="1"/>
    </xf>
    <xf numFmtId="185" fontId="35" fillId="0" borderId="52" xfId="0" applyNumberFormat="1" applyFont="1" applyBorder="1" applyAlignment="1" applyProtection="1">
      <alignment horizontal="center" vertical="center" wrapText="1"/>
      <protection hidden="1"/>
    </xf>
    <xf numFmtId="186" fontId="35" fillId="0" borderId="52" xfId="0" applyNumberFormat="1" applyFont="1" applyBorder="1" applyAlignment="1" applyProtection="1">
      <alignment horizontal="center" vertical="center" wrapText="1"/>
      <protection hidden="1"/>
    </xf>
    <xf numFmtId="186" fontId="35" fillId="0" borderId="77" xfId="0" applyNumberFormat="1" applyFont="1" applyBorder="1" applyAlignment="1" applyProtection="1">
      <alignment horizontal="center" vertical="center" wrapText="1"/>
      <protection hidden="1"/>
    </xf>
    <xf numFmtId="0" fontId="35" fillId="0" borderId="0" xfId="0" applyFont="1" applyAlignment="1" applyProtection="1">
      <alignment horizontal="right" vertical="top" wrapText="1"/>
      <protection hidden="1"/>
    </xf>
    <xf numFmtId="0" fontId="35" fillId="0" borderId="0" xfId="0" applyFont="1" applyAlignment="1" applyProtection="1">
      <alignment horizontal="left" wrapText="1"/>
      <protection hidden="1"/>
    </xf>
    <xf numFmtId="0" fontId="67" fillId="0" borderId="0" xfId="0" applyFont="1" applyProtection="1">
      <protection hidden="1"/>
    </xf>
    <xf numFmtId="0" fontId="61" fillId="0" borderId="0" xfId="0" applyFont="1" applyAlignment="1" applyProtection="1">
      <alignment horizontal="center" vertical="center" wrapText="1"/>
      <protection hidden="1"/>
    </xf>
    <xf numFmtId="0" fontId="68" fillId="0" borderId="0" xfId="0" applyFont="1" applyProtection="1">
      <protection hidden="1"/>
    </xf>
    <xf numFmtId="0" fontId="60" fillId="2" borderId="0" xfId="0" applyFont="1" applyFill="1" applyProtection="1">
      <protection hidden="1"/>
    </xf>
    <xf numFmtId="0" fontId="67" fillId="2" borderId="0" xfId="0" applyFont="1" applyFill="1" applyProtection="1">
      <protection hidden="1"/>
    </xf>
    <xf numFmtId="0" fontId="55" fillId="0" borderId="0" xfId="0" applyFont="1" applyAlignment="1" applyProtection="1">
      <alignment horizontal="left" vertical="center"/>
      <protection hidden="1"/>
    </xf>
    <xf numFmtId="0" fontId="67" fillId="0" borderId="0" xfId="0" applyFont="1" applyAlignment="1" applyProtection="1">
      <alignment horizontal="justify" vertical="justify" wrapText="1"/>
      <protection hidden="1"/>
    </xf>
    <xf numFmtId="0" fontId="17" fillId="0" borderId="2" xfId="0" applyFont="1" applyBorder="1" applyAlignment="1" applyProtection="1">
      <alignment horizontal="centerContinuous" vertical="center" wrapText="1"/>
      <protection hidden="1"/>
    </xf>
    <xf numFmtId="0" fontId="17" fillId="0" borderId="1" xfId="0" applyFont="1" applyBorder="1" applyAlignment="1" applyProtection="1">
      <alignment horizontal="center" vertical="center"/>
      <protection hidden="1"/>
    </xf>
    <xf numFmtId="0" fontId="17" fillId="0" borderId="1" xfId="0" applyFont="1" applyBorder="1" applyAlignment="1" applyProtection="1">
      <alignment horizontal="center" vertical="center" wrapText="1"/>
      <protection hidden="1"/>
    </xf>
    <xf numFmtId="0" fontId="66" fillId="0" borderId="70" xfId="0" applyFont="1" applyBorder="1" applyAlignment="1" applyProtection="1">
      <alignment horizontal="center" vertical="center" wrapText="1"/>
      <protection hidden="1"/>
    </xf>
    <xf numFmtId="179" fontId="66" fillId="2" borderId="70" xfId="0" applyNumberFormat="1" applyFont="1" applyFill="1" applyBorder="1" applyAlignment="1" applyProtection="1">
      <alignment horizontal="center" vertical="center" wrapText="1"/>
      <protection hidden="1"/>
    </xf>
    <xf numFmtId="167" fontId="66" fillId="0" borderId="1" xfId="0" applyNumberFormat="1" applyFont="1" applyBorder="1" applyAlignment="1" applyProtection="1">
      <alignment horizontal="centerContinuous" vertical="center" wrapText="1"/>
      <protection hidden="1"/>
    </xf>
    <xf numFmtId="167" fontId="66" fillId="0" borderId="1" xfId="0" applyNumberFormat="1" applyFont="1" applyBorder="1" applyAlignment="1" applyProtection="1">
      <alignment horizontal="center" vertical="center" wrapText="1"/>
      <protection hidden="1"/>
    </xf>
    <xf numFmtId="0" fontId="66" fillId="0" borderId="1" xfId="0" applyFont="1" applyBorder="1" applyAlignment="1" applyProtection="1">
      <alignment horizontal="center" vertical="center" wrapText="1"/>
      <protection hidden="1"/>
    </xf>
    <xf numFmtId="180" fontId="66" fillId="0" borderId="70" xfId="0" applyNumberFormat="1" applyFont="1" applyBorder="1" applyAlignment="1" applyProtection="1">
      <alignment horizontal="center" vertical="center" wrapText="1"/>
      <protection hidden="1"/>
    </xf>
    <xf numFmtId="0" fontId="66" fillId="2" borderId="1" xfId="0" applyFont="1" applyFill="1" applyBorder="1" applyAlignment="1" applyProtection="1">
      <alignment horizontal="center" vertical="center" wrapText="1"/>
      <protection hidden="1"/>
    </xf>
    <xf numFmtId="2" fontId="66" fillId="0" borderId="1" xfId="0" applyNumberFormat="1" applyFont="1" applyBorder="1" applyAlignment="1" applyProtection="1">
      <alignment horizontal="centerContinuous" vertical="center" wrapText="1"/>
      <protection hidden="1"/>
    </xf>
    <xf numFmtId="2"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Continuous" vertical="center" wrapText="1"/>
      <protection hidden="1"/>
    </xf>
    <xf numFmtId="166" fontId="66" fillId="0" borderId="1" xfId="0" applyNumberFormat="1" applyFont="1" applyBorder="1" applyAlignment="1" applyProtection="1">
      <alignment horizontal="centerContinuous" vertical="center" wrapText="1"/>
      <protection hidden="1"/>
    </xf>
    <xf numFmtId="172" fontId="66" fillId="0" borderId="0" xfId="0" applyNumberFormat="1" applyFont="1" applyAlignment="1" applyProtection="1">
      <alignment horizontal="centerContinuous" vertical="center" wrapText="1"/>
      <protection hidden="1"/>
    </xf>
    <xf numFmtId="0" fontId="66" fillId="0" borderId="0" xfId="0" applyFont="1" applyAlignment="1" applyProtection="1">
      <alignment horizontal="centerContinuous" vertical="center" wrapText="1"/>
      <protection hidden="1"/>
    </xf>
    <xf numFmtId="1" fontId="66" fillId="0" borderId="0" xfId="0" applyNumberFormat="1" applyFont="1" applyAlignment="1" applyProtection="1">
      <alignment horizontal="center" vertical="center" wrapText="1"/>
      <protection hidden="1"/>
    </xf>
    <xf numFmtId="0" fontId="66" fillId="0" borderId="0" xfId="0" applyFont="1" applyAlignment="1" applyProtection="1">
      <alignment horizontal="center" vertical="center" wrapText="1"/>
      <protection hidden="1"/>
    </xf>
    <xf numFmtId="165" fontId="66" fillId="2" borderId="0" xfId="0" applyNumberFormat="1" applyFont="1" applyFill="1" applyAlignment="1" applyProtection="1">
      <alignment horizontal="center" vertical="center" wrapText="1"/>
      <protection hidden="1"/>
    </xf>
    <xf numFmtId="167" fontId="66" fillId="0" borderId="0" xfId="0" applyNumberFormat="1" applyFont="1" applyAlignment="1" applyProtection="1">
      <alignment horizontal="centerContinuous" vertical="center" wrapText="1"/>
      <protection hidden="1"/>
    </xf>
    <xf numFmtId="0" fontId="66" fillId="0" borderId="0" xfId="0" applyFont="1" applyProtection="1">
      <protection hidden="1"/>
    </xf>
    <xf numFmtId="0" fontId="17" fillId="0" borderId="4" xfId="0" applyFont="1" applyBorder="1" applyAlignment="1" applyProtection="1">
      <alignment horizontal="centerContinuous" vertical="center" wrapText="1"/>
      <protection hidden="1"/>
    </xf>
    <xf numFmtId="0" fontId="66" fillId="0" borderId="6" xfId="0" applyFont="1" applyBorder="1" applyAlignment="1" applyProtection="1">
      <alignment horizontal="center" vertical="center" wrapText="1"/>
      <protection hidden="1"/>
    </xf>
    <xf numFmtId="167" fontId="60" fillId="2" borderId="0" xfId="0" applyNumberFormat="1" applyFont="1" applyFill="1" applyProtection="1">
      <protection hidden="1"/>
    </xf>
    <xf numFmtId="2" fontId="35" fillId="2" borderId="0" xfId="0" applyNumberFormat="1" applyFont="1" applyFill="1" applyProtection="1">
      <protection hidden="1"/>
    </xf>
    <xf numFmtId="167" fontId="15" fillId="2" borderId="0" xfId="0" applyNumberFormat="1" applyFont="1" applyFill="1" applyAlignment="1" applyProtection="1">
      <alignment horizontal="center" vertical="center" wrapText="1"/>
      <protection hidden="1"/>
    </xf>
    <xf numFmtId="167" fontId="15" fillId="0" borderId="1" xfId="0" applyNumberFormat="1" applyFont="1" applyBorder="1" applyAlignment="1" applyProtection="1">
      <alignment horizontal="center" vertical="center" wrapText="1"/>
      <protection hidden="1"/>
    </xf>
    <xf numFmtId="167" fontId="35" fillId="0" borderId="0" xfId="0" applyNumberFormat="1" applyFont="1" applyProtection="1">
      <protection hidden="1"/>
    </xf>
    <xf numFmtId="167" fontId="60" fillId="0" borderId="0" xfId="0" applyNumberFormat="1" applyFont="1" applyProtection="1">
      <protection hidden="1"/>
    </xf>
    <xf numFmtId="0" fontId="15" fillId="0" borderId="1" xfId="0" applyFont="1" applyBorder="1" applyAlignment="1" applyProtection="1">
      <alignment horizontal="center" vertical="center" wrapText="1"/>
      <protection locked="0" hidden="1"/>
    </xf>
    <xf numFmtId="0" fontId="70" fillId="0" borderId="0" xfId="0" applyFont="1" applyAlignment="1" applyProtection="1">
      <alignment horizontal="left" vertical="center" wrapText="1"/>
      <protection hidden="1"/>
    </xf>
    <xf numFmtId="0" fontId="35" fillId="2" borderId="0" xfId="0" applyFont="1" applyFill="1" applyProtection="1">
      <protection hidden="1"/>
    </xf>
    <xf numFmtId="1" fontId="15" fillId="0" borderId="0" xfId="0" applyNumberFormat="1" applyFont="1" applyProtection="1">
      <protection hidden="1"/>
    </xf>
    <xf numFmtId="0" fontId="60" fillId="14" borderId="0" xfId="0" applyFont="1" applyFill="1" applyProtection="1">
      <protection hidden="1"/>
    </xf>
    <xf numFmtId="0" fontId="67" fillId="14" borderId="0" xfId="0" applyFont="1" applyFill="1" applyAlignment="1" applyProtection="1">
      <alignment horizontal="left" vertical="justify" wrapText="1"/>
      <protection hidden="1"/>
    </xf>
    <xf numFmtId="0" fontId="67" fillId="0" borderId="0" xfId="0" applyFont="1" applyAlignment="1" applyProtection="1">
      <alignment horizontal="left" vertical="justify" wrapText="1"/>
      <protection hidden="1"/>
    </xf>
    <xf numFmtId="0" fontId="60" fillId="0" borderId="0" xfId="0" applyFont="1" applyAlignment="1" applyProtection="1">
      <alignment horizontal="left"/>
      <protection hidden="1"/>
    </xf>
    <xf numFmtId="2" fontId="35" fillId="27" borderId="0" xfId="9" applyFont="1" applyBorder="1" applyAlignment="1">
      <alignment horizontal="center"/>
      <protection locked="0"/>
    </xf>
    <xf numFmtId="0" fontId="15" fillId="0" borderId="0" xfId="0" applyFont="1" applyProtection="1">
      <protection hidden="1"/>
    </xf>
    <xf numFmtId="169" fontId="35" fillId="0" borderId="0" xfId="0" applyNumberFormat="1" applyFont="1" applyAlignment="1" applyProtection="1">
      <alignment horizontal="left"/>
      <protection hidden="1"/>
    </xf>
    <xf numFmtId="0" fontId="15" fillId="0" borderId="0" xfId="0" applyFont="1" applyAlignment="1" applyProtection="1">
      <alignment horizontal="center" vertical="center"/>
      <protection hidden="1"/>
    </xf>
    <xf numFmtId="0" fontId="35" fillId="0" borderId="0" xfId="0" applyFont="1" applyAlignment="1" applyProtection="1">
      <alignment vertical="center"/>
      <protection hidden="1"/>
    </xf>
    <xf numFmtId="0" fontId="36" fillId="2" borderId="43" xfId="0" applyFont="1" applyFill="1" applyBorder="1" applyAlignment="1" applyProtection="1">
      <alignment horizontal="center" vertical="center" wrapText="1"/>
      <protection hidden="1"/>
    </xf>
    <xf numFmtId="169" fontId="36" fillId="2" borderId="43" xfId="0" applyNumberFormat="1" applyFont="1" applyFill="1" applyBorder="1" applyAlignment="1" applyProtection="1">
      <alignment horizontal="center"/>
      <protection hidden="1"/>
    </xf>
    <xf numFmtId="0" fontId="35" fillId="7" borderId="40" xfId="0" applyFont="1" applyFill="1" applyBorder="1" applyAlignment="1" applyProtection="1">
      <alignment horizontal="center" vertical="center"/>
      <protection hidden="1"/>
    </xf>
    <xf numFmtId="0" fontId="35" fillId="6" borderId="40" xfId="0" applyFont="1" applyFill="1" applyBorder="1" applyAlignment="1" applyProtection="1">
      <alignment horizontal="center" vertical="center"/>
      <protection hidden="1"/>
    </xf>
    <xf numFmtId="2" fontId="35" fillId="7" borderId="40" xfId="0" applyNumberFormat="1" applyFont="1" applyFill="1" applyBorder="1" applyAlignment="1" applyProtection="1">
      <alignment horizontal="center" vertical="center"/>
      <protection hidden="1"/>
    </xf>
    <xf numFmtId="169" fontId="35" fillId="6" borderId="40" xfId="0" applyNumberFormat="1"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protection hidden="1"/>
    </xf>
    <xf numFmtId="0" fontId="35" fillId="6" borderId="9" xfId="0" applyFont="1" applyFill="1" applyBorder="1" applyAlignment="1" applyProtection="1">
      <alignment horizontal="center" vertical="center"/>
      <protection hidden="1"/>
    </xf>
    <xf numFmtId="2" fontId="35" fillId="7" borderId="9" xfId="0" applyNumberFormat="1" applyFont="1" applyFill="1" applyBorder="1" applyAlignment="1" applyProtection="1">
      <alignment horizontal="center" vertical="center"/>
      <protection hidden="1"/>
    </xf>
    <xf numFmtId="169" fontId="35" fillId="6" borderId="9" xfId="0" applyNumberFormat="1" applyFont="1" applyFill="1" applyBorder="1" applyAlignment="1" applyProtection="1">
      <alignment horizontal="center" vertical="center"/>
      <protection hidden="1"/>
    </xf>
    <xf numFmtId="0" fontId="35" fillId="7" borderId="43" xfId="0" applyFont="1" applyFill="1" applyBorder="1" applyAlignment="1" applyProtection="1">
      <alignment horizontal="center" vertical="center"/>
      <protection hidden="1"/>
    </xf>
    <xf numFmtId="0" fontId="35" fillId="6" borderId="43" xfId="0" applyFont="1" applyFill="1" applyBorder="1" applyAlignment="1" applyProtection="1">
      <alignment horizontal="center" vertical="center"/>
      <protection hidden="1"/>
    </xf>
    <xf numFmtId="2" fontId="35" fillId="7" borderId="43" xfId="0" applyNumberFormat="1" applyFont="1" applyFill="1" applyBorder="1" applyAlignment="1" applyProtection="1">
      <alignment horizontal="center" vertical="center"/>
      <protection hidden="1"/>
    </xf>
    <xf numFmtId="169" fontId="35" fillId="6" borderId="43" xfId="0" applyNumberFormat="1" applyFont="1" applyFill="1" applyBorder="1" applyAlignment="1" applyProtection="1">
      <alignment horizontal="center" vertical="center"/>
      <protection hidden="1"/>
    </xf>
    <xf numFmtId="0" fontId="15" fillId="29" borderId="1" xfId="0" applyFont="1" applyFill="1" applyBorder="1" applyAlignment="1" applyProtection="1">
      <alignment horizontal="center" vertical="center"/>
      <protection hidden="1"/>
    </xf>
    <xf numFmtId="0" fontId="35" fillId="7" borderId="39" xfId="0" applyFont="1" applyFill="1" applyBorder="1" applyAlignment="1" applyProtection="1">
      <alignment horizontal="center" vertical="center" wrapText="1"/>
      <protection hidden="1"/>
    </xf>
    <xf numFmtId="0" fontId="35" fillId="7" borderId="32" xfId="0" applyFont="1" applyFill="1" applyBorder="1" applyAlignment="1" applyProtection="1">
      <alignment horizontal="center" vertical="center" wrapText="1"/>
      <protection hidden="1"/>
    </xf>
    <xf numFmtId="0" fontId="35" fillId="7" borderId="42" xfId="0" applyFont="1" applyFill="1" applyBorder="1" applyAlignment="1" applyProtection="1">
      <alignment horizontal="center" vertical="center" wrapText="1"/>
      <protection hidden="1"/>
    </xf>
    <xf numFmtId="1" fontId="35" fillId="7" borderId="67" xfId="0" applyNumberFormat="1" applyFont="1" applyFill="1" applyBorder="1" applyAlignment="1" applyProtection="1">
      <alignment vertical="center" wrapText="1"/>
      <protection hidden="1"/>
    </xf>
    <xf numFmtId="2" fontId="35" fillId="6" borderId="47" xfId="0" applyNumberFormat="1" applyFont="1" applyFill="1" applyBorder="1" applyAlignment="1" applyProtection="1">
      <alignment horizontal="center" vertical="center"/>
      <protection hidden="1"/>
    </xf>
    <xf numFmtId="1" fontId="35" fillId="7" borderId="65" xfId="0" applyNumberFormat="1" applyFont="1" applyFill="1" applyBorder="1" applyAlignment="1" applyProtection="1">
      <alignment vertical="center" wrapText="1"/>
      <protection hidden="1"/>
    </xf>
    <xf numFmtId="2" fontId="35" fillId="6" borderId="14" xfId="0" applyNumberFormat="1" applyFont="1" applyFill="1" applyBorder="1" applyAlignment="1" applyProtection="1">
      <alignment horizontal="center" vertical="center"/>
      <protection hidden="1"/>
    </xf>
    <xf numFmtId="1" fontId="35" fillId="7" borderId="68" xfId="0" applyNumberFormat="1" applyFont="1" applyFill="1" applyBorder="1" applyAlignment="1" applyProtection="1">
      <alignment vertical="center" wrapText="1"/>
      <protection hidden="1"/>
    </xf>
    <xf numFmtId="2" fontId="35" fillId="6" borderId="56" xfId="0" applyNumberFormat="1" applyFont="1" applyFill="1" applyBorder="1" applyAlignment="1" applyProtection="1">
      <alignment horizontal="center" vertical="center"/>
      <protection hidden="1"/>
    </xf>
    <xf numFmtId="0" fontId="35" fillId="0" borderId="10" xfId="0" applyFont="1" applyBorder="1" applyProtection="1">
      <protection hidden="1"/>
    </xf>
    <xf numFmtId="0" fontId="35" fillId="7" borderId="40" xfId="0" applyFont="1" applyFill="1" applyBorder="1" applyAlignment="1" applyProtection="1">
      <alignment horizontal="center" vertical="center" wrapText="1"/>
      <protection hidden="1"/>
    </xf>
    <xf numFmtId="1" fontId="35" fillId="7" borderId="57" xfId="0" applyNumberFormat="1" applyFont="1" applyFill="1" applyBorder="1" applyAlignment="1" applyProtection="1">
      <alignment vertical="center" wrapText="1"/>
      <protection hidden="1"/>
    </xf>
    <xf numFmtId="2" fontId="35" fillId="6" borderId="39" xfId="0" applyNumberFormat="1"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wrapText="1"/>
      <protection hidden="1"/>
    </xf>
    <xf numFmtId="1" fontId="35" fillId="7" borderId="35" xfId="0" applyNumberFormat="1" applyFont="1" applyFill="1" applyBorder="1" applyAlignment="1" applyProtection="1">
      <alignment vertical="center" wrapText="1"/>
      <protection hidden="1"/>
    </xf>
    <xf numFmtId="2" fontId="35" fillId="6" borderId="32" xfId="0" applyNumberFormat="1" applyFont="1" applyFill="1" applyBorder="1" applyAlignment="1" applyProtection="1">
      <alignment horizontal="center" vertical="center"/>
      <protection hidden="1"/>
    </xf>
    <xf numFmtId="0" fontId="15" fillId="29" borderId="6" xfId="0" applyFont="1" applyFill="1" applyBorder="1" applyAlignment="1" applyProtection="1">
      <alignment horizontal="center" vertical="center"/>
      <protection hidden="1"/>
    </xf>
    <xf numFmtId="0" fontId="35" fillId="7" borderId="43" xfId="0" applyFont="1" applyFill="1" applyBorder="1" applyAlignment="1" applyProtection="1">
      <alignment horizontal="center" vertical="center" wrapText="1"/>
      <protection hidden="1"/>
    </xf>
    <xf numFmtId="1" fontId="35" fillId="7" borderId="55" xfId="0" applyNumberFormat="1" applyFont="1" applyFill="1" applyBorder="1" applyAlignment="1" applyProtection="1">
      <alignment vertical="center" wrapText="1"/>
      <protection hidden="1"/>
    </xf>
    <xf numFmtId="2" fontId="35" fillId="6" borderId="42" xfId="0" applyNumberFormat="1" applyFont="1" applyFill="1" applyBorder="1" applyAlignment="1" applyProtection="1">
      <alignment horizontal="center" vertical="center"/>
      <protection hidden="1"/>
    </xf>
    <xf numFmtId="2" fontId="35" fillId="6" borderId="9" xfId="0" applyNumberFormat="1" applyFont="1" applyFill="1" applyBorder="1" applyAlignment="1" applyProtection="1">
      <alignment horizontal="center" vertical="center"/>
      <protection hidden="1"/>
    </xf>
    <xf numFmtId="0" fontId="35" fillId="7" borderId="47" xfId="0" applyFont="1" applyFill="1" applyBorder="1" applyAlignment="1" applyProtection="1">
      <alignment horizontal="center" vertical="center" wrapText="1"/>
      <protection hidden="1"/>
    </xf>
    <xf numFmtId="0" fontId="35" fillId="7" borderId="14" xfId="0" applyFont="1" applyFill="1" applyBorder="1" applyAlignment="1" applyProtection="1">
      <alignment horizontal="center" vertical="center" wrapText="1"/>
      <protection hidden="1"/>
    </xf>
    <xf numFmtId="0" fontId="35" fillId="7" borderId="56" xfId="0" applyFont="1" applyFill="1" applyBorder="1" applyAlignment="1" applyProtection="1">
      <alignment horizontal="center" vertical="center" wrapText="1"/>
      <protection hidden="1"/>
    </xf>
    <xf numFmtId="0" fontId="35" fillId="7" borderId="57" xfId="0" applyFont="1" applyFill="1" applyBorder="1" applyAlignment="1" applyProtection="1">
      <alignment horizontal="center" vertical="center" wrapText="1"/>
      <protection hidden="1"/>
    </xf>
    <xf numFmtId="0" fontId="35" fillId="7" borderId="35" xfId="0" applyFont="1" applyFill="1" applyBorder="1" applyAlignment="1" applyProtection="1">
      <alignment horizontal="center" vertical="center" wrapText="1"/>
      <protection hidden="1"/>
    </xf>
    <xf numFmtId="0" fontId="35" fillId="7" borderId="55" xfId="0" applyFont="1" applyFill="1" applyBorder="1" applyAlignment="1" applyProtection="1">
      <alignment horizontal="center" vertical="center" wrapText="1"/>
      <protection hidden="1"/>
    </xf>
    <xf numFmtId="0" fontId="35" fillId="7" borderId="58" xfId="0" applyFont="1" applyFill="1" applyBorder="1" applyAlignment="1" applyProtection="1">
      <alignment horizontal="center" vertical="center" wrapText="1"/>
      <protection hidden="1"/>
    </xf>
    <xf numFmtId="0" fontId="35" fillId="7" borderId="23" xfId="0" applyFont="1" applyFill="1" applyBorder="1" applyAlignment="1" applyProtection="1">
      <alignment horizontal="center" vertical="center" wrapText="1"/>
      <protection hidden="1"/>
    </xf>
    <xf numFmtId="0" fontId="35" fillId="7" borderId="61" xfId="0" applyFont="1" applyFill="1" applyBorder="1" applyAlignment="1" applyProtection="1">
      <alignment horizontal="center" vertical="center" wrapText="1"/>
      <protection hidden="1"/>
    </xf>
    <xf numFmtId="0" fontId="35" fillId="7" borderId="31" xfId="0" applyFont="1" applyFill="1" applyBorder="1" applyAlignment="1" applyProtection="1">
      <alignment horizontal="center" vertical="center" wrapText="1"/>
      <protection hidden="1"/>
    </xf>
    <xf numFmtId="0" fontId="35" fillId="7" borderId="11" xfId="0" applyFont="1" applyFill="1" applyBorder="1" applyAlignment="1" applyProtection="1">
      <alignment horizontal="center" vertical="center" wrapText="1"/>
      <protection hidden="1"/>
    </xf>
    <xf numFmtId="0" fontId="35" fillId="7" borderId="54" xfId="0" applyFont="1" applyFill="1" applyBorder="1" applyAlignment="1" applyProtection="1">
      <alignment horizontal="center" vertical="center" wrapText="1"/>
      <protection hidden="1"/>
    </xf>
    <xf numFmtId="169" fontId="35" fillId="7" borderId="9" xfId="0" applyNumberFormat="1" applyFont="1" applyFill="1" applyBorder="1" applyAlignment="1" applyProtection="1">
      <alignment horizontal="center" vertical="center" wrapText="1"/>
      <protection hidden="1"/>
    </xf>
    <xf numFmtId="166" fontId="35" fillId="6" borderId="39" xfId="0" applyNumberFormat="1" applyFont="1" applyFill="1" applyBorder="1" applyAlignment="1" applyProtection="1">
      <alignment horizontal="center" vertical="center" wrapText="1"/>
      <protection hidden="1"/>
    </xf>
    <xf numFmtId="0" fontId="35" fillId="6" borderId="40" xfId="0" applyFont="1" applyFill="1" applyBorder="1" applyAlignment="1" applyProtection="1">
      <alignment horizontal="center" vertical="center" wrapText="1"/>
      <protection hidden="1"/>
    </xf>
    <xf numFmtId="166" fontId="35" fillId="6" borderId="9" xfId="0" applyNumberFormat="1" applyFont="1" applyFill="1" applyBorder="1" applyAlignment="1" applyProtection="1">
      <alignment horizontal="center" vertical="center" wrapText="1"/>
      <protection hidden="1"/>
    </xf>
    <xf numFmtId="164" fontId="35" fillId="6" borderId="9" xfId="0" applyNumberFormat="1" applyFont="1" applyFill="1" applyBorder="1" applyAlignment="1" applyProtection="1">
      <alignment horizontal="center" vertical="center" wrapText="1"/>
      <protection hidden="1"/>
    </xf>
    <xf numFmtId="164" fontId="35" fillId="6" borderId="34" xfId="0" applyNumberFormat="1" applyFont="1" applyFill="1" applyBorder="1" applyAlignment="1" applyProtection="1">
      <alignment horizontal="center" vertical="center" wrapText="1"/>
      <protection hidden="1"/>
    </xf>
    <xf numFmtId="167" fontId="35" fillId="7" borderId="9" xfId="0" applyNumberFormat="1" applyFont="1" applyFill="1" applyBorder="1" applyAlignment="1" applyProtection="1">
      <alignment horizontal="center" vertical="center" wrapText="1"/>
      <protection hidden="1"/>
    </xf>
    <xf numFmtId="14" fontId="35" fillId="7" borderId="9" xfId="0" applyNumberFormat="1" applyFont="1" applyFill="1" applyBorder="1" applyAlignment="1" applyProtection="1">
      <alignment horizontal="center" vertical="center" wrapText="1"/>
      <protection hidden="1"/>
    </xf>
    <xf numFmtId="166" fontId="35" fillId="6" borderId="32" xfId="0" applyNumberFormat="1" applyFont="1" applyFill="1" applyBorder="1" applyAlignment="1" applyProtection="1">
      <alignment horizontal="center" vertical="center" wrapText="1"/>
      <protection hidden="1"/>
    </xf>
    <xf numFmtId="0" fontId="35" fillId="6" borderId="9" xfId="0" applyFont="1" applyFill="1" applyBorder="1" applyAlignment="1" applyProtection="1">
      <alignment horizontal="center" vertical="center" wrapText="1"/>
      <protection hidden="1"/>
    </xf>
    <xf numFmtId="2" fontId="35" fillId="6" borderId="9" xfId="0" applyNumberFormat="1" applyFont="1" applyFill="1" applyBorder="1" applyAlignment="1" applyProtection="1">
      <alignment horizontal="center" vertical="center" wrapText="1"/>
      <protection hidden="1"/>
    </xf>
    <xf numFmtId="2" fontId="35" fillId="7" borderId="43" xfId="0" applyNumberFormat="1" applyFont="1" applyFill="1" applyBorder="1" applyAlignment="1" applyProtection="1">
      <alignment horizontal="center" vertical="center" wrapText="1"/>
      <protection hidden="1"/>
    </xf>
    <xf numFmtId="169" fontId="35" fillId="7" borderId="43" xfId="0" applyNumberFormat="1" applyFont="1" applyFill="1" applyBorder="1" applyAlignment="1" applyProtection="1">
      <alignment horizontal="center" vertical="center" wrapText="1"/>
      <protection hidden="1"/>
    </xf>
    <xf numFmtId="14" fontId="35" fillId="7" borderId="43" xfId="0" applyNumberFormat="1" applyFont="1" applyFill="1" applyBorder="1" applyAlignment="1" applyProtection="1">
      <alignment horizontal="center" vertical="center" wrapText="1"/>
      <protection hidden="1"/>
    </xf>
    <xf numFmtId="166" fontId="35" fillId="6" borderId="42" xfId="0" applyNumberFormat="1" applyFont="1" applyFill="1" applyBorder="1" applyAlignment="1" applyProtection="1">
      <alignment horizontal="center" vertical="center" wrapText="1"/>
      <protection hidden="1"/>
    </xf>
    <xf numFmtId="2" fontId="35" fillId="6" borderId="43" xfId="0" applyNumberFormat="1" applyFont="1" applyFill="1" applyBorder="1" applyAlignment="1" applyProtection="1">
      <alignment horizontal="center" vertical="center" wrapText="1"/>
      <protection hidden="1"/>
    </xf>
    <xf numFmtId="166" fontId="35" fillId="6" borderId="43" xfId="0" applyNumberFormat="1" applyFont="1" applyFill="1" applyBorder="1" applyAlignment="1" applyProtection="1">
      <alignment horizontal="center" vertical="center" wrapText="1"/>
      <protection hidden="1"/>
    </xf>
    <xf numFmtId="0" fontId="35" fillId="6" borderId="43" xfId="0" applyFont="1" applyFill="1" applyBorder="1" applyAlignment="1" applyProtection="1">
      <alignment horizontal="center" vertical="center" wrapText="1"/>
      <protection hidden="1"/>
    </xf>
    <xf numFmtId="164" fontId="35" fillId="6" borderId="43" xfId="0" applyNumberFormat="1" applyFont="1" applyFill="1" applyBorder="1" applyAlignment="1" applyProtection="1">
      <alignment horizontal="center" vertical="center" wrapText="1"/>
      <protection hidden="1"/>
    </xf>
    <xf numFmtId="166" fontId="35" fillId="6" borderId="37" xfId="0" applyNumberFormat="1" applyFont="1" applyFill="1" applyBorder="1" applyAlignment="1" applyProtection="1">
      <alignment horizontal="center" vertical="center" wrapText="1"/>
      <protection hidden="1"/>
    </xf>
    <xf numFmtId="167" fontId="35" fillId="7" borderId="40" xfId="0" applyNumberFormat="1" applyFont="1" applyFill="1" applyBorder="1" applyAlignment="1" applyProtection="1">
      <alignment horizontal="center" vertical="center" wrapText="1"/>
      <protection hidden="1"/>
    </xf>
    <xf numFmtId="169" fontId="35" fillId="7" borderId="40" xfId="0" applyNumberFormat="1" applyFont="1" applyFill="1" applyBorder="1" applyAlignment="1" applyProtection="1">
      <alignment horizontal="center" vertical="center" wrapText="1"/>
      <protection hidden="1"/>
    </xf>
    <xf numFmtId="14" fontId="35" fillId="7" borderId="40" xfId="0" applyNumberFormat="1" applyFont="1" applyFill="1" applyBorder="1" applyAlignment="1" applyProtection="1">
      <alignment horizontal="center" vertical="center" wrapText="1"/>
      <protection hidden="1"/>
    </xf>
    <xf numFmtId="164" fontId="35" fillId="7" borderId="40" xfId="0" applyNumberFormat="1" applyFont="1" applyFill="1" applyBorder="1" applyAlignment="1" applyProtection="1">
      <alignment horizontal="center" vertical="center" wrapText="1"/>
      <protection hidden="1"/>
    </xf>
    <xf numFmtId="164" fontId="35" fillId="7" borderId="41" xfId="0" applyNumberFormat="1" applyFont="1" applyFill="1" applyBorder="1" applyAlignment="1" applyProtection="1">
      <alignment horizontal="center" vertical="center" wrapText="1"/>
      <protection hidden="1"/>
    </xf>
    <xf numFmtId="164" fontId="35" fillId="7" borderId="9" xfId="0" applyNumberFormat="1" applyFont="1" applyFill="1" applyBorder="1" applyAlignment="1" applyProtection="1">
      <alignment horizontal="center" vertical="center" wrapText="1"/>
      <protection hidden="1"/>
    </xf>
    <xf numFmtId="164" fontId="35" fillId="7" borderId="34" xfId="0" applyNumberFormat="1" applyFont="1" applyFill="1" applyBorder="1" applyAlignment="1" applyProtection="1">
      <alignment horizontal="center" vertical="center" wrapText="1"/>
      <protection hidden="1"/>
    </xf>
    <xf numFmtId="167" fontId="35" fillId="7" borderId="43" xfId="0" applyNumberFormat="1" applyFont="1" applyFill="1" applyBorder="1" applyAlignment="1" applyProtection="1">
      <alignment horizontal="center" vertical="center" wrapText="1"/>
      <protection hidden="1"/>
    </xf>
    <xf numFmtId="164" fontId="35" fillId="7" borderId="43" xfId="0" applyNumberFormat="1" applyFont="1" applyFill="1" applyBorder="1" applyAlignment="1" applyProtection="1">
      <alignment horizontal="center" vertical="center" wrapText="1"/>
      <protection hidden="1"/>
    </xf>
    <xf numFmtId="164" fontId="35" fillId="7" borderId="37" xfId="0" applyNumberFormat="1" applyFont="1" applyFill="1" applyBorder="1" applyAlignment="1" applyProtection="1">
      <alignment horizontal="center" vertical="center" wrapText="1"/>
      <protection hidden="1"/>
    </xf>
    <xf numFmtId="0" fontId="35" fillId="7" borderId="19" xfId="0" applyFont="1" applyFill="1" applyBorder="1" applyAlignment="1" applyProtection="1">
      <alignment horizontal="center" vertical="center"/>
      <protection hidden="1"/>
    </xf>
    <xf numFmtId="0" fontId="35" fillId="7" borderId="22" xfId="0" applyFont="1" applyFill="1" applyBorder="1" applyAlignment="1" applyProtection="1">
      <alignment horizontal="center" vertical="center" wrapText="1"/>
      <protection hidden="1"/>
    </xf>
    <xf numFmtId="170" fontId="35" fillId="7" borderId="22" xfId="0" applyNumberFormat="1" applyFont="1" applyFill="1" applyBorder="1" applyAlignment="1" applyProtection="1">
      <alignment horizontal="center" vertical="center" wrapText="1"/>
      <protection hidden="1"/>
    </xf>
    <xf numFmtId="11" fontId="35" fillId="7" borderId="22" xfId="0" applyNumberFormat="1" applyFont="1" applyFill="1" applyBorder="1" applyAlignment="1" applyProtection="1">
      <alignment horizontal="center" vertical="center" wrapText="1"/>
      <protection hidden="1"/>
    </xf>
    <xf numFmtId="169" fontId="35" fillId="7" borderId="28" xfId="0" applyNumberFormat="1" applyFont="1" applyFill="1" applyBorder="1" applyAlignment="1" applyProtection="1">
      <alignment horizontal="center" vertical="center" wrapText="1"/>
      <protection hidden="1"/>
    </xf>
    <xf numFmtId="14" fontId="35" fillId="7" borderId="1" xfId="0" applyNumberFormat="1" applyFont="1" applyFill="1" applyBorder="1" applyAlignment="1" applyProtection="1">
      <alignment horizontal="center" vertical="center" wrapText="1"/>
      <protection hidden="1"/>
    </xf>
    <xf numFmtId="2" fontId="35" fillId="6" borderId="40" xfId="0" applyNumberFormat="1" applyFont="1" applyFill="1" applyBorder="1" applyAlignment="1" applyProtection="1">
      <alignment horizontal="center" vertical="center" wrapText="1"/>
      <protection hidden="1"/>
    </xf>
    <xf numFmtId="166" fontId="35" fillId="6" borderId="40" xfId="0" applyNumberFormat="1" applyFont="1" applyFill="1" applyBorder="1" applyAlignment="1" applyProtection="1">
      <alignment horizontal="center" vertical="center" wrapText="1"/>
      <protection hidden="1"/>
    </xf>
    <xf numFmtId="165" fontId="35" fillId="6" borderId="40" xfId="0" applyNumberFormat="1" applyFont="1" applyFill="1" applyBorder="1" applyAlignment="1" applyProtection="1">
      <alignment horizontal="center" vertical="center" wrapText="1"/>
      <protection hidden="1"/>
    </xf>
    <xf numFmtId="14" fontId="35" fillId="6" borderId="41" xfId="0" applyNumberFormat="1" applyFont="1" applyFill="1" applyBorder="1" applyAlignment="1" applyProtection="1">
      <alignment horizontal="center" vertical="center"/>
      <protection hidden="1"/>
    </xf>
    <xf numFmtId="165" fontId="35" fillId="6" borderId="9" xfId="0" applyNumberFormat="1" applyFont="1" applyFill="1" applyBorder="1" applyAlignment="1" applyProtection="1">
      <alignment horizontal="center" vertical="center" wrapText="1"/>
      <protection hidden="1"/>
    </xf>
    <xf numFmtId="14" fontId="35" fillId="6" borderId="34" xfId="0" applyNumberFormat="1" applyFont="1" applyFill="1" applyBorder="1" applyAlignment="1" applyProtection="1">
      <alignment horizontal="center" vertical="center"/>
      <protection hidden="1"/>
    </xf>
    <xf numFmtId="165" fontId="35" fillId="6" borderId="43" xfId="0" applyNumberFormat="1" applyFont="1" applyFill="1" applyBorder="1" applyAlignment="1" applyProtection="1">
      <alignment horizontal="center" vertical="center" wrapText="1"/>
      <protection hidden="1"/>
    </xf>
    <xf numFmtId="14" fontId="35" fillId="6" borderId="37"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2" fontId="35" fillId="2" borderId="0" xfId="0" applyNumberFormat="1" applyFont="1" applyFill="1" applyAlignment="1" applyProtection="1">
      <alignment horizontal="center" vertical="center"/>
      <protection hidden="1"/>
    </xf>
    <xf numFmtId="169" fontId="35" fillId="2" borderId="0" xfId="0" applyNumberFormat="1" applyFont="1" applyFill="1" applyAlignment="1" applyProtection="1">
      <alignment horizontal="center" vertical="center"/>
      <protection hidden="1"/>
    </xf>
    <xf numFmtId="0" fontId="35" fillId="0" borderId="48" xfId="0" applyFont="1" applyBorder="1" applyProtection="1">
      <protection hidden="1"/>
    </xf>
    <xf numFmtId="0" fontId="7" fillId="0" borderId="32" xfId="0" applyFont="1" applyBorder="1" applyAlignment="1" applyProtection="1">
      <alignment horizontal="center" vertical="center"/>
      <protection hidden="1"/>
    </xf>
    <xf numFmtId="0" fontId="7" fillId="0" borderId="34" xfId="0" applyFont="1" applyBorder="1" applyAlignment="1" applyProtection="1">
      <alignment horizontal="center" vertical="center"/>
      <protection hidden="1"/>
    </xf>
    <xf numFmtId="0" fontId="7" fillId="0" borderId="42" xfId="0" applyFont="1" applyBorder="1" applyAlignment="1" applyProtection="1">
      <alignment horizontal="center" vertical="center"/>
      <protection hidden="1"/>
    </xf>
    <xf numFmtId="0" fontId="7" fillId="0" borderId="37" xfId="0" applyFont="1" applyBorder="1" applyAlignment="1" applyProtection="1">
      <alignment horizontal="center" vertical="center"/>
      <protection hidden="1"/>
    </xf>
    <xf numFmtId="169" fontId="35" fillId="6" borderId="9" xfId="0" applyNumberFormat="1" applyFont="1" applyFill="1" applyBorder="1" applyAlignment="1" applyProtection="1">
      <alignment horizontal="center" vertical="center" wrapText="1"/>
      <protection locked="0" hidden="1"/>
    </xf>
    <xf numFmtId="0" fontId="35" fillId="6" borderId="9" xfId="0" applyFont="1" applyFill="1" applyBorder="1" applyAlignment="1" applyProtection="1">
      <alignment horizontal="center" vertical="center" wrapText="1"/>
      <protection locked="0" hidden="1"/>
    </xf>
    <xf numFmtId="0" fontId="35" fillId="6" borderId="34" xfId="0" applyFont="1" applyFill="1" applyBorder="1" applyAlignment="1" applyProtection="1">
      <alignment horizontal="center" vertical="center" wrapText="1"/>
      <protection locked="0" hidden="1"/>
    </xf>
    <xf numFmtId="0" fontId="7" fillId="6" borderId="30" xfId="0"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hidden="1"/>
    </xf>
    <xf numFmtId="0" fontId="7" fillId="6" borderId="42" xfId="0" applyFont="1" applyFill="1" applyBorder="1" applyAlignment="1" applyProtection="1">
      <alignment horizontal="center" vertical="center" wrapText="1"/>
      <protection hidden="1"/>
    </xf>
    <xf numFmtId="2" fontId="7" fillId="6" borderId="37" xfId="0" applyNumberFormat="1" applyFont="1" applyFill="1" applyBorder="1" applyAlignment="1" applyProtection="1">
      <alignment horizontal="center" vertical="center" wrapText="1"/>
      <protection hidden="1"/>
    </xf>
    <xf numFmtId="0" fontId="4" fillId="6" borderId="9" xfId="0" applyFont="1" applyFill="1" applyBorder="1" applyAlignment="1" applyProtection="1">
      <alignment horizontal="center" vertical="center" wrapText="1"/>
      <protection locked="0" hidden="1"/>
    </xf>
    <xf numFmtId="1" fontId="4" fillId="6" borderId="9" xfId="0" applyNumberFormat="1" applyFont="1" applyFill="1" applyBorder="1" applyAlignment="1" applyProtection="1">
      <alignment horizontal="center" vertical="center" wrapText="1"/>
      <protection locked="0" hidden="1"/>
    </xf>
    <xf numFmtId="49" fontId="4" fillId="6" borderId="9" xfId="0" applyNumberFormat="1" applyFont="1" applyFill="1" applyBorder="1" applyAlignment="1" applyProtection="1">
      <alignment horizontal="center" vertical="center" wrapText="1"/>
      <protection locked="0" hidden="1"/>
    </xf>
    <xf numFmtId="0" fontId="4" fillId="6" borderId="34" xfId="0" applyFont="1" applyFill="1" applyBorder="1" applyAlignment="1" applyProtection="1">
      <alignment horizontal="center" vertical="center" wrapText="1"/>
      <protection locked="0" hidden="1"/>
    </xf>
    <xf numFmtId="191" fontId="35" fillId="0" borderId="0" xfId="0" applyNumberFormat="1" applyFont="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35" fillId="0" borderId="0" xfId="0" applyFont="1" applyAlignment="1" applyProtection="1">
      <alignment horizontal="justify" vertical="center" wrapText="1"/>
      <protection hidden="1"/>
    </xf>
    <xf numFmtId="0" fontId="35" fillId="2" borderId="0" xfId="0"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60" fillId="0" borderId="0" xfId="0" applyFont="1" applyAlignment="1" applyProtection="1">
      <alignment horizontal="center"/>
      <protection hidden="1"/>
    </xf>
    <xf numFmtId="0" fontId="60" fillId="0" borderId="0" xfId="0"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35" fillId="0" borderId="0" xfId="0" applyFont="1" applyAlignment="1" applyProtection="1">
      <alignment horizontal="left" vertical="justify" wrapText="1"/>
      <protection hidden="1"/>
    </xf>
    <xf numFmtId="0" fontId="17" fillId="0" borderId="6" xfId="0"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0" fontId="15" fillId="0" borderId="0" xfId="0" applyFont="1" applyAlignment="1" applyProtection="1">
      <alignment horizontal="center"/>
      <protection hidden="1"/>
    </xf>
    <xf numFmtId="0" fontId="35" fillId="0" borderId="0" xfId="0" applyFont="1" applyAlignment="1" applyProtection="1">
      <alignment horizontal="center" vertical="center"/>
      <protection hidden="1"/>
    </xf>
    <xf numFmtId="0" fontId="63" fillId="18" borderId="1" xfId="0" applyFont="1" applyFill="1" applyBorder="1" applyAlignment="1">
      <alignment horizontal="right" vertical="center"/>
    </xf>
    <xf numFmtId="0" fontId="35" fillId="18" borderId="32" xfId="0" applyFont="1" applyFill="1" applyBorder="1" applyAlignment="1" applyProtection="1">
      <alignment horizontal="center" vertical="center" wrapText="1"/>
      <protection hidden="1"/>
    </xf>
    <xf numFmtId="0" fontId="35" fillId="18" borderId="9" xfId="0" applyFont="1" applyFill="1" applyBorder="1" applyAlignment="1" applyProtection="1">
      <alignment horizontal="center" vertical="center" wrapText="1"/>
      <protection hidden="1"/>
    </xf>
    <xf numFmtId="0" fontId="35" fillId="18" borderId="34" xfId="0" applyFont="1" applyFill="1" applyBorder="1" applyAlignment="1" applyProtection="1">
      <alignment horizontal="center" vertical="center" wrapText="1"/>
      <protection hidden="1"/>
    </xf>
    <xf numFmtId="2" fontId="54" fillId="0" borderId="1" xfId="0" applyNumberFormat="1" applyFont="1" applyBorder="1" applyAlignment="1">
      <alignment horizontal="center"/>
    </xf>
    <xf numFmtId="167" fontId="35" fillId="0" borderId="32" xfId="0" applyNumberFormat="1"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0" borderId="34" xfId="0" applyFont="1" applyBorder="1" applyAlignment="1" applyProtection="1">
      <alignment horizontal="center" vertical="center" wrapText="1"/>
      <protection hidden="1"/>
    </xf>
    <xf numFmtId="0" fontId="35" fillId="0" borderId="32" xfId="0" applyFont="1" applyBorder="1" applyAlignment="1" applyProtection="1">
      <alignment horizontal="center" vertical="center" wrapText="1"/>
      <protection hidden="1"/>
    </xf>
    <xf numFmtId="0" fontId="35" fillId="2" borderId="32" xfId="0" applyFont="1" applyFill="1" applyBorder="1" applyAlignment="1" applyProtection="1">
      <alignment horizontal="center" vertical="center" wrapText="1"/>
      <protection hidden="1"/>
    </xf>
    <xf numFmtId="0" fontId="35" fillId="2" borderId="9" xfId="0" applyFont="1" applyFill="1" applyBorder="1" applyAlignment="1" applyProtection="1">
      <alignment horizontal="center" vertical="center" wrapText="1"/>
      <protection hidden="1"/>
    </xf>
    <xf numFmtId="0" fontId="35" fillId="2" borderId="34" xfId="0" applyFont="1" applyFill="1" applyBorder="1" applyAlignment="1" applyProtection="1">
      <alignment horizontal="center" vertical="center" wrapText="1"/>
      <protection hidden="1"/>
    </xf>
    <xf numFmtId="0" fontId="35" fillId="2" borderId="48" xfId="0" applyFont="1" applyFill="1" applyBorder="1" applyAlignment="1" applyProtection="1">
      <alignment horizontal="center" vertical="center" wrapText="1"/>
      <protection hidden="1"/>
    </xf>
    <xf numFmtId="167" fontId="35" fillId="2" borderId="9" xfId="0" applyNumberFormat="1" applyFont="1" applyFill="1" applyBorder="1" applyAlignment="1" applyProtection="1">
      <alignment horizontal="center" vertical="center" wrapText="1"/>
      <protection hidden="1"/>
    </xf>
    <xf numFmtId="166" fontId="35" fillId="2" borderId="8" xfId="0" applyNumberFormat="1" applyFont="1" applyFill="1" applyBorder="1" applyAlignment="1" applyProtection="1">
      <alignment horizontal="center" vertical="center" wrapText="1"/>
      <protection hidden="1"/>
    </xf>
    <xf numFmtId="2" fontId="15" fillId="0" borderId="9" xfId="0" applyNumberFormat="1" applyFont="1" applyBorder="1" applyAlignment="1" applyProtection="1">
      <alignment horizontal="center" wrapText="1"/>
      <protection hidden="1"/>
    </xf>
    <xf numFmtId="0" fontId="15" fillId="0" borderId="9" xfId="0" applyFont="1" applyBorder="1" applyAlignment="1" applyProtection="1">
      <alignment horizontal="center" wrapText="1"/>
      <protection hidden="1"/>
    </xf>
    <xf numFmtId="0" fontId="37" fillId="0" borderId="9" xfId="0" applyFont="1" applyBorder="1" applyAlignment="1" applyProtection="1">
      <alignment horizontal="center" wrapText="1"/>
      <protection hidden="1"/>
    </xf>
    <xf numFmtId="166" fontId="15" fillId="0" borderId="9" xfId="0" applyNumberFormat="1" applyFont="1" applyBorder="1" applyAlignment="1" applyProtection="1">
      <alignment horizontal="center" wrapText="1"/>
      <protection hidden="1"/>
    </xf>
    <xf numFmtId="165" fontId="15" fillId="0" borderId="9" xfId="0" applyNumberFormat="1" applyFont="1" applyBorder="1" applyAlignment="1" applyProtection="1">
      <alignment horizontal="center" wrapText="1"/>
      <protection hidden="1"/>
    </xf>
    <xf numFmtId="10" fontId="12" fillId="24" borderId="1" xfId="6" applyNumberFormat="1" applyBorder="1" applyAlignment="1" applyProtection="1">
      <alignment horizontal="center" vertical="center"/>
      <protection locked="0" hidden="1"/>
    </xf>
    <xf numFmtId="2" fontId="12" fillId="27" borderId="0" xfId="9" applyFont="1" applyBorder="1" applyAlignment="1">
      <alignment horizontal="center"/>
      <protection locked="0"/>
    </xf>
    <xf numFmtId="0" fontId="4" fillId="0" borderId="0" xfId="0" applyFont="1" applyProtection="1">
      <protection hidden="1"/>
    </xf>
    <xf numFmtId="169" fontId="4" fillId="0" borderId="0" xfId="0" applyNumberFormat="1" applyFont="1" applyProtection="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2" borderId="39" xfId="0" applyFont="1" applyFill="1" applyBorder="1" applyAlignment="1" applyProtection="1">
      <alignment horizontal="center"/>
      <protection hidden="1"/>
    </xf>
    <xf numFmtId="0" fontId="4" fillId="2" borderId="40" xfId="0" applyFont="1" applyFill="1" applyBorder="1" applyAlignment="1" applyProtection="1">
      <alignment horizontal="center"/>
      <protection hidden="1"/>
    </xf>
    <xf numFmtId="0" fontId="4" fillId="0" borderId="40" xfId="0" applyFont="1" applyBorder="1" applyProtection="1">
      <protection hidden="1"/>
    </xf>
    <xf numFmtId="0" fontId="4" fillId="2" borderId="40" xfId="0" applyFont="1" applyFill="1" applyBorder="1" applyProtection="1">
      <protection hidden="1"/>
    </xf>
    <xf numFmtId="0" fontId="4" fillId="0" borderId="41" xfId="0" applyFont="1" applyBorder="1" applyProtection="1">
      <protection hidden="1"/>
    </xf>
    <xf numFmtId="0" fontId="4" fillId="2" borderId="42" xfId="0" applyFont="1" applyFill="1" applyBorder="1" applyAlignment="1" applyProtection="1">
      <alignment horizontal="center"/>
      <protection hidden="1"/>
    </xf>
    <xf numFmtId="0" fontId="4" fillId="0" borderId="43" xfId="0" applyFont="1" applyBorder="1" applyProtection="1">
      <protection hidden="1"/>
    </xf>
    <xf numFmtId="169" fontId="4" fillId="2" borderId="43" xfId="0" applyNumberFormat="1" applyFont="1" applyFill="1" applyBorder="1" applyAlignment="1" applyProtection="1">
      <alignment horizontal="center"/>
      <protection hidden="1"/>
    </xf>
    <xf numFmtId="0" fontId="4" fillId="2" borderId="43" xfId="0" applyFont="1" applyFill="1" applyBorder="1" applyAlignment="1" applyProtection="1">
      <alignment horizontal="center"/>
      <protection hidden="1"/>
    </xf>
    <xf numFmtId="0" fontId="4" fillId="0" borderId="43" xfId="0" applyFont="1" applyBorder="1" applyAlignment="1" applyProtection="1">
      <alignment horizontal="center" vertical="center" wrapText="1"/>
      <protection locked="0" hidden="1"/>
    </xf>
    <xf numFmtId="0" fontId="4" fillId="0" borderId="37" xfId="0" applyFont="1" applyBorder="1" applyProtection="1">
      <protection hidden="1"/>
    </xf>
    <xf numFmtId="0" fontId="4" fillId="0" borderId="39" xfId="0" applyFont="1" applyBorder="1" applyAlignment="1" applyProtection="1">
      <alignment horizontal="center" vertical="center"/>
      <protection hidden="1"/>
    </xf>
    <xf numFmtId="0" fontId="4" fillId="0" borderId="0" xfId="0" applyFont="1" applyAlignment="1" applyProtection="1">
      <alignment horizontal="center"/>
      <protection hidden="1"/>
    </xf>
    <xf numFmtId="169" fontId="4" fillId="0" borderId="0" xfId="0" applyNumberFormat="1" applyFont="1" applyAlignment="1" applyProtection="1">
      <alignment horizontal="center"/>
      <protection hidden="1"/>
    </xf>
    <xf numFmtId="0" fontId="4" fillId="7" borderId="35" xfId="0" applyFont="1" applyFill="1" applyBorder="1" applyAlignment="1" applyProtection="1">
      <alignment horizontal="center" vertical="center"/>
      <protection hidden="1"/>
    </xf>
    <xf numFmtId="0" fontId="4" fillId="7" borderId="11" xfId="0" applyFont="1" applyFill="1" applyBorder="1" applyAlignment="1" applyProtection="1">
      <alignment vertical="center"/>
      <protection hidden="1"/>
    </xf>
    <xf numFmtId="0" fontId="4" fillId="7" borderId="9" xfId="0" applyFont="1" applyFill="1" applyBorder="1" applyAlignment="1" applyProtection="1">
      <alignment vertical="center"/>
      <protection hidden="1"/>
    </xf>
    <xf numFmtId="0" fontId="4" fillId="7" borderId="34" xfId="0" applyFont="1" applyFill="1" applyBorder="1" applyAlignment="1" applyProtection="1">
      <alignment vertical="center" wrapText="1"/>
      <protection hidden="1"/>
    </xf>
    <xf numFmtId="0" fontId="4" fillId="7" borderId="32" xfId="0" applyFont="1" applyFill="1" applyBorder="1" applyAlignment="1" applyProtection="1">
      <alignment horizontal="center" vertical="center"/>
      <protection hidden="1"/>
    </xf>
    <xf numFmtId="2" fontId="4" fillId="7" borderId="9" xfId="0" applyNumberFormat="1" applyFont="1" applyFill="1" applyBorder="1" applyAlignment="1" applyProtection="1">
      <alignment vertical="center"/>
      <protection hidden="1"/>
    </xf>
    <xf numFmtId="0" fontId="4" fillId="7" borderId="42" xfId="0" applyFont="1" applyFill="1" applyBorder="1" applyAlignment="1" applyProtection="1">
      <alignment horizontal="center" vertical="center"/>
      <protection hidden="1"/>
    </xf>
    <xf numFmtId="2" fontId="4" fillId="7" borderId="43" xfId="0" applyNumberFormat="1" applyFont="1" applyFill="1" applyBorder="1" applyAlignment="1" applyProtection="1">
      <alignment vertical="center"/>
      <protection hidden="1"/>
    </xf>
    <xf numFmtId="0" fontId="4" fillId="7" borderId="43" xfId="0" applyFont="1" applyFill="1" applyBorder="1" applyAlignment="1" applyProtection="1">
      <alignment vertical="center"/>
      <protection hidden="1"/>
    </xf>
    <xf numFmtId="0" fontId="4" fillId="7" borderId="54" xfId="0" applyFont="1" applyFill="1" applyBorder="1" applyAlignment="1" applyProtection="1">
      <alignment vertical="center"/>
      <protection hidden="1"/>
    </xf>
    <xf numFmtId="0" fontId="4" fillId="7" borderId="37" xfId="0" applyFont="1" applyFill="1" applyBorder="1" applyAlignment="1" applyProtection="1">
      <alignment vertical="center" wrapText="1"/>
      <protection hidden="1"/>
    </xf>
    <xf numFmtId="0" fontId="4" fillId="2" borderId="40" xfId="0" applyFont="1" applyFill="1" applyBorder="1" applyAlignment="1" applyProtection="1">
      <alignment horizontal="center" vertical="center" wrapText="1"/>
      <protection hidden="1"/>
    </xf>
    <xf numFmtId="0" fontId="4" fillId="2" borderId="41" xfId="0" applyFont="1" applyFill="1" applyBorder="1" applyAlignment="1" applyProtection="1">
      <alignment horizontal="center" vertical="center" wrapText="1"/>
      <protection hidden="1"/>
    </xf>
    <xf numFmtId="2" fontId="4" fillId="6" borderId="9" xfId="0" applyNumberFormat="1" applyFont="1" applyFill="1" applyBorder="1" applyAlignment="1" applyProtection="1">
      <alignment horizontal="center" vertical="center" wrapText="1"/>
      <protection locked="0" hidden="1"/>
    </xf>
    <xf numFmtId="0" fontId="4" fillId="7" borderId="9" xfId="0" applyFont="1" applyFill="1" applyBorder="1" applyAlignment="1" applyProtection="1">
      <alignment horizontal="center" vertical="center"/>
      <protection hidden="1"/>
    </xf>
    <xf numFmtId="170" fontId="4" fillId="7" borderId="9" xfId="0" applyNumberFormat="1" applyFont="1" applyFill="1" applyBorder="1" applyAlignment="1" applyProtection="1">
      <alignment horizontal="center" vertical="center" wrapText="1"/>
      <protection hidden="1"/>
    </xf>
    <xf numFmtId="2" fontId="4" fillId="7" borderId="12" xfId="0" applyNumberFormat="1" applyFont="1" applyFill="1" applyBorder="1" applyAlignment="1" applyProtection="1">
      <alignment horizontal="center" vertical="center" wrapText="1"/>
      <protection hidden="1"/>
    </xf>
    <xf numFmtId="166" fontId="4" fillId="7" borderId="9" xfId="0" applyNumberFormat="1" applyFont="1" applyFill="1" applyBorder="1" applyAlignment="1" applyProtection="1">
      <alignment horizontal="center" vertical="center" wrapText="1"/>
      <protection hidden="1"/>
    </xf>
    <xf numFmtId="0" fontId="4" fillId="7" borderId="34" xfId="0" applyFont="1" applyFill="1" applyBorder="1" applyAlignment="1" applyProtection="1">
      <alignment horizontal="center" vertical="center"/>
      <protection hidden="1"/>
    </xf>
    <xf numFmtId="0" fontId="4" fillId="2" borderId="54" xfId="0" applyFont="1" applyFill="1" applyBorder="1" applyAlignment="1" applyProtection="1">
      <alignment horizontal="center"/>
      <protection hidden="1"/>
    </xf>
    <xf numFmtId="0" fontId="4" fillId="21" borderId="70" xfId="0" applyFont="1" applyFill="1" applyBorder="1" applyAlignment="1" applyProtection="1">
      <alignment horizontal="center" vertical="center"/>
      <protection hidden="1"/>
    </xf>
    <xf numFmtId="0" fontId="4" fillId="2" borderId="56" xfId="0" applyFont="1" applyFill="1" applyBorder="1" applyAlignment="1" applyProtection="1">
      <alignment horizontal="center"/>
      <protection hidden="1"/>
    </xf>
    <xf numFmtId="0" fontId="4" fillId="2" borderId="37" xfId="0" applyFont="1" applyFill="1" applyBorder="1" applyAlignment="1" applyProtection="1">
      <alignment horizontal="center"/>
      <protection hidden="1"/>
    </xf>
    <xf numFmtId="2" fontId="4" fillId="6" borderId="67" xfId="0" applyNumberFormat="1" applyFont="1" applyFill="1" applyBorder="1" applyAlignment="1" applyProtection="1">
      <alignment horizontal="center" vertical="center" wrapText="1"/>
      <protection locked="0" hidden="1"/>
    </xf>
    <xf numFmtId="0" fontId="4" fillId="0" borderId="10" xfId="0" applyFont="1" applyBorder="1" applyProtection="1">
      <protection hidden="1"/>
    </xf>
    <xf numFmtId="0" fontId="4" fillId="0" borderId="2" xfId="0" applyFont="1" applyBorder="1" applyProtection="1">
      <protection hidden="1"/>
    </xf>
    <xf numFmtId="0" fontId="4" fillId="0" borderId="3" xfId="0" applyFont="1" applyBorder="1" applyProtection="1">
      <protection hidden="1"/>
    </xf>
    <xf numFmtId="169" fontId="4" fillId="0" borderId="3" xfId="0" applyNumberFormat="1" applyFont="1" applyBorder="1" applyProtection="1">
      <protection hidden="1"/>
    </xf>
    <xf numFmtId="0" fontId="4" fillId="0" borderId="4" xfId="0" applyFont="1" applyBorder="1" applyProtection="1">
      <protection hidden="1"/>
    </xf>
    <xf numFmtId="0" fontId="4" fillId="7" borderId="40" xfId="0" applyFont="1" applyFill="1" applyBorder="1" applyAlignment="1" applyProtection="1">
      <alignment horizontal="center" vertical="center" wrapText="1"/>
      <protection hidden="1"/>
    </xf>
    <xf numFmtId="2" fontId="4" fillId="7" borderId="40" xfId="0" applyNumberFormat="1" applyFont="1" applyFill="1" applyBorder="1" applyAlignment="1" applyProtection="1">
      <alignment horizontal="center" vertical="center" wrapText="1"/>
      <protection hidden="1"/>
    </xf>
    <xf numFmtId="166" fontId="4" fillId="7" borderId="40" xfId="0" applyNumberFormat="1"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protection hidden="1"/>
    </xf>
    <xf numFmtId="165" fontId="4" fillId="7" borderId="40" xfId="0" applyNumberFormat="1" applyFont="1" applyFill="1" applyBorder="1" applyAlignment="1" applyProtection="1">
      <alignment horizontal="center" vertical="center" wrapText="1"/>
      <protection hidden="1"/>
    </xf>
    <xf numFmtId="170" fontId="4" fillId="7" borderId="41" xfId="0" applyNumberFormat="1"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14" fontId="4" fillId="7" borderId="43" xfId="0" applyNumberFormat="1" applyFont="1" applyFill="1" applyBorder="1" applyAlignment="1" applyProtection="1">
      <alignment horizontal="center" vertical="center" wrapText="1"/>
      <protection hidden="1"/>
    </xf>
    <xf numFmtId="2" fontId="4" fillId="7" borderId="43" xfId="0" applyNumberFormat="1" applyFont="1" applyFill="1" applyBorder="1" applyAlignment="1" applyProtection="1">
      <alignment horizontal="center" vertical="center" wrapText="1"/>
      <protection hidden="1"/>
    </xf>
    <xf numFmtId="166" fontId="4" fillId="7" borderId="43" xfId="0" applyNumberFormat="1"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protection hidden="1"/>
    </xf>
    <xf numFmtId="165" fontId="4" fillId="7" borderId="43" xfId="0" applyNumberFormat="1" applyFont="1" applyFill="1" applyBorder="1" applyAlignment="1" applyProtection="1">
      <alignment horizontal="center" vertical="center" wrapText="1"/>
      <protection hidden="1"/>
    </xf>
    <xf numFmtId="170" fontId="4" fillId="7" borderId="37" xfId="0" applyNumberFormat="1" applyFont="1" applyFill="1" applyBorder="1" applyAlignment="1" applyProtection="1">
      <alignment horizontal="center" vertical="center" wrapText="1"/>
      <protection hidden="1"/>
    </xf>
    <xf numFmtId="0" fontId="4" fillId="20" borderId="39" xfId="0" applyFont="1" applyFill="1" applyBorder="1" applyProtection="1">
      <protection hidden="1"/>
    </xf>
    <xf numFmtId="0" fontId="4" fillId="20" borderId="40" xfId="0" applyFont="1" applyFill="1" applyBorder="1" applyAlignment="1" applyProtection="1">
      <alignment horizontal="center" vertical="center"/>
      <protection hidden="1"/>
    </xf>
    <xf numFmtId="0" fontId="4" fillId="20" borderId="41" xfId="0" applyFont="1" applyFill="1" applyBorder="1" applyAlignment="1" applyProtection="1">
      <alignment horizontal="center" vertical="center"/>
      <protection hidden="1"/>
    </xf>
    <xf numFmtId="167" fontId="4" fillId="0" borderId="9" xfId="0" applyNumberFormat="1" applyFont="1" applyBorder="1" applyAlignment="1" applyProtection="1">
      <alignment horizontal="center" vertical="center"/>
      <protection hidden="1"/>
    </xf>
    <xf numFmtId="167" fontId="4" fillId="0" borderId="34" xfId="0" applyNumberFormat="1" applyFont="1" applyBorder="1" applyAlignment="1" applyProtection="1">
      <alignment horizontal="center" vertical="center"/>
      <protection hidden="1"/>
    </xf>
    <xf numFmtId="167" fontId="4" fillId="0" borderId="43" xfId="0" applyNumberFormat="1" applyFont="1" applyBorder="1" applyAlignment="1" applyProtection="1">
      <alignment horizontal="center" vertical="center"/>
      <protection hidden="1"/>
    </xf>
    <xf numFmtId="167" fontId="4" fillId="0" borderId="43" xfId="0" applyNumberFormat="1" applyFont="1" applyBorder="1" applyAlignment="1" applyProtection="1">
      <alignment horizontal="center" vertical="center" wrapText="1"/>
      <protection hidden="1"/>
    </xf>
    <xf numFmtId="167" fontId="4" fillId="0" borderId="37" xfId="0" applyNumberFormat="1"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14" fontId="4" fillId="0" borderId="0" xfId="0" applyNumberFormat="1" applyFont="1" applyAlignment="1" applyProtection="1">
      <alignment horizontal="center" vertical="center" wrapText="1"/>
      <protection hidden="1"/>
    </xf>
    <xf numFmtId="169" fontId="4" fillId="0" borderId="0" xfId="0" applyNumberFormat="1" applyFont="1" applyAlignment="1" applyProtection="1">
      <alignment horizontal="center" vertical="center" wrapText="1"/>
      <protection hidden="1"/>
    </xf>
    <xf numFmtId="0" fontId="4" fillId="0" borderId="3" xfId="0" applyFont="1" applyBorder="1" applyAlignment="1" applyProtection="1">
      <alignment vertical="center" textRotation="90" wrapText="1"/>
      <protection hidden="1"/>
    </xf>
    <xf numFmtId="2" fontId="4" fillId="0" borderId="0" xfId="0" applyNumberFormat="1" applyFont="1" applyAlignment="1" applyProtection="1">
      <alignment horizontal="center" vertical="center"/>
      <protection hidden="1"/>
    </xf>
    <xf numFmtId="2" fontId="4" fillId="0" borderId="0" xfId="0" applyNumberFormat="1" applyFont="1" applyProtection="1">
      <protection hidden="1"/>
    </xf>
    <xf numFmtId="165" fontId="4" fillId="0" borderId="0" xfId="0" applyNumberFormat="1" applyFont="1" applyAlignment="1" applyProtection="1">
      <alignment horizontal="center"/>
      <protection hidden="1"/>
    </xf>
    <xf numFmtId="167" fontId="4" fillId="0" borderId="0" xfId="0" applyNumberFormat="1" applyFont="1" applyAlignment="1" applyProtection="1">
      <alignment horizontal="center"/>
      <protection hidden="1"/>
    </xf>
    <xf numFmtId="0" fontId="4" fillId="5" borderId="77" xfId="0" applyFont="1" applyFill="1" applyBorder="1" applyAlignment="1" applyProtection="1">
      <alignment horizontal="center" vertical="center"/>
      <protection hidden="1"/>
    </xf>
    <xf numFmtId="169" fontId="4" fillId="0" borderId="0" xfId="0" applyNumberFormat="1" applyFont="1" applyAlignment="1" applyProtection="1">
      <alignment horizontal="center" vertical="center"/>
      <protection hidden="1"/>
    </xf>
    <xf numFmtId="0" fontId="4" fillId="7" borderId="58" xfId="0" applyFont="1" applyFill="1" applyBorder="1" applyAlignment="1" applyProtection="1">
      <alignment horizontal="center" vertical="center" wrapText="1"/>
      <protection hidden="1"/>
    </xf>
    <xf numFmtId="1" fontId="4" fillId="7" borderId="47" xfId="0" applyNumberFormat="1" applyFont="1" applyFill="1" applyBorder="1" applyAlignment="1" applyProtection="1">
      <alignment vertical="center" wrapText="1"/>
      <protection hidden="1"/>
    </xf>
    <xf numFmtId="165" fontId="4" fillId="7" borderId="40" xfId="0" applyNumberFormat="1" applyFont="1" applyFill="1" applyBorder="1" applyAlignment="1" applyProtection="1">
      <alignment horizontal="center" vertical="center"/>
      <protection hidden="1"/>
    </xf>
    <xf numFmtId="166" fontId="4" fillId="6" borderId="40" xfId="0" applyNumberFormat="1" applyFont="1" applyFill="1" applyBorder="1" applyAlignment="1" applyProtection="1">
      <alignment horizontal="center" vertical="center"/>
      <protection hidden="1"/>
    </xf>
    <xf numFmtId="165" fontId="4" fillId="6" borderId="41" xfId="0" applyNumberFormat="1" applyFont="1" applyFill="1" applyBorder="1" applyAlignment="1" applyProtection="1">
      <alignment horizontal="center" vertical="center"/>
      <protection hidden="1"/>
    </xf>
    <xf numFmtId="0" fontId="4" fillId="7" borderId="23" xfId="0" applyFont="1" applyFill="1" applyBorder="1" applyAlignment="1" applyProtection="1">
      <alignment horizontal="center" vertical="center" wrapText="1"/>
      <protection hidden="1"/>
    </xf>
    <xf numFmtId="1" fontId="4" fillId="7" borderId="14" xfId="0" applyNumberFormat="1" applyFont="1" applyFill="1" applyBorder="1" applyAlignment="1" applyProtection="1">
      <alignment vertical="center" wrapText="1"/>
      <protection hidden="1"/>
    </xf>
    <xf numFmtId="165" fontId="4" fillId="7" borderId="9" xfId="0" applyNumberFormat="1"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wrapText="1"/>
      <protection hidden="1"/>
    </xf>
    <xf numFmtId="166" fontId="4" fillId="6" borderId="9" xfId="0" applyNumberFormat="1" applyFont="1" applyFill="1" applyBorder="1" applyAlignment="1" applyProtection="1">
      <alignment horizontal="center" vertical="center"/>
      <protection hidden="1"/>
    </xf>
    <xf numFmtId="165" fontId="4" fillId="6" borderId="34" xfId="0" applyNumberFormat="1" applyFont="1" applyFill="1" applyBorder="1" applyAlignment="1" applyProtection="1">
      <alignment horizontal="center" vertical="center"/>
      <protection hidden="1"/>
    </xf>
    <xf numFmtId="0" fontId="4" fillId="6" borderId="9" xfId="0" applyFont="1" applyFill="1" applyBorder="1" applyAlignment="1" applyProtection="1">
      <alignment horizontal="center" vertical="center"/>
      <protection hidden="1"/>
    </xf>
    <xf numFmtId="0" fontId="4" fillId="7" borderId="61" xfId="0" applyFont="1" applyFill="1" applyBorder="1" applyAlignment="1" applyProtection="1">
      <alignment horizontal="center" vertical="center" wrapText="1"/>
      <protection hidden="1"/>
    </xf>
    <xf numFmtId="1" fontId="4" fillId="7" borderId="56" xfId="0" applyNumberFormat="1" applyFont="1" applyFill="1" applyBorder="1" applyAlignment="1" applyProtection="1">
      <alignment vertical="center" wrapText="1"/>
      <protection hidden="1"/>
    </xf>
    <xf numFmtId="165" fontId="4" fillId="7" borderId="43" xfId="0" applyNumberFormat="1" applyFont="1" applyFill="1" applyBorder="1" applyAlignment="1" applyProtection="1">
      <alignment horizontal="center" vertical="center"/>
      <protection hidden="1"/>
    </xf>
    <xf numFmtId="166" fontId="4" fillId="6" borderId="43" xfId="0" applyNumberFormat="1" applyFont="1" applyFill="1" applyBorder="1" applyAlignment="1" applyProtection="1">
      <alignment horizontal="center" vertical="center"/>
      <protection hidden="1"/>
    </xf>
    <xf numFmtId="0" fontId="4" fillId="6" borderId="43" xfId="0" applyFont="1" applyFill="1" applyBorder="1" applyAlignment="1" applyProtection="1">
      <alignment horizontal="center" vertical="center"/>
      <protection hidden="1"/>
    </xf>
    <xf numFmtId="165" fontId="4" fillId="6" borderId="37" xfId="0" applyNumberFormat="1" applyFont="1" applyFill="1" applyBorder="1" applyAlignment="1" applyProtection="1">
      <alignment horizontal="center" vertical="center"/>
      <protection hidden="1"/>
    </xf>
    <xf numFmtId="0" fontId="4" fillId="0" borderId="0" xfId="0" applyFont="1" applyAlignment="1" applyProtection="1">
      <alignment vertical="center" wrapText="1"/>
      <protection hidden="1"/>
    </xf>
    <xf numFmtId="1" fontId="4" fillId="0" borderId="0" xfId="0" applyNumberFormat="1" applyFont="1" applyAlignment="1" applyProtection="1">
      <alignment vertical="center" wrapText="1"/>
      <protection hidden="1"/>
    </xf>
    <xf numFmtId="166" fontId="4" fillId="0" borderId="0" xfId="0" applyNumberFormat="1" applyFont="1" applyAlignment="1" applyProtection="1">
      <alignment horizontal="center" vertical="center"/>
      <protection hidden="1"/>
    </xf>
    <xf numFmtId="166" fontId="4" fillId="7" borderId="40" xfId="0" applyNumberFormat="1" applyFont="1" applyFill="1" applyBorder="1" applyAlignment="1" applyProtection="1">
      <alignment horizontal="center" vertical="center"/>
      <protection hidden="1"/>
    </xf>
    <xf numFmtId="0" fontId="4" fillId="6" borderId="40" xfId="0"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166" fontId="4" fillId="7" borderId="43" xfId="0" applyNumberFormat="1" applyFont="1" applyFill="1" applyBorder="1" applyAlignment="1" applyProtection="1">
      <alignment horizontal="center" vertical="center"/>
      <protection hidden="1"/>
    </xf>
    <xf numFmtId="166" fontId="4" fillId="0" borderId="0" xfId="0" applyNumberFormat="1" applyFont="1" applyProtection="1">
      <protection hidden="1"/>
    </xf>
    <xf numFmtId="0" fontId="4" fillId="0" borderId="50" xfId="0" applyFont="1" applyBorder="1" applyAlignment="1" applyProtection="1">
      <alignment horizontal="center"/>
      <protection hidden="1"/>
    </xf>
    <xf numFmtId="0" fontId="4" fillId="0" borderId="64" xfId="0" applyFont="1" applyBorder="1" applyAlignment="1" applyProtection="1">
      <alignment horizontal="center"/>
      <protection hidden="1"/>
    </xf>
    <xf numFmtId="0" fontId="4" fillId="18" borderId="71" xfId="0" applyFont="1" applyFill="1" applyBorder="1" applyAlignment="1" applyProtection="1">
      <alignment horizontal="center" vertical="center"/>
      <protection hidden="1"/>
    </xf>
    <xf numFmtId="0" fontId="4" fillId="18" borderId="66" xfId="0" applyFont="1" applyFill="1" applyBorder="1" applyAlignment="1" applyProtection="1">
      <alignment horizontal="center" vertical="center" wrapText="1"/>
      <protection hidden="1"/>
    </xf>
    <xf numFmtId="0" fontId="4" fillId="18" borderId="66" xfId="0" applyFont="1" applyFill="1" applyBorder="1" applyAlignment="1" applyProtection="1">
      <alignment horizontal="center" vertical="center"/>
      <protection hidden="1"/>
    </xf>
    <xf numFmtId="0" fontId="4" fillId="18" borderId="72" xfId="0" applyFont="1" applyFill="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7" borderId="30" xfId="0" applyFont="1" applyFill="1" applyBorder="1" applyAlignment="1" applyProtection="1">
      <alignment horizontal="center" vertical="center" wrapText="1"/>
      <protection hidden="1"/>
    </xf>
    <xf numFmtId="0" fontId="4" fillId="7" borderId="34" xfId="0" applyFont="1" applyFill="1" applyBorder="1" applyAlignment="1" applyProtection="1">
      <alignment horizontal="center" vertical="center" wrapText="1"/>
      <protection hidden="1"/>
    </xf>
    <xf numFmtId="0" fontId="4" fillId="7" borderId="32" xfId="0" applyFont="1" applyFill="1" applyBorder="1" applyAlignment="1" applyProtection="1">
      <alignment horizontal="center" vertical="center" wrapText="1"/>
      <protection hidden="1"/>
    </xf>
    <xf numFmtId="166" fontId="4" fillId="7" borderId="34" xfId="0" applyNumberFormat="1" applyFont="1" applyFill="1" applyBorder="1" applyAlignment="1" applyProtection="1">
      <alignment horizontal="center" vertical="center" wrapText="1"/>
      <protection hidden="1"/>
    </xf>
    <xf numFmtId="164" fontId="4" fillId="7" borderId="9" xfId="0" applyNumberFormat="1" applyFont="1" applyFill="1" applyBorder="1" applyAlignment="1" applyProtection="1">
      <alignment horizontal="center" vertical="center" wrapText="1"/>
      <protection hidden="1"/>
    </xf>
    <xf numFmtId="2" fontId="4" fillId="7" borderId="34" xfId="0" applyNumberFormat="1"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0" fontId="4" fillId="7" borderId="37" xfId="0" applyFont="1" applyFill="1" applyBorder="1" applyAlignment="1" applyProtection="1">
      <alignment horizontal="center" vertical="center" wrapText="1"/>
      <protection hidden="1"/>
    </xf>
    <xf numFmtId="2" fontId="4" fillId="7" borderId="42" xfId="0" applyNumberFormat="1" applyFont="1" applyFill="1" applyBorder="1" applyAlignment="1" applyProtection="1">
      <alignment horizontal="center" vertical="center" wrapText="1"/>
      <protection hidden="1"/>
    </xf>
    <xf numFmtId="10" fontId="4" fillId="7" borderId="37" xfId="0" applyNumberFormat="1" applyFont="1" applyFill="1" applyBorder="1" applyAlignment="1" applyProtection="1">
      <alignment horizontal="center" vertical="center" wrapText="1"/>
      <protection hidden="1"/>
    </xf>
    <xf numFmtId="0" fontId="4" fillId="0" borderId="6" xfId="0" applyFont="1" applyBorder="1" applyProtection="1">
      <protection hidden="1"/>
    </xf>
    <xf numFmtId="0" fontId="4" fillId="0" borderId="7" xfId="0" applyFont="1" applyBorder="1" applyProtection="1">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30" borderId="18" xfId="0" applyFont="1" applyFill="1" applyBorder="1" applyAlignment="1" applyProtection="1">
      <alignment horizontal="center" vertical="center" wrapText="1"/>
      <protection hidden="1"/>
    </xf>
    <xf numFmtId="0" fontId="4" fillId="0" borderId="5" xfId="0" applyFont="1" applyBorder="1" applyProtection="1">
      <protection hidden="1"/>
    </xf>
    <xf numFmtId="0" fontId="4" fillId="30" borderId="9" xfId="0" applyFont="1" applyFill="1" applyBorder="1" applyAlignment="1" applyProtection="1">
      <alignment horizontal="center" vertical="center" wrapText="1"/>
      <protection hidden="1"/>
    </xf>
    <xf numFmtId="0" fontId="4" fillId="0" borderId="10" xfId="0" applyFont="1" applyBorder="1" applyAlignment="1" applyProtection="1">
      <alignment horizontal="center"/>
      <protection hidden="1"/>
    </xf>
    <xf numFmtId="0" fontId="4" fillId="0" borderId="48" xfId="0" applyFont="1" applyBorder="1" applyAlignment="1" applyProtection="1">
      <alignment horizontal="center"/>
      <protection hidden="1"/>
    </xf>
    <xf numFmtId="0" fontId="4" fillId="30" borderId="40" xfId="0" applyFont="1" applyFill="1" applyBorder="1" applyAlignment="1" applyProtection="1">
      <alignment horizontal="center" vertical="center" wrapText="1"/>
      <protection hidden="1"/>
    </xf>
    <xf numFmtId="0" fontId="4" fillId="2" borderId="3" xfId="0" applyFont="1" applyFill="1" applyBorder="1" applyProtection="1">
      <protection hidden="1"/>
    </xf>
    <xf numFmtId="169" fontId="4" fillId="0" borderId="3" xfId="0" applyNumberFormat="1" applyFont="1" applyBorder="1" applyAlignment="1" applyProtection="1">
      <alignment horizontal="center" vertical="center"/>
      <protection hidden="1"/>
    </xf>
    <xf numFmtId="0" fontId="4" fillId="2" borderId="5" xfId="0" applyFont="1" applyFill="1" applyBorder="1" applyProtection="1">
      <protection hidden="1"/>
    </xf>
    <xf numFmtId="0" fontId="4" fillId="0" borderId="5" xfId="0" applyFont="1" applyBorder="1" applyAlignment="1" applyProtection="1">
      <alignment horizontal="center" vertical="center"/>
      <protection hidden="1"/>
    </xf>
    <xf numFmtId="167" fontId="4" fillId="30" borderId="9" xfId="0" applyNumberFormat="1" applyFont="1" applyFill="1" applyBorder="1" applyAlignment="1" applyProtection="1">
      <alignment horizontal="center" vertical="center" wrapText="1"/>
      <protection hidden="1"/>
    </xf>
    <xf numFmtId="0" fontId="4" fillId="2" borderId="0" xfId="0" applyFont="1" applyFill="1" applyProtection="1">
      <protection hidden="1"/>
    </xf>
    <xf numFmtId="0" fontId="4" fillId="2" borderId="0" xfId="0" applyFont="1" applyFill="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0" borderId="46"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4" fillId="0" borderId="38" xfId="0" applyFont="1" applyBorder="1" applyAlignment="1" applyProtection="1">
      <alignment horizontal="center"/>
      <protection hidden="1"/>
    </xf>
    <xf numFmtId="164" fontId="4" fillId="0" borderId="0" xfId="0" applyNumberFormat="1" applyFont="1" applyAlignment="1" applyProtection="1">
      <alignment vertical="center"/>
      <protection hidden="1"/>
    </xf>
    <xf numFmtId="0" fontId="4" fillId="0" borderId="19" xfId="0" applyFont="1" applyBorder="1" applyAlignment="1" applyProtection="1">
      <alignment horizontal="center" vertical="center"/>
      <protection hidden="1"/>
    </xf>
    <xf numFmtId="0" fontId="4" fillId="0" borderId="22"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3" fontId="4" fillId="7" borderId="39" xfId="0" applyNumberFormat="1" applyFont="1" applyFill="1" applyBorder="1" applyAlignment="1" applyProtection="1">
      <alignment horizontal="center" vertical="center" wrapText="1"/>
      <protection hidden="1"/>
    </xf>
    <xf numFmtId="3" fontId="4" fillId="7" borderId="40" xfId="0" applyNumberFormat="1" applyFont="1" applyFill="1" applyBorder="1" applyAlignment="1" applyProtection="1">
      <alignment horizontal="center" vertical="center" wrapText="1"/>
      <protection hidden="1"/>
    </xf>
    <xf numFmtId="169" fontId="4" fillId="6" borderId="40" xfId="0" applyNumberFormat="1" applyFont="1" applyFill="1" applyBorder="1" applyAlignment="1" applyProtection="1">
      <alignment horizontal="center" vertical="center" wrapText="1"/>
      <protection hidden="1"/>
    </xf>
    <xf numFmtId="0" fontId="4" fillId="6" borderId="40" xfId="0" applyFont="1" applyFill="1" applyBorder="1" applyAlignment="1" applyProtection="1">
      <alignment horizontal="center" vertical="center" wrapText="1"/>
      <protection hidden="1"/>
    </xf>
    <xf numFmtId="167" fontId="4" fillId="7" borderId="40" xfId="0" applyNumberFormat="1" applyFont="1" applyFill="1" applyBorder="1" applyAlignment="1" applyProtection="1">
      <alignment horizontal="center" vertical="center" wrapText="1"/>
      <protection hidden="1"/>
    </xf>
    <xf numFmtId="170" fontId="4" fillId="7" borderId="40" xfId="0" applyNumberFormat="1" applyFont="1" applyFill="1" applyBorder="1" applyAlignment="1" applyProtection="1">
      <alignment horizontal="center" vertical="center" wrapText="1"/>
      <protection hidden="1"/>
    </xf>
    <xf numFmtId="165" fontId="4" fillId="7" borderId="41" xfId="0" applyNumberFormat="1" applyFont="1" applyFill="1" applyBorder="1" applyAlignment="1" applyProtection="1">
      <alignment horizontal="center" vertical="center" wrapText="1"/>
      <protection hidden="1"/>
    </xf>
    <xf numFmtId="3" fontId="4" fillId="7" borderId="32" xfId="0" applyNumberFormat="1" applyFont="1" applyFill="1" applyBorder="1" applyAlignment="1" applyProtection="1">
      <alignment horizontal="center" vertical="center" wrapText="1"/>
      <protection hidden="1"/>
    </xf>
    <xf numFmtId="3" fontId="4" fillId="7" borderId="18" xfId="0" applyNumberFormat="1" applyFont="1" applyFill="1" applyBorder="1" applyAlignment="1" applyProtection="1">
      <alignment horizontal="center" vertical="center" wrapText="1"/>
      <protection hidden="1"/>
    </xf>
    <xf numFmtId="169" fontId="4" fillId="6" borderId="9" xfId="0" applyNumberFormat="1" applyFont="1" applyFill="1" applyBorder="1" applyAlignment="1" applyProtection="1">
      <alignment horizontal="center" vertical="center" wrapText="1"/>
      <protection hidden="1"/>
    </xf>
    <xf numFmtId="0" fontId="4" fillId="6" borderId="9"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2" fontId="4" fillId="7" borderId="9" xfId="0" applyNumberFormat="1" applyFont="1" applyFill="1" applyBorder="1" applyAlignment="1" applyProtection="1">
      <alignment horizontal="center" vertical="center" wrapText="1"/>
      <protection hidden="1"/>
    </xf>
    <xf numFmtId="165" fontId="4" fillId="7" borderId="18" xfId="0" applyNumberFormat="1" applyFont="1" applyFill="1" applyBorder="1" applyAlignment="1" applyProtection="1">
      <alignment horizontal="center" vertical="center" wrapText="1"/>
      <protection hidden="1"/>
    </xf>
    <xf numFmtId="165" fontId="4" fillId="7" borderId="36" xfId="0" applyNumberFormat="1" applyFont="1" applyFill="1" applyBorder="1" applyAlignment="1" applyProtection="1">
      <alignment horizontal="center" vertical="center" wrapText="1"/>
      <protection hidden="1"/>
    </xf>
    <xf numFmtId="3" fontId="4" fillId="7" borderId="42" xfId="0" applyNumberFormat="1" applyFont="1" applyFill="1" applyBorder="1" applyAlignment="1" applyProtection="1">
      <alignment horizontal="center" vertical="center" wrapText="1"/>
      <protection hidden="1"/>
    </xf>
    <xf numFmtId="3" fontId="4" fillId="7" borderId="43" xfId="0" applyNumberFormat="1" applyFont="1" applyFill="1" applyBorder="1" applyAlignment="1" applyProtection="1">
      <alignment horizontal="center" vertical="center" wrapText="1"/>
      <protection hidden="1"/>
    </xf>
    <xf numFmtId="169" fontId="4" fillId="6" borderId="43" xfId="0" applyNumberFormat="1" applyFont="1" applyFill="1" applyBorder="1" applyAlignment="1" applyProtection="1">
      <alignment horizontal="center" vertical="center" wrapText="1"/>
      <protection hidden="1"/>
    </xf>
    <xf numFmtId="0" fontId="4" fillId="6" borderId="43" xfId="0" applyFont="1" applyFill="1" applyBorder="1" applyAlignment="1" applyProtection="1">
      <alignment horizontal="center" vertical="center" wrapText="1"/>
      <protection hidden="1"/>
    </xf>
    <xf numFmtId="165" fontId="4" fillId="7" borderId="52" xfId="0" applyNumberFormat="1" applyFont="1" applyFill="1" applyBorder="1" applyAlignment="1" applyProtection="1">
      <alignment horizontal="center" vertical="center" wrapText="1"/>
      <protection hidden="1"/>
    </xf>
    <xf numFmtId="165" fontId="4" fillId="7" borderId="77" xfId="0" applyNumberFormat="1"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169" fontId="4" fillId="0" borderId="7" xfId="0" applyNumberFormat="1" applyFont="1" applyBorder="1" applyAlignment="1" applyProtection="1">
      <alignment horizontal="center" vertical="center"/>
      <protection hidden="1"/>
    </xf>
    <xf numFmtId="0" fontId="4" fillId="0" borderId="7" xfId="0" applyFont="1" applyBorder="1" applyAlignment="1" applyProtection="1">
      <alignment horizontal="center"/>
      <protection hidden="1"/>
    </xf>
    <xf numFmtId="0" fontId="4" fillId="0" borderId="48" xfId="0" applyFont="1" applyBorder="1" applyAlignment="1" applyProtection="1">
      <alignment horizontal="center" vertical="center"/>
      <protection hidden="1"/>
    </xf>
    <xf numFmtId="0" fontId="4" fillId="0" borderId="5" xfId="0" applyFont="1" applyBorder="1" applyAlignment="1" applyProtection="1">
      <alignment vertical="center"/>
      <protection hidden="1"/>
    </xf>
    <xf numFmtId="169" fontId="4" fillId="0" borderId="5" xfId="0" applyNumberFormat="1" applyFont="1" applyBorder="1" applyAlignment="1" applyProtection="1">
      <alignment horizontal="center" vertical="center"/>
      <protection hidden="1"/>
    </xf>
    <xf numFmtId="0" fontId="4" fillId="0" borderId="38" xfId="0" applyFont="1" applyBorder="1" applyProtection="1">
      <protection hidden="1"/>
    </xf>
    <xf numFmtId="0" fontId="4" fillId="0" borderId="29" xfId="0" applyFont="1" applyBorder="1" applyProtection="1">
      <protection hidden="1"/>
    </xf>
    <xf numFmtId="0" fontId="4" fillId="0" borderId="0" xfId="0" applyFont="1" applyAlignment="1" applyProtection="1">
      <alignment vertical="center" wrapText="1"/>
      <protection locked="0" hidden="1"/>
    </xf>
    <xf numFmtId="0" fontId="4" fillId="2" borderId="0" xfId="0" applyFont="1" applyFill="1" applyAlignment="1" applyProtection="1">
      <alignment vertical="center" wrapText="1"/>
      <protection hidden="1"/>
    </xf>
    <xf numFmtId="14" fontId="4" fillId="15" borderId="47" xfId="0" applyNumberFormat="1" applyFont="1" applyFill="1" applyBorder="1" applyAlignment="1" applyProtection="1">
      <alignment horizontal="center" vertical="center" wrapText="1"/>
      <protection hidden="1"/>
    </xf>
    <xf numFmtId="2" fontId="4" fillId="15" borderId="40" xfId="0" applyNumberFormat="1" applyFont="1" applyFill="1" applyBorder="1" applyAlignment="1" applyProtection="1">
      <alignment horizontal="center" vertical="center" wrapText="1"/>
      <protection hidden="1"/>
    </xf>
    <xf numFmtId="14" fontId="4" fillId="12" borderId="40" xfId="0" applyNumberFormat="1" applyFont="1" applyFill="1" applyBorder="1" applyAlignment="1" applyProtection="1">
      <alignment horizontal="center" vertical="center" wrapText="1"/>
      <protection hidden="1"/>
    </xf>
    <xf numFmtId="0" fontId="4" fillId="15" borderId="40" xfId="0" applyFont="1" applyFill="1" applyBorder="1" applyAlignment="1" applyProtection="1">
      <alignment horizontal="center" vertical="center" wrapText="1"/>
      <protection hidden="1"/>
    </xf>
    <xf numFmtId="167" fontId="4" fillId="15" borderId="40" xfId="0" applyNumberFormat="1" applyFont="1" applyFill="1" applyBorder="1" applyAlignment="1" applyProtection="1">
      <alignment horizontal="center" vertical="center" wrapText="1"/>
      <protection hidden="1"/>
    </xf>
    <xf numFmtId="2" fontId="4" fillId="12" borderId="40" xfId="0" applyNumberFormat="1" applyFont="1" applyFill="1" applyBorder="1" applyAlignment="1" applyProtection="1">
      <alignment horizontal="center" vertical="center" wrapText="1"/>
      <protection hidden="1"/>
    </xf>
    <xf numFmtId="0" fontId="4" fillId="19" borderId="9" xfId="0" applyFont="1" applyFill="1" applyBorder="1" applyAlignment="1" applyProtection="1">
      <alignment horizontal="center" vertical="center" wrapText="1"/>
      <protection hidden="1"/>
    </xf>
    <xf numFmtId="169" fontId="4" fillId="15" borderId="9" xfId="0" applyNumberFormat="1" applyFont="1" applyFill="1" applyBorder="1" applyAlignment="1" applyProtection="1">
      <alignment horizontal="center" vertical="center" wrapText="1"/>
      <protection hidden="1"/>
    </xf>
    <xf numFmtId="0" fontId="4" fillId="2" borderId="29"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1" fontId="4" fillId="15" borderId="14" xfId="0" applyNumberFormat="1" applyFont="1" applyFill="1" applyBorder="1" applyAlignment="1" applyProtection="1">
      <alignment vertical="center" wrapText="1"/>
      <protection hidden="1"/>
    </xf>
    <xf numFmtId="166" fontId="4" fillId="15" borderId="9" xfId="0" applyNumberFormat="1" applyFont="1" applyFill="1" applyBorder="1" applyAlignment="1" applyProtection="1">
      <alignment horizontal="center" vertical="center" wrapText="1"/>
      <protection hidden="1"/>
    </xf>
    <xf numFmtId="14" fontId="4" fillId="12" borderId="9" xfId="0" applyNumberFormat="1" applyFont="1" applyFill="1" applyBorder="1" applyAlignment="1" applyProtection="1">
      <alignment horizontal="center" vertical="center" wrapText="1"/>
      <protection hidden="1"/>
    </xf>
    <xf numFmtId="14" fontId="4" fillId="12" borderId="9" xfId="0" applyNumberFormat="1" applyFont="1" applyFill="1" applyBorder="1" applyAlignment="1" applyProtection="1">
      <alignment horizontal="center" vertical="center"/>
      <protection hidden="1"/>
    </xf>
    <xf numFmtId="164" fontId="4" fillId="12" borderId="9" xfId="0" applyNumberFormat="1" applyFont="1" applyFill="1" applyBorder="1" applyAlignment="1" applyProtection="1">
      <alignment horizontal="center" vertical="center" wrapText="1"/>
      <protection hidden="1"/>
    </xf>
    <xf numFmtId="167" fontId="4" fillId="15" borderId="9" xfId="0" applyNumberFormat="1" applyFont="1" applyFill="1" applyBorder="1" applyAlignment="1" applyProtection="1">
      <alignment horizontal="center" vertical="center" wrapText="1"/>
      <protection hidden="1"/>
    </xf>
    <xf numFmtId="0" fontId="4" fillId="2" borderId="0" xfId="0" applyFont="1" applyFill="1" applyAlignment="1" applyProtection="1">
      <alignment horizontal="center" vertical="center" wrapText="1"/>
      <protection hidden="1"/>
    </xf>
    <xf numFmtId="0" fontId="4" fillId="2" borderId="48"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4" fillId="2" borderId="48" xfId="0" applyFont="1" applyFill="1" applyBorder="1" applyAlignment="1" applyProtection="1">
      <alignment horizontal="center" vertical="center" wrapText="1"/>
      <protection locked="0" hidden="1"/>
    </xf>
    <xf numFmtId="166" fontId="4" fillId="19" borderId="9" xfId="0" applyNumberFormat="1" applyFont="1" applyFill="1" applyBorder="1" applyAlignment="1" applyProtection="1">
      <alignment horizontal="center" vertical="center" wrapText="1"/>
      <protection hidden="1"/>
    </xf>
    <xf numFmtId="2" fontId="4" fillId="15" borderId="9" xfId="0" applyNumberFormat="1" applyFont="1" applyFill="1" applyBorder="1" applyAlignment="1" applyProtection="1">
      <alignment horizontal="center" vertical="center" wrapText="1"/>
      <protection hidden="1"/>
    </xf>
    <xf numFmtId="1" fontId="4" fillId="15" borderId="14" xfId="0" applyNumberFormat="1" applyFont="1" applyFill="1" applyBorder="1" applyAlignment="1" applyProtection="1">
      <alignment horizontal="center" vertical="center" wrapText="1"/>
      <protection hidden="1"/>
    </xf>
    <xf numFmtId="14" fontId="4" fillId="12" borderId="11" xfId="0" applyNumberFormat="1" applyFont="1" applyFill="1" applyBorder="1" applyAlignment="1" applyProtection="1">
      <alignment horizontal="center" vertical="center" wrapText="1"/>
      <protection hidden="1"/>
    </xf>
    <xf numFmtId="165" fontId="4" fillId="12" borderId="9" xfId="0" applyNumberFormat="1" applyFont="1" applyFill="1" applyBorder="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1" fontId="4" fillId="15" borderId="9" xfId="0" applyNumberFormat="1" applyFont="1" applyFill="1" applyBorder="1" applyAlignment="1" applyProtection="1">
      <alignment horizontal="center" vertical="center" wrapText="1"/>
      <protection hidden="1"/>
    </xf>
    <xf numFmtId="165" fontId="4" fillId="15" borderId="9" xfId="0" applyNumberFormat="1" applyFont="1" applyFill="1" applyBorder="1" applyAlignment="1" applyProtection="1">
      <alignment horizontal="center" vertical="center" wrapText="1"/>
      <protection hidden="1"/>
    </xf>
    <xf numFmtId="168" fontId="4" fillId="15" borderId="9" xfId="0" applyNumberFormat="1" applyFont="1" applyFill="1" applyBorder="1" applyAlignment="1" applyProtection="1">
      <alignment horizontal="center" vertical="center" wrapText="1"/>
      <protection hidden="1"/>
    </xf>
    <xf numFmtId="170" fontId="4" fillId="12" borderId="9" xfId="0" applyNumberFormat="1" applyFont="1" applyFill="1" applyBorder="1" applyAlignment="1" applyProtection="1">
      <alignment horizontal="center" vertical="center" wrapText="1"/>
      <protection hidden="1"/>
    </xf>
    <xf numFmtId="0" fontId="4" fillId="12" borderId="9" xfId="0" applyFont="1" applyFill="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48" xfId="0" applyFont="1" applyBorder="1" applyAlignment="1" applyProtection="1">
      <alignment horizontal="center" vertical="center" wrapText="1"/>
      <protection hidden="1"/>
    </xf>
    <xf numFmtId="1" fontId="4" fillId="15" borderId="56" xfId="0" applyNumberFormat="1" applyFont="1" applyFill="1" applyBorder="1" applyAlignment="1" applyProtection="1">
      <alignment horizontal="center" vertical="center" wrapText="1"/>
      <protection hidden="1"/>
    </xf>
    <xf numFmtId="1" fontId="4" fillId="15" borderId="43" xfId="0" applyNumberFormat="1" applyFont="1" applyFill="1" applyBorder="1" applyAlignment="1" applyProtection="1">
      <alignment horizontal="center" vertical="center" wrapText="1"/>
      <protection hidden="1"/>
    </xf>
    <xf numFmtId="14" fontId="4" fillId="12" borderId="43" xfId="0" applyNumberFormat="1" applyFont="1" applyFill="1" applyBorder="1" applyAlignment="1" applyProtection="1">
      <alignment horizontal="center" vertical="center" wrapText="1"/>
      <protection hidden="1"/>
    </xf>
    <xf numFmtId="2" fontId="4" fillId="15" borderId="43" xfId="0" applyNumberFormat="1" applyFont="1" applyFill="1" applyBorder="1" applyAlignment="1" applyProtection="1">
      <alignment horizontal="center" vertical="center" wrapText="1"/>
      <protection hidden="1"/>
    </xf>
    <xf numFmtId="165" fontId="4" fillId="15" borderId="43" xfId="0" applyNumberFormat="1" applyFont="1" applyFill="1" applyBorder="1" applyAlignment="1" applyProtection="1">
      <alignment horizontal="center" vertical="center" wrapText="1"/>
      <protection hidden="1"/>
    </xf>
    <xf numFmtId="166" fontId="4" fillId="15" borderId="43" xfId="0" applyNumberFormat="1" applyFont="1" applyFill="1" applyBorder="1" applyAlignment="1" applyProtection="1">
      <alignment horizontal="center" vertical="center" wrapText="1"/>
      <protection hidden="1"/>
    </xf>
    <xf numFmtId="170" fontId="4" fillId="19" borderId="43" xfId="0" applyNumberFormat="1"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167" fontId="4" fillId="15" borderId="43" xfId="0" applyNumberFormat="1" applyFont="1" applyFill="1" applyBorder="1" applyAlignment="1" applyProtection="1">
      <alignment horizontal="center" vertical="center" wrapText="1"/>
      <protection hidden="1"/>
    </xf>
    <xf numFmtId="169" fontId="4" fillId="15" borderId="43" xfId="0" applyNumberFormat="1" applyFont="1" applyFill="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0" fontId="4" fillId="0" borderId="38" xfId="0" applyFont="1" applyBorder="1" applyAlignment="1" applyProtection="1">
      <alignment horizontal="center" vertical="center" wrapText="1"/>
      <protection hidden="1"/>
    </xf>
    <xf numFmtId="166" fontId="4" fillId="0" borderId="0" xfId="0" applyNumberFormat="1" applyFont="1" applyAlignment="1" applyProtection="1">
      <alignment vertical="center" wrapText="1"/>
      <protection hidden="1"/>
    </xf>
    <xf numFmtId="2" fontId="4" fillId="7" borderId="18" xfId="0" applyNumberFormat="1" applyFont="1" applyFill="1" applyBorder="1" applyAlignment="1" applyProtection="1">
      <alignment horizontal="center" vertical="center" wrapText="1"/>
      <protection hidden="1"/>
    </xf>
    <xf numFmtId="2" fontId="4" fillId="7" borderId="36" xfId="0" applyNumberFormat="1" applyFont="1" applyFill="1" applyBorder="1" applyAlignment="1" applyProtection="1">
      <alignment horizontal="center" vertical="center" wrapText="1"/>
      <protection hidden="1"/>
    </xf>
    <xf numFmtId="165" fontId="4" fillId="7" borderId="39" xfId="0" applyNumberFormat="1" applyFont="1" applyFill="1" applyBorder="1" applyAlignment="1" applyProtection="1">
      <alignment horizontal="center" vertical="center" wrapText="1"/>
      <protection hidden="1"/>
    </xf>
    <xf numFmtId="2" fontId="4" fillId="7" borderId="32"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wrapText="1"/>
      <protection hidden="1"/>
    </xf>
    <xf numFmtId="165" fontId="4" fillId="7" borderId="34" xfId="0" applyNumberFormat="1" applyFont="1" applyFill="1" applyBorder="1" applyAlignment="1" applyProtection="1">
      <alignment horizontal="center" vertical="center" wrapText="1"/>
      <protection hidden="1"/>
    </xf>
    <xf numFmtId="0" fontId="4" fillId="12" borderId="14" xfId="0" applyFont="1" applyFill="1" applyBorder="1" applyAlignment="1" applyProtection="1">
      <alignment horizontal="center" vertical="center" wrapText="1"/>
      <protection hidden="1"/>
    </xf>
    <xf numFmtId="0" fontId="4" fillId="12" borderId="34" xfId="0" applyFont="1" applyFill="1" applyBorder="1" applyAlignment="1" applyProtection="1">
      <alignment horizontal="center" vertical="center" wrapText="1"/>
      <protection hidden="1"/>
    </xf>
    <xf numFmtId="164" fontId="4" fillId="7" borderId="32" xfId="0" applyNumberFormat="1" applyFont="1" applyFill="1" applyBorder="1" applyAlignment="1" applyProtection="1">
      <alignment horizontal="center" vertical="center" wrapText="1"/>
      <protection hidden="1"/>
    </xf>
    <xf numFmtId="2" fontId="4" fillId="12" borderId="14" xfId="0" applyNumberFormat="1" applyFont="1" applyFill="1" applyBorder="1" applyAlignment="1" applyProtection="1">
      <alignment horizontal="center" vertical="center" wrapText="1"/>
      <protection hidden="1"/>
    </xf>
    <xf numFmtId="2" fontId="4" fillId="12" borderId="9" xfId="0" applyNumberFormat="1" applyFont="1" applyFill="1" applyBorder="1" applyAlignment="1" applyProtection="1">
      <alignment horizontal="center" vertical="center" wrapText="1"/>
      <protection hidden="1"/>
    </xf>
    <xf numFmtId="175" fontId="4" fillId="7" borderId="34" xfId="0" applyNumberFormat="1" applyFont="1" applyFill="1" applyBorder="1" applyAlignment="1" applyProtection="1">
      <alignment horizontal="center" vertical="center" wrapText="1"/>
      <protection hidden="1"/>
    </xf>
    <xf numFmtId="175" fontId="4" fillId="7" borderId="65" xfId="0" applyNumberFormat="1" applyFont="1" applyFill="1" applyBorder="1" applyAlignment="1" applyProtection="1">
      <alignment horizontal="center" vertical="center" wrapText="1"/>
      <protection hidden="1"/>
    </xf>
    <xf numFmtId="175" fontId="4" fillId="7" borderId="37" xfId="0" applyNumberFormat="1" applyFont="1" applyFill="1" applyBorder="1" applyAlignment="1" applyProtection="1">
      <alignment horizontal="center" vertical="center" wrapText="1"/>
      <protection hidden="1"/>
    </xf>
    <xf numFmtId="175" fontId="4" fillId="7" borderId="68" xfId="0" applyNumberFormat="1" applyFont="1" applyFill="1" applyBorder="1" applyAlignment="1" applyProtection="1">
      <alignment horizontal="center" vertical="center" wrapText="1"/>
      <protection hidden="1"/>
    </xf>
    <xf numFmtId="165" fontId="4" fillId="7" borderId="37" xfId="0" applyNumberFormat="1" applyFont="1" applyFill="1" applyBorder="1" applyAlignment="1" applyProtection="1">
      <alignment horizontal="center" vertical="center" wrapText="1"/>
      <protection hidden="1"/>
    </xf>
    <xf numFmtId="2" fontId="4" fillId="0" borderId="0" xfId="0" applyNumberFormat="1" applyFont="1" applyAlignment="1" applyProtection="1">
      <alignment vertical="center" wrapText="1"/>
      <protection hidden="1"/>
    </xf>
    <xf numFmtId="20" fontId="4" fillId="6" borderId="1" xfId="0" applyNumberFormat="1" applyFont="1" applyFill="1" applyBorder="1" applyAlignment="1" applyProtection="1">
      <alignment horizontal="center" vertical="center" wrapText="1"/>
      <protection locked="0" hidden="1"/>
    </xf>
    <xf numFmtId="14" fontId="4" fillId="0" borderId="0" xfId="0" applyNumberFormat="1" applyFont="1" applyAlignment="1" applyProtection="1">
      <alignment vertical="center" wrapText="1"/>
      <protection hidden="1"/>
    </xf>
    <xf numFmtId="182" fontId="4" fillId="12" borderId="56" xfId="0" applyNumberFormat="1" applyFont="1" applyFill="1" applyBorder="1" applyAlignment="1" applyProtection="1">
      <alignment horizontal="center" vertical="center" wrapText="1"/>
      <protection hidden="1"/>
    </xf>
    <xf numFmtId="0" fontId="4" fillId="12" borderId="43" xfId="0" applyFont="1" applyFill="1" applyBorder="1" applyAlignment="1" applyProtection="1">
      <alignment horizontal="center" vertical="center" wrapText="1"/>
      <protection hidden="1"/>
    </xf>
    <xf numFmtId="182" fontId="4" fillId="12" borderId="43" xfId="0" applyNumberFormat="1" applyFont="1" applyFill="1" applyBorder="1" applyAlignment="1" applyProtection="1">
      <alignment horizontal="center" vertical="center" wrapText="1"/>
      <protection hidden="1"/>
    </xf>
    <xf numFmtId="0" fontId="4" fillId="20" borderId="37" xfId="0" applyFont="1" applyFill="1" applyBorder="1" applyAlignment="1" applyProtection="1">
      <alignment horizontal="center" vertical="center" wrapText="1"/>
      <protection hidden="1"/>
    </xf>
    <xf numFmtId="167" fontId="4" fillId="6" borderId="40" xfId="0" applyNumberFormat="1" applyFont="1" applyFill="1" applyBorder="1" applyAlignment="1" applyProtection="1">
      <alignment horizontal="center" vertical="center" wrapText="1"/>
      <protection locked="0" hidden="1"/>
    </xf>
    <xf numFmtId="167" fontId="4" fillId="6" borderId="9" xfId="0" applyNumberFormat="1" applyFont="1" applyFill="1" applyBorder="1" applyAlignment="1" applyProtection="1">
      <alignment horizontal="center" vertical="center" wrapText="1"/>
      <protection locked="0" hidden="1"/>
    </xf>
    <xf numFmtId="167" fontId="4" fillId="6" borderId="43" xfId="0" applyNumberFormat="1" applyFont="1" applyFill="1" applyBorder="1" applyAlignment="1" applyProtection="1">
      <alignment horizontal="center" vertical="center" wrapText="1"/>
      <protection locked="0" hidden="1"/>
    </xf>
    <xf numFmtId="0" fontId="4" fillId="6" borderId="43" xfId="0" applyFont="1" applyFill="1" applyBorder="1" applyAlignment="1" applyProtection="1">
      <alignment horizontal="center" vertical="center" wrapText="1"/>
      <protection locked="0" hidden="1"/>
    </xf>
    <xf numFmtId="167" fontId="4" fillId="7" borderId="43" xfId="0" applyNumberFormat="1" applyFont="1" applyFill="1" applyBorder="1" applyAlignment="1" applyProtection="1">
      <alignment horizontal="center" vertical="center" wrapText="1"/>
      <protection hidden="1"/>
    </xf>
    <xf numFmtId="166" fontId="4" fillId="6" borderId="18" xfId="0" applyNumberFormat="1" applyFont="1" applyFill="1" applyBorder="1" applyAlignment="1" applyProtection="1">
      <alignment horizontal="center" vertical="center"/>
      <protection locked="0" hidden="1"/>
    </xf>
    <xf numFmtId="166" fontId="4" fillId="14" borderId="18" xfId="0" applyNumberFormat="1" applyFont="1" applyFill="1" applyBorder="1" applyAlignment="1" applyProtection="1">
      <alignment horizontal="center" vertical="center"/>
      <protection hidden="1"/>
    </xf>
    <xf numFmtId="1" fontId="4" fillId="6" borderId="18" xfId="0" applyNumberFormat="1" applyFont="1" applyFill="1" applyBorder="1" applyAlignment="1" applyProtection="1">
      <alignment horizontal="center" vertical="center"/>
      <protection locked="0" hidden="1"/>
    </xf>
    <xf numFmtId="1" fontId="4" fillId="6" borderId="18" xfId="0" applyNumberFormat="1" applyFont="1" applyFill="1" applyBorder="1" applyAlignment="1" applyProtection="1">
      <alignment horizontal="center" vertical="center" wrapText="1"/>
      <protection locked="0" hidden="1"/>
    </xf>
    <xf numFmtId="1" fontId="4" fillId="7" borderId="36" xfId="0" applyNumberFormat="1" applyFont="1" applyFill="1" applyBorder="1" applyAlignment="1" applyProtection="1">
      <alignment horizontal="center" vertical="center" wrapText="1"/>
      <protection hidden="1"/>
    </xf>
    <xf numFmtId="166" fontId="4" fillId="6" borderId="30" xfId="0" applyNumberFormat="1" applyFont="1" applyFill="1" applyBorder="1" applyAlignment="1" applyProtection="1">
      <alignment horizontal="center" vertical="center"/>
      <protection locked="0" hidden="1"/>
    </xf>
    <xf numFmtId="0" fontId="4" fillId="6" borderId="18" xfId="0" applyFont="1" applyFill="1" applyBorder="1" applyAlignment="1" applyProtection="1">
      <alignment horizontal="center" vertical="center"/>
      <protection locked="0" hidden="1"/>
    </xf>
    <xf numFmtId="0" fontId="4" fillId="6" borderId="18" xfId="0" applyFont="1" applyFill="1" applyBorder="1" applyAlignment="1" applyProtection="1">
      <alignment horizontal="center" vertical="center" wrapText="1"/>
      <protection locked="0" hidden="1"/>
    </xf>
    <xf numFmtId="1" fontId="4" fillId="7" borderId="18" xfId="0" applyNumberFormat="1"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locked="0" hidden="1"/>
    </xf>
    <xf numFmtId="166" fontId="4" fillId="6" borderId="9" xfId="0" applyNumberFormat="1" applyFont="1" applyFill="1" applyBorder="1" applyAlignment="1" applyProtection="1">
      <alignment horizontal="center" vertical="center"/>
      <protection locked="0" hidden="1"/>
    </xf>
    <xf numFmtId="166" fontId="4" fillId="14" borderId="9" xfId="0" applyNumberFormat="1" applyFont="1" applyFill="1" applyBorder="1" applyAlignment="1" applyProtection="1">
      <alignment horizontal="center" vertical="center"/>
      <protection hidden="1"/>
    </xf>
    <xf numFmtId="1" fontId="4" fillId="6" borderId="9" xfId="0" applyNumberFormat="1" applyFont="1" applyFill="1" applyBorder="1" applyAlignment="1" applyProtection="1">
      <alignment horizontal="center" vertical="center"/>
      <protection locked="0" hidden="1"/>
    </xf>
    <xf numFmtId="1" fontId="4" fillId="7" borderId="34" xfId="0" applyNumberFormat="1" applyFont="1" applyFill="1" applyBorder="1" applyAlignment="1" applyProtection="1">
      <alignment horizontal="center" vertical="center" wrapText="1"/>
      <protection hidden="1"/>
    </xf>
    <xf numFmtId="166" fontId="4" fillId="6" borderId="32" xfId="0" applyNumberFormat="1" applyFont="1" applyFill="1" applyBorder="1" applyAlignment="1" applyProtection="1">
      <alignment horizontal="center" vertical="center"/>
      <protection locked="0" hidden="1"/>
    </xf>
    <xf numFmtId="0" fontId="4" fillId="6" borderId="9" xfId="0" applyFont="1" applyFill="1" applyBorder="1" applyAlignment="1" applyProtection="1">
      <alignment horizontal="center" vertical="center"/>
      <protection locked="0" hidden="1"/>
    </xf>
    <xf numFmtId="1" fontId="4" fillId="7" borderId="9" xfId="0" applyNumberFormat="1"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wrapText="1"/>
      <protection hidden="1"/>
    </xf>
    <xf numFmtId="166" fontId="4" fillId="0" borderId="0" xfId="0" applyNumberFormat="1" applyFont="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36" xfId="0" applyFont="1" applyFill="1" applyBorder="1" applyAlignment="1" applyProtection="1">
      <alignment horizontal="center" vertical="center" wrapText="1"/>
      <protection hidden="1"/>
    </xf>
    <xf numFmtId="175" fontId="4" fillId="12" borderId="9" xfId="0" applyNumberFormat="1" applyFont="1" applyFill="1" applyBorder="1" applyAlignment="1" applyProtection="1">
      <alignment horizontal="center" vertical="center" wrapText="1"/>
      <protection hidden="1"/>
    </xf>
    <xf numFmtId="2" fontId="4" fillId="12" borderId="34" xfId="0" applyNumberFormat="1" applyFont="1" applyFill="1" applyBorder="1" applyAlignment="1" applyProtection="1">
      <alignment horizontal="center" vertical="center" wrapText="1"/>
      <protection hidden="1"/>
    </xf>
    <xf numFmtId="11" fontId="4" fillId="12" borderId="9" xfId="0" applyNumberFormat="1" applyFont="1" applyFill="1" applyBorder="1" applyAlignment="1" applyProtection="1">
      <alignment horizontal="center" vertical="center" wrapText="1"/>
      <protection hidden="1"/>
    </xf>
    <xf numFmtId="0" fontId="4" fillId="5" borderId="34" xfId="0" applyFont="1" applyFill="1" applyBorder="1" applyAlignment="1" applyProtection="1">
      <alignment horizontal="center" vertical="center" wrapText="1"/>
      <protection hidden="1"/>
    </xf>
    <xf numFmtId="11" fontId="4" fillId="5" borderId="45" xfId="0" applyNumberFormat="1" applyFont="1" applyFill="1" applyBorder="1" applyAlignment="1" applyProtection="1">
      <alignment horizontal="center" vertical="center" wrapText="1"/>
      <protection hidden="1"/>
    </xf>
    <xf numFmtId="0" fontId="4" fillId="5" borderId="60" xfId="0" applyFont="1" applyFill="1" applyBorder="1" applyAlignment="1" applyProtection="1">
      <alignment horizontal="center" vertical="center" wrapText="1"/>
      <protection hidden="1"/>
    </xf>
    <xf numFmtId="2" fontId="4" fillId="12" borderId="37" xfId="0" applyNumberFormat="1"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13" xfId="0" applyFont="1" applyFill="1" applyBorder="1" applyAlignment="1" applyProtection="1">
      <alignment vertical="center" wrapText="1"/>
      <protection hidden="1"/>
    </xf>
    <xf numFmtId="0" fontId="4" fillId="5" borderId="23" xfId="0" applyFont="1" applyFill="1" applyBorder="1" applyAlignment="1" applyProtection="1">
      <alignment horizontal="left" vertical="center" wrapText="1"/>
      <protection hidden="1"/>
    </xf>
    <xf numFmtId="0" fontId="4" fillId="5" borderId="23" xfId="0" applyFont="1" applyFill="1" applyBorder="1" applyAlignment="1" applyProtection="1">
      <alignment vertical="center" wrapText="1"/>
      <protection hidden="1"/>
    </xf>
    <xf numFmtId="164" fontId="4" fillId="7" borderId="1" xfId="0" applyNumberFormat="1" applyFont="1" applyFill="1" applyBorder="1" applyAlignment="1" applyProtection="1">
      <alignment horizontal="center" vertical="center" wrapText="1"/>
      <protection hidden="1"/>
    </xf>
    <xf numFmtId="0" fontId="4" fillId="0" borderId="10" xfId="0" applyFont="1" applyBorder="1" applyAlignment="1" applyProtection="1">
      <alignment vertical="center" wrapText="1"/>
      <protection hidden="1"/>
    </xf>
    <xf numFmtId="0" fontId="4" fillId="2" borderId="23" xfId="0" applyFont="1" applyFill="1" applyBorder="1" applyAlignment="1" applyProtection="1">
      <alignment horizontal="left" vertical="center" wrapText="1"/>
      <protection hidden="1"/>
    </xf>
    <xf numFmtId="0" fontId="4" fillId="2" borderId="23" xfId="0" applyFont="1" applyFill="1" applyBorder="1" applyAlignment="1" applyProtection="1">
      <alignment vertical="center" wrapText="1"/>
      <protection hidden="1"/>
    </xf>
    <xf numFmtId="0" fontId="4" fillId="2" borderId="32" xfId="0" applyFont="1" applyFill="1" applyBorder="1" applyAlignment="1" applyProtection="1">
      <alignment vertical="center" wrapText="1"/>
      <protection hidden="1"/>
    </xf>
    <xf numFmtId="0" fontId="4" fillId="2" borderId="9" xfId="0" applyFont="1" applyFill="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166" fontId="4" fillId="7" borderId="1" xfId="0" applyNumberFormat="1" applyFont="1" applyFill="1" applyBorder="1" applyAlignment="1" applyProtection="1">
      <alignment horizontal="center" vertical="center" wrapText="1"/>
      <protection hidden="1"/>
    </xf>
    <xf numFmtId="0" fontId="4" fillId="5" borderId="32" xfId="0" applyFont="1" applyFill="1" applyBorder="1" applyAlignment="1" applyProtection="1">
      <alignment vertical="center" wrapText="1"/>
      <protection hidden="1"/>
    </xf>
    <xf numFmtId="170" fontId="4" fillId="7" borderId="34" xfId="0" applyNumberFormat="1" applyFont="1" applyFill="1" applyBorder="1" applyAlignment="1" applyProtection="1">
      <alignment horizontal="center" vertical="center" wrapText="1"/>
      <protection hidden="1"/>
    </xf>
    <xf numFmtId="1" fontId="4" fillId="7" borderId="1" xfId="0" applyNumberFormat="1" applyFont="1" applyFill="1" applyBorder="1" applyAlignment="1" applyProtection="1">
      <alignment horizontal="center" vertical="center" wrapText="1"/>
      <protection hidden="1"/>
    </xf>
    <xf numFmtId="11" fontId="4" fillId="7" borderId="9" xfId="0" applyNumberFormat="1" applyFont="1" applyFill="1" applyBorder="1" applyAlignment="1" applyProtection="1">
      <alignment horizontal="center" vertical="center" wrapText="1"/>
      <protection hidden="1"/>
    </xf>
    <xf numFmtId="11" fontId="4" fillId="7" borderId="34" xfId="0" applyNumberFormat="1" applyFont="1" applyFill="1" applyBorder="1" applyAlignment="1" applyProtection="1">
      <alignment horizontal="center" vertical="center" wrapText="1"/>
      <protection hidden="1"/>
    </xf>
    <xf numFmtId="167" fontId="4" fillId="7" borderId="37" xfId="0" applyNumberFormat="1" applyFont="1" applyFill="1" applyBorder="1" applyAlignment="1" applyProtection="1">
      <alignment horizontal="center" vertical="center" wrapText="1"/>
      <protection hidden="1"/>
    </xf>
    <xf numFmtId="0" fontId="4" fillId="2" borderId="46"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168" fontId="4" fillId="2" borderId="38" xfId="0" applyNumberFormat="1" applyFont="1" applyFill="1" applyBorder="1" applyAlignment="1" applyProtection="1">
      <alignment horizontal="center" vertical="center"/>
      <protection hidden="1"/>
    </xf>
    <xf numFmtId="168" fontId="4" fillId="7" borderId="40" xfId="0" applyNumberFormat="1"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wrapText="1"/>
      <protection hidden="1"/>
    </xf>
    <xf numFmtId="10" fontId="4" fillId="5" borderId="41" xfId="11" applyNumberFormat="1" applyFont="1" applyFill="1" applyBorder="1" applyAlignment="1" applyProtection="1">
      <alignment horizontal="center" vertical="center" wrapText="1"/>
      <protection hidden="1"/>
    </xf>
    <xf numFmtId="14" fontId="4" fillId="5" borderId="43" xfId="0" applyNumberFormat="1" applyFont="1" applyFill="1" applyBorder="1" applyAlignment="1" applyProtection="1">
      <alignment horizontal="center" vertical="center" wrapText="1"/>
      <protection hidden="1"/>
    </xf>
    <xf numFmtId="168" fontId="4" fillId="7" borderId="43" xfId="0" applyNumberFormat="1"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10" fontId="4" fillId="5" borderId="37" xfId="11" applyNumberFormat="1" applyFont="1" applyFill="1" applyBorder="1" applyAlignment="1" applyProtection="1">
      <alignment horizontal="center" vertical="center" wrapText="1"/>
      <protection hidden="1"/>
    </xf>
    <xf numFmtId="2" fontId="4" fillId="0" borderId="0" xfId="0" applyNumberFormat="1" applyFont="1" applyAlignment="1" applyProtection="1">
      <alignment horizontal="center" vertical="center" wrapText="1"/>
      <protection hidden="1"/>
    </xf>
    <xf numFmtId="0" fontId="4" fillId="5" borderId="65" xfId="0" applyFont="1" applyFill="1" applyBorder="1" applyAlignment="1" applyProtection="1">
      <alignment horizontal="center" vertical="center" wrapText="1"/>
      <protection hidden="1"/>
    </xf>
    <xf numFmtId="165" fontId="4" fillId="5" borderId="40" xfId="0" applyNumberFormat="1" applyFont="1" applyFill="1" applyBorder="1" applyAlignment="1" applyProtection="1">
      <alignment horizontal="center" vertical="center" wrapText="1"/>
      <protection hidden="1"/>
    </xf>
    <xf numFmtId="1" fontId="4" fillId="7" borderId="40" xfId="0" applyNumberFormat="1" applyFont="1" applyFill="1" applyBorder="1" applyAlignment="1" applyProtection="1">
      <alignment horizontal="center" vertical="center" wrapText="1"/>
      <protection hidden="1"/>
    </xf>
    <xf numFmtId="164" fontId="4" fillId="7" borderId="40" xfId="0" applyNumberFormat="1" applyFont="1" applyFill="1" applyBorder="1" applyAlignment="1" applyProtection="1">
      <alignment horizontal="center" vertical="center" wrapText="1"/>
      <protection hidden="1"/>
    </xf>
    <xf numFmtId="167" fontId="4" fillId="7" borderId="32" xfId="0" applyNumberFormat="1" applyFont="1" applyFill="1" applyBorder="1" applyAlignment="1" applyProtection="1">
      <alignment horizontal="center" vertical="center" wrapText="1"/>
      <protection hidden="1"/>
    </xf>
    <xf numFmtId="165" fontId="4" fillId="5" borderId="9" xfId="0" applyNumberFormat="1" applyFont="1" applyFill="1" applyBorder="1" applyAlignment="1" applyProtection="1">
      <alignment horizontal="center" vertical="center" wrapText="1"/>
      <protection hidden="1"/>
    </xf>
    <xf numFmtId="168" fontId="4" fillId="7" borderId="9"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10" fontId="4" fillId="5" borderId="34" xfId="11" applyNumberFormat="1"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wrapText="1"/>
      <protection hidden="1"/>
    </xf>
    <xf numFmtId="165" fontId="4" fillId="7" borderId="42" xfId="0" applyNumberFormat="1" applyFont="1" applyFill="1" applyBorder="1" applyAlignment="1" applyProtection="1">
      <alignment horizontal="center" vertical="center" wrapText="1"/>
      <protection hidden="1"/>
    </xf>
    <xf numFmtId="165" fontId="4" fillId="5" borderId="43" xfId="0" applyNumberFormat="1" applyFont="1" applyFill="1" applyBorder="1" applyAlignment="1" applyProtection="1">
      <alignment horizontal="center" vertical="center" wrapText="1"/>
      <protection hidden="1"/>
    </xf>
    <xf numFmtId="1" fontId="4" fillId="7" borderId="43" xfId="0" applyNumberFormat="1" applyFont="1" applyFill="1" applyBorder="1" applyAlignment="1" applyProtection="1">
      <alignment horizontal="center" vertical="center" wrapText="1"/>
      <protection hidden="1"/>
    </xf>
    <xf numFmtId="170" fontId="4" fillId="7" borderId="43" xfId="0" applyNumberFormat="1" applyFont="1" applyFill="1" applyBorder="1" applyAlignment="1" applyProtection="1">
      <alignment horizontal="center" vertical="center" wrapText="1"/>
      <protection hidden="1"/>
    </xf>
    <xf numFmtId="0" fontId="4" fillId="0" borderId="16" xfId="0" applyFont="1" applyBorder="1" applyAlignment="1" applyProtection="1">
      <alignment vertical="center" wrapText="1"/>
      <protection hidden="1"/>
    </xf>
    <xf numFmtId="0" fontId="4" fillId="0" borderId="15" xfId="0" applyFont="1" applyBorder="1" applyAlignment="1" applyProtection="1">
      <alignment vertical="center" wrapText="1"/>
      <protection hidden="1"/>
    </xf>
    <xf numFmtId="166" fontId="4" fillId="7" borderId="66" xfId="0" applyNumberFormat="1" applyFont="1" applyFill="1" applyBorder="1" applyAlignment="1" applyProtection="1">
      <alignment horizontal="center" vertical="center" wrapText="1"/>
      <protection hidden="1"/>
    </xf>
    <xf numFmtId="14" fontId="4" fillId="5" borderId="72" xfId="0" applyNumberFormat="1" applyFont="1" applyFill="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4" fontId="4" fillId="5" borderId="40" xfId="0" applyNumberFormat="1"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wrapText="1"/>
      <protection hidden="1"/>
    </xf>
    <xf numFmtId="14" fontId="4" fillId="5" borderId="9"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166" fontId="4" fillId="7" borderId="15" xfId="0" applyNumberFormat="1" applyFont="1" applyFill="1" applyBorder="1" applyAlignment="1" applyProtection="1">
      <alignment horizontal="center" vertical="center" wrapText="1"/>
      <protection hidden="1"/>
    </xf>
    <xf numFmtId="14" fontId="4" fillId="5" borderId="64" xfId="0" applyNumberFormat="1" applyFont="1" applyFill="1" applyBorder="1" applyAlignment="1" applyProtection="1">
      <alignment horizontal="center" vertical="center" wrapText="1"/>
      <protection hidden="1"/>
    </xf>
    <xf numFmtId="9" fontId="4" fillId="0" borderId="0" xfId="11" applyFont="1" applyAlignment="1" applyProtection="1">
      <alignment horizontal="center" vertical="center" wrapText="1"/>
      <protection hidden="1"/>
    </xf>
    <xf numFmtId="183" fontId="4" fillId="7" borderId="15" xfId="0" applyNumberFormat="1" applyFont="1" applyFill="1" applyBorder="1" applyAlignment="1" applyProtection="1">
      <alignment horizontal="center" vertical="center" wrapText="1"/>
      <protection hidden="1"/>
    </xf>
    <xf numFmtId="0" fontId="4" fillId="5" borderId="64" xfId="0" applyFont="1" applyFill="1" applyBorder="1" applyAlignment="1" applyProtection="1">
      <alignment horizontal="center" vertical="center" wrapText="1"/>
      <protection hidden="1"/>
    </xf>
    <xf numFmtId="184" fontId="4" fillId="7" borderId="40" xfId="0" applyNumberFormat="1" applyFont="1" applyFill="1" applyBorder="1" applyAlignment="1" applyProtection="1">
      <alignment horizontal="center" vertical="center" wrapText="1"/>
      <protection hidden="1"/>
    </xf>
    <xf numFmtId="184" fontId="4" fillId="7" borderId="9" xfId="0" applyNumberFormat="1" applyFont="1" applyFill="1" applyBorder="1" applyAlignment="1" applyProtection="1">
      <alignment horizontal="center" vertical="center" wrapText="1"/>
      <protection hidden="1"/>
    </xf>
    <xf numFmtId="184" fontId="4" fillId="7" borderId="43" xfId="0" applyNumberFormat="1" applyFont="1" applyFill="1" applyBorder="1" applyAlignment="1" applyProtection="1">
      <alignment horizontal="center" vertical="center" wrapText="1"/>
      <protection hidden="1"/>
    </xf>
    <xf numFmtId="181" fontId="4" fillId="0" borderId="0" xfId="0" applyNumberFormat="1" applyFont="1" applyAlignment="1" applyProtection="1">
      <alignment vertical="center" wrapText="1"/>
      <protection hidden="1"/>
    </xf>
    <xf numFmtId="189" fontId="4" fillId="0" borderId="0" xfId="11" applyNumberFormat="1" applyFont="1" applyAlignment="1" applyProtection="1">
      <alignment horizontal="center" vertical="center" wrapText="1"/>
      <protection hidden="1"/>
    </xf>
    <xf numFmtId="10" fontId="4" fillId="5" borderId="9" xfId="11" applyNumberFormat="1" applyFont="1" applyFill="1" applyBorder="1" applyAlignment="1" applyProtection="1">
      <alignment horizontal="center" vertical="center" wrapText="1"/>
      <protection hidden="1"/>
    </xf>
    <xf numFmtId="9" fontId="4" fillId="5" borderId="49" xfId="11" applyFont="1" applyFill="1" applyBorder="1" applyAlignment="1" applyProtection="1">
      <alignment horizontal="center" vertical="center" wrapText="1"/>
      <protection hidden="1"/>
    </xf>
    <xf numFmtId="167" fontId="4" fillId="0" borderId="0" xfId="0" applyNumberFormat="1" applyFont="1" applyAlignment="1" applyProtection="1">
      <alignment vertical="center" wrapText="1"/>
      <protection hidden="1"/>
    </xf>
    <xf numFmtId="2" fontId="4" fillId="2" borderId="0" xfId="0" applyNumberFormat="1" applyFont="1" applyFill="1" applyAlignment="1" applyProtection="1">
      <alignment horizontal="center" vertical="center" wrapText="1"/>
      <protection hidden="1"/>
    </xf>
    <xf numFmtId="167" fontId="4" fillId="7" borderId="41" xfId="0" applyNumberFormat="1" applyFont="1" applyFill="1" applyBorder="1" applyAlignment="1" applyProtection="1">
      <alignment horizontal="center" vertical="center" wrapText="1"/>
      <protection hidden="1"/>
    </xf>
    <xf numFmtId="167" fontId="4" fillId="2" borderId="0" xfId="0" applyNumberFormat="1" applyFont="1" applyFill="1" applyAlignment="1" applyProtection="1">
      <alignment vertical="center" wrapText="1"/>
      <protection hidden="1"/>
    </xf>
    <xf numFmtId="164" fontId="4" fillId="7" borderId="43" xfId="0" applyNumberFormat="1" applyFont="1" applyFill="1" applyBorder="1" applyAlignment="1" applyProtection="1">
      <alignment horizontal="center" vertical="center" wrapText="1"/>
      <protection hidden="1"/>
    </xf>
    <xf numFmtId="165" fontId="4" fillId="0" borderId="0" xfId="0" applyNumberFormat="1" applyFont="1" applyAlignment="1" applyProtection="1">
      <alignment vertical="center" wrapText="1"/>
      <protection hidden="1"/>
    </xf>
    <xf numFmtId="175" fontId="4" fillId="0" borderId="0" xfId="0" applyNumberFormat="1" applyFont="1" applyAlignment="1" applyProtection="1">
      <alignment horizontal="center" vertical="center" wrapText="1"/>
      <protection hidden="1"/>
    </xf>
    <xf numFmtId="166" fontId="4" fillId="0" borderId="0" xfId="0" applyNumberFormat="1" applyFont="1" applyAlignment="1" applyProtection="1">
      <alignment horizontal="center"/>
      <protection hidden="1"/>
    </xf>
    <xf numFmtId="14" fontId="4" fillId="19" borderId="22" xfId="0" applyNumberFormat="1" applyFont="1" applyFill="1" applyBorder="1" applyAlignment="1" applyProtection="1">
      <alignment horizontal="center" vertical="center" wrapText="1"/>
      <protection hidden="1"/>
    </xf>
    <xf numFmtId="166" fontId="4" fillId="12" borderId="14" xfId="0" applyNumberFormat="1" applyFont="1" applyFill="1" applyBorder="1" applyAlignment="1" applyProtection="1">
      <alignment horizontal="center" vertical="center" wrapText="1"/>
      <protection hidden="1"/>
    </xf>
    <xf numFmtId="168" fontId="4" fillId="12" borderId="9" xfId="0" applyNumberFormat="1" applyFont="1" applyFill="1" applyBorder="1" applyAlignment="1" applyProtection="1">
      <alignment horizontal="center" vertical="center" wrapText="1"/>
      <protection hidden="1"/>
    </xf>
    <xf numFmtId="167" fontId="4" fillId="6" borderId="36" xfId="0" applyNumberFormat="1" applyFont="1" applyFill="1" applyBorder="1" applyAlignment="1" applyProtection="1">
      <alignment horizontal="center" vertical="center" wrapText="1"/>
      <protection locked="0" hidden="1"/>
    </xf>
    <xf numFmtId="167" fontId="4" fillId="6" borderId="34" xfId="0" applyNumberFormat="1" applyFont="1" applyFill="1" applyBorder="1" applyAlignment="1" applyProtection="1">
      <alignment horizontal="center" vertical="center" wrapText="1"/>
      <protection locked="0" hidden="1"/>
    </xf>
    <xf numFmtId="166" fontId="4" fillId="7" borderId="22" xfId="0" applyNumberFormat="1" applyFont="1" applyFill="1" applyBorder="1" applyAlignment="1" applyProtection="1">
      <alignment horizontal="center" vertical="center" wrapText="1"/>
      <protection hidden="1"/>
    </xf>
    <xf numFmtId="14" fontId="4" fillId="5" borderId="20" xfId="0" applyNumberFormat="1" applyFont="1" applyFill="1" applyBorder="1" applyAlignment="1" applyProtection="1">
      <alignment horizontal="center" vertical="center" wrapText="1"/>
      <protection hidden="1"/>
    </xf>
    <xf numFmtId="14" fontId="4" fillId="5" borderId="31" xfId="0"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14" fontId="4" fillId="5" borderId="11" xfId="0" applyNumberFormat="1" applyFont="1" applyFill="1" applyBorder="1" applyAlignment="1" applyProtection="1">
      <alignment horizontal="center" vertical="center" wrapText="1"/>
      <protection hidden="1"/>
    </xf>
    <xf numFmtId="14" fontId="4" fillId="5" borderId="54" xfId="0" applyNumberFormat="1" applyFont="1" applyFill="1" applyBorder="1" applyAlignment="1" applyProtection="1">
      <alignment horizontal="center" vertical="center" wrapText="1"/>
      <protection hidden="1"/>
    </xf>
    <xf numFmtId="0" fontId="4" fillId="5" borderId="31" xfId="0" applyFont="1" applyFill="1" applyBorder="1" applyAlignment="1" applyProtection="1">
      <alignment horizontal="center" vertical="center" wrapText="1"/>
      <protection hidden="1"/>
    </xf>
    <xf numFmtId="1" fontId="4" fillId="7" borderId="32" xfId="0" applyNumberFormat="1" applyFont="1" applyFill="1" applyBorder="1" applyAlignment="1" applyProtection="1">
      <alignment horizontal="center" vertical="center" wrapText="1"/>
      <protection hidden="1"/>
    </xf>
    <xf numFmtId="183" fontId="4" fillId="7" borderId="66" xfId="0" applyNumberFormat="1" applyFont="1" applyFill="1" applyBorder="1" applyAlignment="1" applyProtection="1">
      <alignment horizontal="center" vertical="center" wrapText="1"/>
      <protection hidden="1"/>
    </xf>
    <xf numFmtId="0" fontId="4" fillId="5" borderId="72" xfId="0" applyFont="1" applyFill="1" applyBorder="1" applyAlignment="1" applyProtection="1">
      <alignment horizontal="center" vertical="center" wrapText="1"/>
      <protection hidden="1"/>
    </xf>
    <xf numFmtId="0" fontId="4" fillId="2" borderId="0" xfId="0" applyFont="1" applyFill="1" applyAlignment="1" applyProtection="1">
      <alignment vertical="center" wrapText="1"/>
      <protection locked="0" hidden="1"/>
    </xf>
    <xf numFmtId="11" fontId="4" fillId="2" borderId="0" xfId="0" applyNumberFormat="1" applyFont="1" applyFill="1" applyAlignment="1" applyProtection="1">
      <alignment horizontal="center" vertical="center"/>
      <protection hidden="1"/>
    </xf>
    <xf numFmtId="0" fontId="4" fillId="19" borderId="52" xfId="0" applyFont="1" applyFill="1" applyBorder="1" applyAlignment="1" applyProtection="1">
      <alignment horizontal="center" vertical="center"/>
      <protection hidden="1"/>
    </xf>
    <xf numFmtId="1" fontId="4" fillId="19" borderId="52" xfId="0" applyNumberFormat="1" applyFont="1" applyFill="1" applyBorder="1" applyAlignment="1" applyProtection="1">
      <alignment horizontal="center" vertical="center"/>
      <protection hidden="1"/>
    </xf>
    <xf numFmtId="0" fontId="4" fillId="2" borderId="2" xfId="0" applyFont="1" applyFill="1" applyBorder="1" applyProtection="1">
      <protection hidden="1"/>
    </xf>
    <xf numFmtId="2" fontId="4" fillId="2" borderId="0" xfId="0" applyNumberFormat="1" applyFont="1" applyFill="1" applyProtection="1">
      <protection hidden="1"/>
    </xf>
    <xf numFmtId="0" fontId="4" fillId="2" borderId="10" xfId="0" applyFont="1" applyFill="1" applyBorder="1" applyProtection="1">
      <protection hidden="1"/>
    </xf>
    <xf numFmtId="0" fontId="4" fillId="0" borderId="70" xfId="0" applyFont="1" applyBorder="1" applyAlignment="1" applyProtection="1">
      <alignment horizontal="center" vertical="center"/>
      <protection hidden="1"/>
    </xf>
    <xf numFmtId="0" fontId="4" fillId="2" borderId="0" xfId="0" applyFont="1" applyFill="1" applyAlignment="1" applyProtection="1">
      <alignment horizontal="right" vertical="top"/>
      <protection hidden="1"/>
    </xf>
    <xf numFmtId="0" fontId="4" fillId="11" borderId="14" xfId="0" applyFont="1" applyFill="1" applyBorder="1" applyAlignment="1" applyProtection="1">
      <alignment horizontal="center" vertical="center"/>
      <protection locked="0" hidden="1"/>
    </xf>
    <xf numFmtId="2" fontId="4" fillId="12" borderId="9" xfId="0" applyNumberFormat="1" applyFont="1" applyFill="1" applyBorder="1" applyAlignment="1" applyProtection="1">
      <alignment horizontal="center" vertical="center"/>
      <protection hidden="1"/>
    </xf>
    <xf numFmtId="2" fontId="4" fillId="5" borderId="34" xfId="0" applyNumberFormat="1" applyFont="1" applyFill="1" applyBorder="1" applyAlignment="1" applyProtection="1">
      <alignment horizontal="center" vertical="center"/>
      <protection hidden="1"/>
    </xf>
    <xf numFmtId="2" fontId="4" fillId="5" borderId="37" xfId="0" applyNumberFormat="1" applyFont="1" applyFill="1" applyBorder="1" applyAlignment="1" applyProtection="1">
      <alignment horizontal="center" vertical="center"/>
      <protection hidden="1"/>
    </xf>
    <xf numFmtId="0" fontId="4" fillId="5" borderId="37" xfId="0" applyFont="1" applyFill="1" applyBorder="1" applyAlignment="1" applyProtection="1">
      <alignment horizontal="center" vertical="center"/>
      <protection hidden="1"/>
    </xf>
    <xf numFmtId="0" fontId="4" fillId="2" borderId="76" xfId="0" applyFont="1" applyFill="1" applyBorder="1" applyAlignment="1" applyProtection="1">
      <alignment horizontal="right" vertical="top"/>
      <protection hidden="1"/>
    </xf>
    <xf numFmtId="0" fontId="4" fillId="11" borderId="56" xfId="0" applyFont="1" applyFill="1" applyBorder="1" applyAlignment="1" applyProtection="1">
      <alignment horizontal="center" vertical="center"/>
      <protection locked="0" hidden="1"/>
    </xf>
    <xf numFmtId="2" fontId="4" fillId="12" borderId="43" xfId="0" applyNumberFormat="1" applyFont="1" applyFill="1" applyBorder="1" applyAlignment="1" applyProtection="1">
      <alignment horizontal="center" vertical="center"/>
      <protection hidden="1"/>
    </xf>
    <xf numFmtId="0" fontId="4" fillId="0" borderId="8" xfId="0" applyFont="1" applyBorder="1" applyProtection="1">
      <protection hidden="1"/>
    </xf>
    <xf numFmtId="2" fontId="4" fillId="12" borderId="52" xfId="0" applyNumberFormat="1" applyFont="1" applyFill="1" applyBorder="1" applyAlignment="1" applyProtection="1">
      <alignment horizontal="center" vertical="center"/>
      <protection hidden="1"/>
    </xf>
    <xf numFmtId="2" fontId="4" fillId="13" borderId="36" xfId="0" applyNumberFormat="1" applyFont="1" applyFill="1" applyBorder="1" applyAlignment="1" applyProtection="1">
      <alignment horizontal="center" vertical="center"/>
      <protection hidden="1"/>
    </xf>
    <xf numFmtId="165" fontId="4" fillId="12" borderId="34" xfId="0" applyNumberFormat="1" applyFont="1" applyFill="1" applyBorder="1" applyAlignment="1" applyProtection="1">
      <alignment horizontal="center" vertical="center"/>
      <protection hidden="1"/>
    </xf>
    <xf numFmtId="2" fontId="4" fillId="13" borderId="37" xfId="0" applyNumberFormat="1" applyFont="1" applyFill="1" applyBorder="1" applyAlignment="1" applyProtection="1">
      <alignment horizontal="center" vertical="center"/>
      <protection hidden="1"/>
    </xf>
    <xf numFmtId="9" fontId="4" fillId="2" borderId="0" xfId="0" applyNumberFormat="1" applyFont="1" applyFill="1" applyAlignment="1" applyProtection="1">
      <alignment horizontal="center" vertical="center"/>
      <protection hidden="1"/>
    </xf>
    <xf numFmtId="0" fontId="4" fillId="5" borderId="30" xfId="1" applyFont="1" applyFill="1" applyBorder="1" applyAlignment="1" applyProtection="1">
      <alignment horizontal="center" vertical="center"/>
      <protection hidden="1"/>
    </xf>
    <xf numFmtId="0" fontId="4" fillId="5" borderId="18" xfId="1" applyFont="1" applyFill="1" applyBorder="1" applyAlignment="1" applyProtection="1">
      <alignment horizontal="center" vertical="center"/>
      <protection hidden="1"/>
    </xf>
    <xf numFmtId="0" fontId="4" fillId="5" borderId="27" xfId="1" applyFont="1" applyFill="1" applyBorder="1" applyAlignment="1" applyProtection="1">
      <alignment horizontal="center" wrapText="1"/>
      <protection hidden="1"/>
    </xf>
    <xf numFmtId="166" fontId="4" fillId="2" borderId="5" xfId="0" applyNumberFormat="1" applyFont="1" applyFill="1" applyBorder="1" applyProtection="1">
      <protection hidden="1"/>
    </xf>
    <xf numFmtId="165" fontId="4" fillId="12" borderId="41" xfId="0" applyNumberFormat="1" applyFont="1" applyFill="1" applyBorder="1" applyAlignment="1" applyProtection="1">
      <alignment horizontal="center" vertical="center"/>
      <protection hidden="1"/>
    </xf>
    <xf numFmtId="0" fontId="4" fillId="11" borderId="9" xfId="1" applyFont="1" applyFill="1" applyBorder="1" applyAlignment="1" applyProtection="1">
      <alignment horizontal="center" vertical="center"/>
      <protection locked="0" hidden="1"/>
    </xf>
    <xf numFmtId="166" fontId="4" fillId="12" borderId="11" xfId="0" applyNumberFormat="1" applyFont="1" applyFill="1" applyBorder="1" applyAlignment="1" applyProtection="1">
      <alignment horizontal="center" vertical="center"/>
      <protection hidden="1"/>
    </xf>
    <xf numFmtId="166" fontId="4" fillId="7" borderId="18" xfId="0" applyNumberFormat="1" applyFont="1" applyFill="1" applyBorder="1" applyAlignment="1" applyProtection="1">
      <alignment horizontal="center" vertical="center" wrapText="1"/>
      <protection hidden="1"/>
    </xf>
    <xf numFmtId="0" fontId="4" fillId="3" borderId="30" xfId="0" applyFont="1" applyFill="1" applyBorder="1" applyAlignment="1" applyProtection="1">
      <alignment horizontal="center" vertical="center"/>
      <protection hidden="1"/>
    </xf>
    <xf numFmtId="2" fontId="4" fillId="12" borderId="18" xfId="0" applyNumberFormat="1" applyFont="1" applyFill="1" applyBorder="1" applyAlignment="1" applyProtection="1">
      <alignment horizontal="center" vertical="center"/>
      <protection hidden="1"/>
    </xf>
    <xf numFmtId="2" fontId="4" fillId="13" borderId="34" xfId="0" applyNumberFormat="1" applyFont="1" applyFill="1" applyBorder="1" applyAlignment="1" applyProtection="1">
      <alignment horizontal="center" vertical="center"/>
      <protection hidden="1"/>
    </xf>
    <xf numFmtId="2" fontId="4" fillId="11" borderId="43" xfId="1" applyNumberFormat="1" applyFont="1" applyFill="1" applyBorder="1" applyAlignment="1" applyProtection="1">
      <alignment horizontal="center" vertical="center"/>
      <protection locked="0" hidden="1"/>
    </xf>
    <xf numFmtId="0" fontId="4" fillId="11" borderId="43" xfId="1" applyFont="1" applyFill="1" applyBorder="1" applyAlignment="1" applyProtection="1">
      <alignment horizontal="center" vertical="center"/>
      <protection locked="0" hidden="1"/>
    </xf>
    <xf numFmtId="166" fontId="4" fillId="12" borderId="54" xfId="0" applyNumberFormat="1" applyFont="1" applyFill="1" applyBorder="1" applyAlignment="1" applyProtection="1">
      <alignment horizontal="center" vertical="center"/>
      <protection hidden="1"/>
    </xf>
    <xf numFmtId="166" fontId="4" fillId="7" borderId="11" xfId="0" applyNumberFormat="1" applyFont="1" applyFill="1" applyBorder="1" applyAlignment="1" applyProtection="1">
      <alignment horizontal="center" vertical="center"/>
      <protection hidden="1"/>
    </xf>
    <xf numFmtId="0" fontId="4" fillId="3" borderId="32" xfId="0" applyFont="1" applyFill="1" applyBorder="1" applyAlignment="1" applyProtection="1">
      <alignment horizontal="center" vertical="center"/>
      <protection hidden="1"/>
    </xf>
    <xf numFmtId="166" fontId="4" fillId="12" borderId="4" xfId="0" applyNumberFormat="1" applyFont="1" applyFill="1" applyBorder="1" applyAlignment="1" applyProtection="1">
      <alignment horizontal="center" vertical="center"/>
      <protection hidden="1"/>
    </xf>
    <xf numFmtId="0" fontId="4" fillId="3" borderId="42" xfId="0" applyFont="1" applyFill="1" applyBorder="1" applyAlignment="1" applyProtection="1">
      <alignment horizontal="center" vertical="center"/>
      <protection hidden="1"/>
    </xf>
    <xf numFmtId="2" fontId="4" fillId="13" borderId="8" xfId="0" applyNumberFormat="1" applyFont="1" applyFill="1" applyBorder="1" applyAlignment="1" applyProtection="1">
      <alignment horizontal="center" vertical="center"/>
      <protection hidden="1"/>
    </xf>
    <xf numFmtId="0" fontId="4" fillId="2" borderId="46" xfId="0" applyFont="1" applyFill="1" applyBorder="1" applyProtection="1">
      <protection hidden="1"/>
    </xf>
    <xf numFmtId="166" fontId="4" fillId="7" borderId="37" xfId="0" applyNumberFormat="1" applyFont="1" applyFill="1" applyBorder="1" applyAlignment="1" applyProtection="1">
      <alignment horizontal="center" vertical="center"/>
      <protection hidden="1"/>
    </xf>
    <xf numFmtId="166" fontId="4" fillId="2" borderId="0" xfId="0" applyNumberFormat="1" applyFont="1" applyFill="1" applyAlignment="1" applyProtection="1">
      <alignment horizontal="center" vertical="center"/>
      <protection hidden="1"/>
    </xf>
    <xf numFmtId="0" fontId="4" fillId="2" borderId="6" xfId="0" applyFont="1" applyFill="1" applyBorder="1" applyAlignment="1" applyProtection="1">
      <alignment vertical="center" wrapText="1"/>
      <protection hidden="1"/>
    </xf>
    <xf numFmtId="0" fontId="4" fillId="2" borderId="7" xfId="0" applyFont="1" applyFill="1" applyBorder="1" applyAlignment="1" applyProtection="1">
      <alignment vertical="center" wrapText="1"/>
      <protection hidden="1"/>
    </xf>
    <xf numFmtId="0" fontId="4" fillId="5" borderId="6" xfId="0" applyFont="1" applyFill="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7" xfId="0" applyFont="1" applyFill="1" applyBorder="1" applyAlignment="1" applyProtection="1">
      <alignment vertical="center" wrapText="1"/>
      <protection hidden="1"/>
    </xf>
    <xf numFmtId="0" fontId="4" fillId="5" borderId="8" xfId="0" applyFont="1" applyFill="1" applyBorder="1" applyAlignment="1" applyProtection="1">
      <alignment vertical="center" wrapText="1"/>
      <protection hidden="1"/>
    </xf>
    <xf numFmtId="168" fontId="4" fillId="5" borderId="1" xfId="0" applyNumberFormat="1" applyFont="1" applyFill="1" applyBorder="1" applyAlignment="1" applyProtection="1">
      <alignment horizontal="center" vertical="center"/>
      <protection hidden="1"/>
    </xf>
    <xf numFmtId="0" fontId="4" fillId="2" borderId="10" xfId="0" applyFont="1" applyFill="1" applyBorder="1" applyAlignment="1" applyProtection="1">
      <alignment horizontal="left" vertical="center" wrapText="1"/>
      <protection hidden="1"/>
    </xf>
    <xf numFmtId="0" fontId="4" fillId="2" borderId="0" xfId="0" applyFont="1" applyFill="1" applyAlignment="1" applyProtection="1">
      <alignment horizontal="left" vertical="center" wrapText="1"/>
      <protection hidden="1"/>
    </xf>
    <xf numFmtId="164" fontId="4" fillId="2" borderId="69" xfId="0" applyNumberFormat="1" applyFont="1" applyFill="1" applyBorder="1" applyAlignment="1" applyProtection="1">
      <alignment vertical="center" wrapText="1"/>
      <protection hidden="1"/>
    </xf>
    <xf numFmtId="168" fontId="4" fillId="2" borderId="69" xfId="0" applyNumberFormat="1" applyFont="1" applyFill="1" applyBorder="1" applyAlignment="1" applyProtection="1">
      <alignment vertical="center" wrapText="1"/>
      <protection hidden="1"/>
    </xf>
    <xf numFmtId="1" fontId="4" fillId="2" borderId="69" xfId="0" applyNumberFormat="1" applyFont="1" applyFill="1" applyBorder="1" applyAlignment="1" applyProtection="1">
      <alignment vertical="center" wrapText="1"/>
      <protection hidden="1"/>
    </xf>
    <xf numFmtId="0" fontId="4" fillId="2" borderId="10" xfId="0" applyFont="1" applyFill="1" applyBorder="1" applyAlignment="1" applyProtection="1">
      <alignment vertical="center" wrapText="1"/>
      <protection hidden="1"/>
    </xf>
    <xf numFmtId="0" fontId="4" fillId="2" borderId="69" xfId="0" applyFont="1" applyFill="1" applyBorder="1" applyAlignment="1" applyProtection="1">
      <alignment horizontal="center" vertical="center" wrapText="1"/>
      <protection hidden="1"/>
    </xf>
    <xf numFmtId="0" fontId="4" fillId="2" borderId="69" xfId="0" applyFont="1" applyFill="1" applyBorder="1" applyAlignment="1" applyProtection="1">
      <alignment vertical="center" wrapText="1"/>
      <protection hidden="1"/>
    </xf>
    <xf numFmtId="0" fontId="4" fillId="0" borderId="66" xfId="0" applyFont="1" applyBorder="1" applyAlignment="1" applyProtection="1">
      <alignment vertical="center" wrapText="1"/>
      <protection hidden="1"/>
    </xf>
    <xf numFmtId="167" fontId="4" fillId="5" borderId="40" xfId="0" applyNumberFormat="1" applyFont="1" applyFill="1" applyBorder="1" applyAlignment="1" applyProtection="1">
      <alignment horizontal="center" vertical="center" wrapText="1"/>
      <protection hidden="1"/>
    </xf>
    <xf numFmtId="1" fontId="4" fillId="5" borderId="40" xfId="0" applyNumberFormat="1" applyFont="1" applyFill="1" applyBorder="1" applyAlignment="1" applyProtection="1">
      <alignment horizontal="center" vertical="center" wrapText="1"/>
      <protection hidden="1"/>
    </xf>
    <xf numFmtId="166" fontId="4" fillId="5" borderId="40" xfId="0" applyNumberFormat="1" applyFont="1" applyFill="1" applyBorder="1" applyAlignment="1" applyProtection="1">
      <alignment horizontal="center" vertical="center" wrapText="1"/>
      <protection hidden="1"/>
    </xf>
    <xf numFmtId="168" fontId="4" fillId="5" borderId="40" xfId="0" applyNumberFormat="1"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wrapText="1"/>
      <protection hidden="1"/>
    </xf>
    <xf numFmtId="167" fontId="4" fillId="5" borderId="9" xfId="0" applyNumberFormat="1" applyFont="1" applyFill="1" applyBorder="1" applyAlignment="1" applyProtection="1">
      <alignment horizontal="center" vertical="center" wrapText="1"/>
      <protection hidden="1"/>
    </xf>
    <xf numFmtId="2" fontId="4" fillId="5" borderId="9" xfId="0" applyNumberFormat="1" applyFont="1" applyFill="1" applyBorder="1" applyAlignment="1" applyProtection="1">
      <alignment horizontal="center" vertical="center" wrapText="1"/>
      <protection hidden="1"/>
    </xf>
    <xf numFmtId="166" fontId="4" fillId="5" borderId="9" xfId="0" applyNumberFormat="1" applyFont="1" applyFill="1" applyBorder="1" applyAlignment="1" applyProtection="1">
      <alignment horizontal="center" vertical="center" wrapText="1"/>
      <protection hidden="1"/>
    </xf>
    <xf numFmtId="168" fontId="4" fillId="5" borderId="9" xfId="0" applyNumberFormat="1" applyFont="1" applyFill="1" applyBorder="1" applyAlignment="1" applyProtection="1">
      <alignment horizontal="center" vertical="center" wrapText="1"/>
      <protection hidden="1"/>
    </xf>
    <xf numFmtId="168" fontId="4" fillId="5" borderId="43" xfId="0" applyNumberFormat="1"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164" fontId="4" fillId="5" borderId="40" xfId="0" applyNumberFormat="1" applyFont="1" applyFill="1" applyBorder="1" applyAlignment="1" applyProtection="1">
      <alignment horizontal="center" vertical="center" wrapText="1"/>
      <protection hidden="1"/>
    </xf>
    <xf numFmtId="1" fontId="4" fillId="5" borderId="43" xfId="0" applyNumberFormat="1" applyFont="1" applyFill="1" applyBorder="1" applyAlignment="1" applyProtection="1">
      <alignment horizontal="center" vertical="center" wrapText="1"/>
      <protection hidden="1"/>
    </xf>
    <xf numFmtId="0" fontId="4" fillId="5" borderId="52" xfId="0" applyFont="1" applyFill="1" applyBorder="1" applyAlignment="1" applyProtection="1">
      <alignment horizontal="center" vertical="center" wrapText="1"/>
      <protection hidden="1"/>
    </xf>
    <xf numFmtId="165" fontId="4" fillId="5" borderId="52" xfId="0" applyNumberFormat="1" applyFont="1" applyFill="1" applyBorder="1" applyAlignment="1" applyProtection="1">
      <alignment horizontal="center" vertical="center" wrapText="1"/>
      <protection hidden="1"/>
    </xf>
    <xf numFmtId="14" fontId="4" fillId="5" borderId="52" xfId="0" applyNumberFormat="1" applyFont="1" applyFill="1" applyBorder="1" applyAlignment="1" applyProtection="1">
      <alignment horizontal="center" vertical="center" wrapText="1"/>
      <protection hidden="1"/>
    </xf>
    <xf numFmtId="1" fontId="4" fillId="5" borderId="52" xfId="0" applyNumberFormat="1" applyFont="1" applyFill="1" applyBorder="1" applyAlignment="1" applyProtection="1">
      <alignment horizontal="center" vertical="center" wrapText="1"/>
      <protection hidden="1"/>
    </xf>
    <xf numFmtId="168" fontId="4" fillId="5" borderId="52" xfId="0" applyNumberFormat="1" applyFont="1" applyFill="1" applyBorder="1" applyAlignment="1" applyProtection="1">
      <alignment horizontal="center" vertical="center" wrapText="1"/>
      <protection hidden="1"/>
    </xf>
    <xf numFmtId="0" fontId="4" fillId="5" borderId="77" xfId="0" applyFont="1" applyFill="1" applyBorder="1" applyAlignment="1" applyProtection="1">
      <alignment horizontal="center" vertical="center" wrapText="1"/>
      <protection hidden="1"/>
    </xf>
    <xf numFmtId="166" fontId="4" fillId="2" borderId="0" xfId="1" applyNumberFormat="1" applyFont="1" applyFill="1" applyBorder="1" applyAlignment="1" applyProtection="1">
      <alignment horizontal="center" vertical="center"/>
      <protection hidden="1"/>
    </xf>
    <xf numFmtId="0" fontId="4" fillId="2" borderId="0" xfId="1" applyFont="1" applyFill="1" applyBorder="1" applyAlignment="1" applyProtection="1">
      <alignment horizontal="center" vertical="center"/>
      <protection hidden="1"/>
    </xf>
    <xf numFmtId="0" fontId="4" fillId="2" borderId="70" xfId="0" applyFont="1" applyFill="1" applyBorder="1" applyAlignment="1" applyProtection="1">
      <alignment vertical="center" wrapText="1"/>
      <protection hidden="1"/>
    </xf>
    <xf numFmtId="168" fontId="4" fillId="5" borderId="2" xfId="0" applyNumberFormat="1" applyFont="1" applyFill="1" applyBorder="1" applyAlignment="1" applyProtection="1">
      <alignment horizontal="center" vertical="center" wrapText="1"/>
      <protection hidden="1"/>
    </xf>
    <xf numFmtId="11" fontId="4" fillId="2" borderId="0" xfId="1" applyNumberFormat="1" applyFont="1" applyFill="1" applyBorder="1" applyAlignment="1" applyProtection="1">
      <alignment horizontal="center" vertical="center"/>
      <protection hidden="1"/>
    </xf>
    <xf numFmtId="0" fontId="4" fillId="5" borderId="19"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165" fontId="4" fillId="2" borderId="0" xfId="1" applyNumberFormat="1" applyFont="1" applyFill="1" applyBorder="1" applyAlignment="1" applyProtection="1">
      <alignment horizontal="center" vertical="center"/>
      <protection hidden="1"/>
    </xf>
    <xf numFmtId="0" fontId="4" fillId="5" borderId="39" xfId="0" applyFont="1" applyFill="1" applyBorder="1" applyAlignment="1" applyProtection="1">
      <alignment horizontal="center" vertical="center" wrapText="1"/>
      <protection hidden="1"/>
    </xf>
    <xf numFmtId="2" fontId="4" fillId="7" borderId="31" xfId="0" applyNumberFormat="1" applyFont="1" applyFill="1" applyBorder="1" applyAlignment="1" applyProtection="1">
      <alignment horizontal="center" vertical="center" wrapText="1"/>
      <protection hidden="1"/>
    </xf>
    <xf numFmtId="2" fontId="4" fillId="5" borderId="67" xfId="0" applyNumberFormat="1" applyFont="1" applyFill="1" applyBorder="1" applyAlignment="1" applyProtection="1">
      <alignment horizontal="center" vertical="center" wrapText="1"/>
      <protection hidden="1"/>
    </xf>
    <xf numFmtId="0" fontId="4" fillId="7" borderId="10" xfId="0" applyFont="1" applyFill="1" applyBorder="1" applyAlignment="1" applyProtection="1">
      <alignment horizontal="center" vertical="center" wrapText="1"/>
      <protection hidden="1"/>
    </xf>
    <xf numFmtId="166" fontId="4" fillId="5" borderId="10" xfId="0" applyNumberFormat="1" applyFont="1" applyFill="1" applyBorder="1" applyAlignment="1" applyProtection="1">
      <alignment horizontal="center" vertical="center"/>
      <protection hidden="1"/>
    </xf>
    <xf numFmtId="166" fontId="4" fillId="5" borderId="4" xfId="0" applyNumberFormat="1" applyFont="1" applyFill="1" applyBorder="1" applyAlignment="1" applyProtection="1">
      <alignment horizontal="center" vertical="center"/>
      <protection hidden="1"/>
    </xf>
    <xf numFmtId="190" fontId="4" fillId="7" borderId="11" xfId="0" applyNumberFormat="1" applyFont="1" applyFill="1" applyBorder="1" applyAlignment="1" applyProtection="1">
      <alignment horizontal="center" vertical="center" wrapText="1"/>
      <protection hidden="1"/>
    </xf>
    <xf numFmtId="166" fontId="4" fillId="5" borderId="65"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horizontal="center" vertical="center" wrapText="1"/>
      <protection hidden="1"/>
    </xf>
    <xf numFmtId="2" fontId="4" fillId="5" borderId="19" xfId="0" applyNumberFormat="1" applyFont="1" applyFill="1" applyBorder="1" applyAlignment="1" applyProtection="1">
      <alignment horizontal="center" vertical="center"/>
      <protection hidden="1"/>
    </xf>
    <xf numFmtId="2" fontId="4" fillId="5" borderId="20" xfId="0" applyNumberFormat="1" applyFont="1" applyFill="1" applyBorder="1" applyAlignment="1" applyProtection="1">
      <alignment horizontal="center" vertical="center"/>
      <protection hidden="1"/>
    </xf>
    <xf numFmtId="0" fontId="4" fillId="5" borderId="42" xfId="0" applyFont="1" applyFill="1" applyBorder="1" applyAlignment="1" applyProtection="1">
      <alignment horizontal="center" vertical="center"/>
      <protection hidden="1"/>
    </xf>
    <xf numFmtId="165" fontId="4" fillId="7" borderId="54" xfId="0" applyNumberFormat="1" applyFont="1" applyFill="1" applyBorder="1" applyAlignment="1" applyProtection="1">
      <alignment horizontal="center" vertical="center"/>
      <protection hidden="1"/>
    </xf>
    <xf numFmtId="166" fontId="4" fillId="5" borderId="68" xfId="0" applyNumberFormat="1" applyFont="1" applyFill="1" applyBorder="1" applyAlignment="1" applyProtection="1">
      <alignment horizontal="center" vertical="center"/>
      <protection hidden="1"/>
    </xf>
    <xf numFmtId="0" fontId="4" fillId="2" borderId="0" xfId="0" applyFont="1" applyFill="1" applyAlignment="1" applyProtection="1">
      <alignment horizontal="center"/>
      <protection hidden="1"/>
    </xf>
    <xf numFmtId="0" fontId="4" fillId="0" borderId="0" xfId="0" applyFont="1"/>
    <xf numFmtId="0" fontId="4" fillId="0" borderId="0" xfId="0" applyFont="1" applyAlignment="1">
      <alignment vertical="center"/>
    </xf>
    <xf numFmtId="20" fontId="4" fillId="0" borderId="40" xfId="0" applyNumberFormat="1" applyFont="1" applyBorder="1" applyAlignment="1">
      <alignment horizontal="center" vertical="center" wrapText="1"/>
    </xf>
    <xf numFmtId="2" fontId="4" fillId="27" borderId="41" xfId="9" applyFont="1" applyBorder="1" applyAlignment="1">
      <alignment horizontal="center" vertical="center" wrapText="1"/>
      <protection locked="0"/>
    </xf>
    <xf numFmtId="0" fontId="4" fillId="0" borderId="0" xfId="0" applyFont="1" applyAlignment="1">
      <alignment horizontal="center" vertical="center" wrapText="1"/>
    </xf>
    <xf numFmtId="0" fontId="4" fillId="0" borderId="30" xfId="0" applyFont="1" applyBorder="1" applyAlignment="1" applyProtection="1">
      <alignment horizontal="center" vertical="center"/>
      <protection hidden="1"/>
    </xf>
    <xf numFmtId="0" fontId="4" fillId="0" borderId="36" xfId="0" applyFont="1" applyBorder="1" applyAlignment="1" applyProtection="1">
      <alignment horizontal="center" vertical="center"/>
      <protection hidden="1"/>
    </xf>
    <xf numFmtId="167" fontId="4" fillId="6" borderId="9" xfId="0" applyNumberFormat="1" applyFont="1" applyFill="1" applyBorder="1" applyAlignment="1" applyProtection="1">
      <alignment horizontal="center" vertical="center" wrapText="1"/>
      <protection locked="0"/>
    </xf>
    <xf numFmtId="167" fontId="4" fillId="6" borderId="34" xfId="0" applyNumberFormat="1" applyFont="1" applyFill="1" applyBorder="1" applyAlignment="1" applyProtection="1">
      <alignment horizontal="center" vertical="center" wrapText="1"/>
      <protection locked="0"/>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22" fontId="4" fillId="0" borderId="0" xfId="0" applyNumberFormat="1" applyFont="1" applyAlignment="1">
      <alignment vertical="center" wrapText="1"/>
    </xf>
    <xf numFmtId="0" fontId="4" fillId="0" borderId="0" xfId="0" applyFont="1" applyAlignment="1">
      <alignment horizontal="center" vertical="center"/>
    </xf>
    <xf numFmtId="167" fontId="4" fillId="0" borderId="0" xfId="0" applyNumberFormat="1" applyFont="1" applyAlignment="1">
      <alignment horizontal="center" vertical="center" wrapText="1"/>
    </xf>
    <xf numFmtId="22" fontId="4" fillId="0" borderId="0" xfId="0" applyNumberFormat="1" applyFont="1" applyAlignment="1">
      <alignment horizontal="center" vertical="center" wrapText="1"/>
    </xf>
    <xf numFmtId="0" fontId="4" fillId="0" borderId="0" xfId="0" applyFont="1" applyAlignment="1">
      <alignment wrapText="1"/>
    </xf>
    <xf numFmtId="167" fontId="4" fillId="31" borderId="39" xfId="0" applyNumberFormat="1" applyFont="1" applyFill="1" applyBorder="1" applyAlignment="1">
      <alignment horizontal="center" vertical="center" wrapText="1"/>
    </xf>
    <xf numFmtId="167" fontId="4" fillId="31" borderId="40" xfId="0" applyNumberFormat="1" applyFont="1" applyFill="1" applyBorder="1" applyAlignment="1">
      <alignment horizontal="center" vertical="center" wrapText="1"/>
    </xf>
    <xf numFmtId="0" fontId="4" fillId="31" borderId="40" xfId="0" applyFont="1" applyFill="1" applyBorder="1" applyAlignment="1">
      <alignment horizontal="center" vertical="center" wrapText="1"/>
    </xf>
    <xf numFmtId="167" fontId="4" fillId="31" borderId="32" xfId="0" applyNumberFormat="1" applyFont="1" applyFill="1" applyBorder="1" applyAlignment="1">
      <alignment horizontal="center" vertical="center" wrapText="1"/>
    </xf>
    <xf numFmtId="167" fontId="4" fillId="31" borderId="9"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32" xfId="0" applyNumberFormat="1" applyFont="1" applyFill="1" applyBorder="1" applyAlignment="1">
      <alignment horizontal="center" vertical="center" wrapText="1"/>
    </xf>
    <xf numFmtId="9" fontId="4" fillId="31" borderId="9" xfId="11" applyFont="1" applyFill="1" applyBorder="1" applyAlignment="1">
      <alignment horizontal="center" vertical="center" wrapText="1"/>
    </xf>
    <xf numFmtId="9" fontId="4" fillId="31" borderId="34" xfId="11" applyFont="1" applyFill="1" applyBorder="1" applyAlignment="1">
      <alignment horizontal="center" vertical="center" wrapText="1"/>
    </xf>
    <xf numFmtId="0" fontId="4" fillId="31" borderId="9" xfId="0" applyFont="1" applyFill="1" applyBorder="1" applyAlignment="1">
      <alignment horizontal="center" vertical="center" wrapText="1"/>
    </xf>
    <xf numFmtId="9" fontId="4" fillId="31" borderId="34" xfId="0" applyNumberFormat="1" applyFont="1" applyFill="1" applyBorder="1" applyAlignment="1">
      <alignment horizontal="center" vertical="center" wrapText="1"/>
    </xf>
    <xf numFmtId="167" fontId="4" fillId="31" borderId="42" xfId="0" applyNumberFormat="1" applyFont="1" applyFill="1" applyBorder="1" applyAlignment="1">
      <alignment horizontal="center" vertical="center" wrapText="1"/>
    </xf>
    <xf numFmtId="167" fontId="4" fillId="31" borderId="43" xfId="0" applyNumberFormat="1" applyFont="1" applyFill="1" applyBorder="1" applyAlignment="1">
      <alignment horizontal="center" vertical="center" wrapText="1"/>
    </xf>
    <xf numFmtId="0" fontId="4" fillId="31" borderId="43" xfId="0" applyFont="1" applyFill="1" applyBorder="1" applyAlignment="1">
      <alignment horizontal="center" vertical="center" wrapText="1"/>
    </xf>
    <xf numFmtId="167" fontId="4" fillId="31" borderId="30" xfId="0" applyNumberFormat="1" applyFont="1" applyFill="1" applyBorder="1" applyAlignment="1">
      <alignment horizontal="center" vertical="center" wrapText="1"/>
    </xf>
    <xf numFmtId="0" fontId="4" fillId="31" borderId="36" xfId="0" applyFont="1" applyFill="1" applyBorder="1" applyAlignment="1">
      <alignment horizontal="center" vertical="center" wrapText="1"/>
    </xf>
    <xf numFmtId="2" fontId="4" fillId="31" borderId="39" xfId="0" applyNumberFormat="1" applyFont="1" applyFill="1" applyBorder="1" applyAlignment="1">
      <alignment horizontal="center" vertical="center" wrapText="1"/>
    </xf>
    <xf numFmtId="9" fontId="4" fillId="31" borderId="40" xfId="11" applyFont="1" applyFill="1" applyBorder="1" applyAlignment="1">
      <alignment horizontal="center" vertical="center" wrapText="1"/>
    </xf>
    <xf numFmtId="9" fontId="4" fillId="31" borderId="41" xfId="11"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34" xfId="0" applyFont="1" applyFill="1" applyBorder="1" applyAlignment="1">
      <alignment horizontal="center" vertical="center" wrapText="1"/>
    </xf>
    <xf numFmtId="0" fontId="4" fillId="31" borderId="42" xfId="0" applyFont="1" applyFill="1" applyBorder="1" applyAlignment="1">
      <alignment horizontal="center" vertical="center" wrapText="1"/>
    </xf>
    <xf numFmtId="0" fontId="4" fillId="31" borderId="37" xfId="0" applyFont="1" applyFill="1" applyBorder="1" applyAlignment="1">
      <alignment horizontal="center" vertical="center" wrapText="1"/>
    </xf>
    <xf numFmtId="2" fontId="4" fillId="31" borderId="42" xfId="0" applyNumberFormat="1" applyFont="1" applyFill="1" applyBorder="1" applyAlignment="1">
      <alignment horizontal="center" vertical="center" wrapText="1"/>
    </xf>
    <xf numFmtId="9" fontId="4" fillId="31" borderId="43" xfId="11" applyFont="1" applyFill="1" applyBorder="1" applyAlignment="1">
      <alignment horizontal="center" vertical="center" wrapText="1"/>
    </xf>
    <xf numFmtId="9" fontId="4" fillId="31" borderId="37" xfId="0" applyNumberFormat="1" applyFont="1" applyFill="1" applyBorder="1" applyAlignment="1">
      <alignment horizontal="center" vertical="center" wrapText="1"/>
    </xf>
    <xf numFmtId="0" fontId="4" fillId="0" borderId="0" xfId="0" applyFont="1" applyAlignment="1">
      <alignment horizontal="center" wrapText="1"/>
    </xf>
    <xf numFmtId="164" fontId="4" fillId="31" borderId="30" xfId="0" applyNumberFormat="1" applyFont="1" applyFill="1" applyBorder="1" applyAlignment="1">
      <alignment horizontal="center"/>
    </xf>
    <xf numFmtId="0" fontId="4" fillId="31" borderId="36" xfId="0" applyFont="1" applyFill="1" applyBorder="1" applyAlignment="1">
      <alignment horizontal="center"/>
    </xf>
    <xf numFmtId="0" fontId="4" fillId="0" borderId="0" xfId="0" applyFont="1" applyAlignment="1">
      <alignment horizontal="center"/>
    </xf>
    <xf numFmtId="164" fontId="4" fillId="31" borderId="32" xfId="0" applyNumberFormat="1" applyFont="1" applyFill="1" applyBorder="1" applyAlignment="1">
      <alignment horizontal="center"/>
    </xf>
    <xf numFmtId="0" fontId="4" fillId="31" borderId="34" xfId="0" applyFont="1" applyFill="1" applyBorder="1" applyAlignment="1">
      <alignment horizontal="center"/>
    </xf>
    <xf numFmtId="2" fontId="4" fillId="31" borderId="42" xfId="0" applyNumberFormat="1" applyFont="1" applyFill="1" applyBorder="1" applyAlignment="1">
      <alignment horizontal="center"/>
    </xf>
    <xf numFmtId="0" fontId="4" fillId="31" borderId="37" xfId="0" applyFont="1" applyFill="1" applyBorder="1" applyAlignment="1">
      <alignment horizontal="center"/>
    </xf>
    <xf numFmtId="166" fontId="4" fillId="7" borderId="18" xfId="0" applyNumberFormat="1" applyFont="1" applyFill="1" applyBorder="1" applyAlignment="1" applyProtection="1">
      <alignment horizontal="center" vertical="center"/>
      <protection hidden="1"/>
    </xf>
    <xf numFmtId="167" fontId="4" fillId="7" borderId="9" xfId="0" applyNumberFormat="1" applyFont="1" applyFill="1" applyBorder="1" applyAlignment="1">
      <alignment horizontal="center" vertical="center" wrapText="1"/>
    </xf>
    <xf numFmtId="167" fontId="4" fillId="7" borderId="34" xfId="0" applyNumberFormat="1" applyFont="1" applyFill="1" applyBorder="1" applyAlignment="1">
      <alignment horizontal="center" vertical="center" wrapText="1"/>
    </xf>
    <xf numFmtId="167" fontId="4" fillId="7" borderId="43" xfId="0" applyNumberFormat="1" applyFont="1" applyFill="1" applyBorder="1" applyAlignment="1">
      <alignment horizontal="center" vertical="center" wrapText="1"/>
    </xf>
    <xf numFmtId="167" fontId="4" fillId="7" borderId="37" xfId="0" applyNumberFormat="1" applyFont="1" applyFill="1" applyBorder="1" applyAlignment="1">
      <alignment horizontal="center" vertical="center" wrapText="1"/>
    </xf>
    <xf numFmtId="167" fontId="7" fillId="31" borderId="1" xfId="0" applyNumberFormat="1" applyFont="1" applyFill="1" applyBorder="1" applyAlignment="1">
      <alignment horizontal="center" vertical="center" wrapText="1"/>
    </xf>
    <xf numFmtId="49" fontId="3" fillId="30" borderId="1" xfId="0" applyNumberFormat="1" applyFont="1" applyFill="1" applyBorder="1" applyAlignment="1" applyProtection="1">
      <alignment horizontal="center" vertical="center"/>
      <protection locked="0" hidden="1"/>
    </xf>
    <xf numFmtId="2" fontId="4" fillId="6" borderId="1" xfId="0" applyNumberFormat="1" applyFont="1" applyFill="1" applyBorder="1" applyAlignment="1" applyProtection="1">
      <alignment horizontal="center" vertical="center" wrapText="1"/>
      <protection locked="0" hidden="1"/>
    </xf>
    <xf numFmtId="192" fontId="2" fillId="7" borderId="32" xfId="0" applyNumberFormat="1" applyFont="1" applyFill="1" applyBorder="1" applyAlignment="1" applyProtection="1">
      <alignment horizontal="center" vertical="center" wrapText="1"/>
      <protection hidden="1"/>
    </xf>
    <xf numFmtId="2" fontId="66" fillId="0" borderId="0" xfId="0" applyNumberFormat="1" applyFont="1" applyProtection="1">
      <protection hidden="1"/>
    </xf>
    <xf numFmtId="167" fontId="66" fillId="0" borderId="0" xfId="0" applyNumberFormat="1" applyFont="1" applyProtection="1">
      <protection hidden="1"/>
    </xf>
    <xf numFmtId="167" fontId="35" fillId="14" borderId="30" xfId="0" applyNumberFormat="1" applyFont="1" applyFill="1" applyBorder="1" applyAlignment="1">
      <alignment horizontal="center" vertical="center"/>
    </xf>
    <xf numFmtId="0" fontId="35" fillId="14" borderId="18" xfId="0" applyFont="1" applyFill="1" applyBorder="1" applyAlignment="1">
      <alignment horizontal="center" vertical="center"/>
    </xf>
    <xf numFmtId="2" fontId="35" fillId="14" borderId="18" xfId="0" applyNumberFormat="1" applyFont="1" applyFill="1" applyBorder="1" applyAlignment="1">
      <alignment horizontal="center" vertical="center"/>
    </xf>
    <xf numFmtId="0" fontId="35" fillId="14" borderId="36" xfId="0" applyFont="1" applyFill="1" applyBorder="1" applyAlignment="1">
      <alignment horizontal="center" vertical="center" wrapText="1"/>
    </xf>
    <xf numFmtId="0" fontId="35" fillId="14" borderId="32" xfId="0" applyFont="1" applyFill="1" applyBorder="1" applyAlignment="1">
      <alignment horizontal="center" vertical="center"/>
    </xf>
    <xf numFmtId="0" fontId="35" fillId="14" borderId="9" xfId="0" applyFont="1" applyFill="1" applyBorder="1" applyAlignment="1">
      <alignment horizontal="center" vertical="center"/>
    </xf>
    <xf numFmtId="166" fontId="35" fillId="14" borderId="9" xfId="0" applyNumberFormat="1" applyFont="1" applyFill="1" applyBorder="1" applyAlignment="1">
      <alignment horizontal="center" vertical="center"/>
    </xf>
    <xf numFmtId="0" fontId="35" fillId="14" borderId="42" xfId="0" applyFont="1" applyFill="1" applyBorder="1" applyAlignment="1">
      <alignment horizontal="center" vertical="center"/>
    </xf>
    <xf numFmtId="0" fontId="35" fillId="14" borderId="43" xfId="0" applyFont="1" applyFill="1" applyBorder="1" applyAlignment="1">
      <alignment horizontal="center" vertical="center"/>
    </xf>
    <xf numFmtId="2" fontId="35" fillId="14" borderId="43" xfId="0" applyNumberFormat="1" applyFont="1" applyFill="1" applyBorder="1" applyAlignment="1">
      <alignment horizontal="center" vertical="center"/>
    </xf>
    <xf numFmtId="14" fontId="66" fillId="0" borderId="40" xfId="0" applyNumberFormat="1" applyFont="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17" fillId="0" borderId="70" xfId="0" applyFont="1" applyBorder="1" applyAlignment="1" applyProtection="1">
      <alignment horizontal="centerContinuous" vertical="center" wrapText="1"/>
      <protection hidden="1"/>
    </xf>
    <xf numFmtId="2" fontId="60" fillId="2" borderId="0" xfId="0" applyNumberFormat="1" applyFont="1" applyFill="1" applyProtection="1">
      <protection hidden="1"/>
    </xf>
    <xf numFmtId="167" fontId="75" fillId="6" borderId="40" xfId="0" applyNumberFormat="1" applyFont="1" applyFill="1" applyBorder="1" applyAlignment="1" applyProtection="1">
      <alignment horizontal="center" vertical="center"/>
      <protection hidden="1"/>
    </xf>
    <xf numFmtId="167" fontId="75" fillId="6" borderId="43" xfId="0" applyNumberFormat="1" applyFont="1" applyFill="1" applyBorder="1" applyAlignment="1" applyProtection="1">
      <alignment horizontal="center" vertical="center"/>
      <protection hidden="1"/>
    </xf>
    <xf numFmtId="2" fontId="75" fillId="6" borderId="40" xfId="0" applyNumberFormat="1" applyFont="1" applyFill="1" applyBorder="1" applyAlignment="1" applyProtection="1">
      <alignment horizontal="center" vertical="center"/>
      <protection hidden="1"/>
    </xf>
    <xf numFmtId="169" fontId="75" fillId="6" borderId="40" xfId="0" applyNumberFormat="1" applyFont="1" applyFill="1" applyBorder="1" applyAlignment="1" applyProtection="1">
      <alignment horizontal="center" vertical="center"/>
      <protection hidden="1"/>
    </xf>
    <xf numFmtId="14" fontId="75" fillId="6" borderId="40" xfId="0" applyNumberFormat="1" applyFont="1" applyFill="1" applyBorder="1" applyAlignment="1" applyProtection="1">
      <alignment horizontal="center" vertical="center"/>
      <protection hidden="1"/>
    </xf>
    <xf numFmtId="165" fontId="75" fillId="6" borderId="40" xfId="0" applyNumberFormat="1" applyFont="1" applyFill="1" applyBorder="1" applyAlignment="1" applyProtection="1">
      <alignment horizontal="center" vertical="center"/>
      <protection hidden="1"/>
    </xf>
    <xf numFmtId="0" fontId="75" fillId="6" borderId="40" xfId="0" quotePrefix="1" applyFont="1" applyFill="1" applyBorder="1" applyAlignment="1" applyProtection="1">
      <alignment horizontal="center" vertical="center"/>
      <protection hidden="1"/>
    </xf>
    <xf numFmtId="2" fontId="75" fillId="6" borderId="41" xfId="0" applyNumberFormat="1" applyFont="1" applyFill="1" applyBorder="1" applyAlignment="1" applyProtection="1">
      <alignment horizontal="center" vertical="center"/>
      <protection hidden="1"/>
    </xf>
    <xf numFmtId="2" fontId="75" fillId="6" borderId="43" xfId="0" applyNumberFormat="1" applyFont="1" applyFill="1" applyBorder="1" applyAlignment="1" applyProtection="1">
      <alignment horizontal="center" vertical="center"/>
      <protection hidden="1"/>
    </xf>
    <xf numFmtId="169" fontId="75" fillId="6" borderId="43" xfId="0" applyNumberFormat="1" applyFont="1" applyFill="1" applyBorder="1" applyAlignment="1" applyProtection="1">
      <alignment horizontal="center" vertical="center"/>
      <protection hidden="1"/>
    </xf>
    <xf numFmtId="14" fontId="75" fillId="6" borderId="43" xfId="0" applyNumberFormat="1" applyFont="1" applyFill="1" applyBorder="1" applyAlignment="1" applyProtection="1">
      <alignment horizontal="center" vertical="center"/>
      <protection hidden="1"/>
    </xf>
    <xf numFmtId="164" fontId="75" fillId="6" borderId="43" xfId="0" applyNumberFormat="1" applyFont="1" applyFill="1" applyBorder="1" applyAlignment="1" applyProtection="1">
      <alignment horizontal="center" vertical="center"/>
      <protection hidden="1"/>
    </xf>
    <xf numFmtId="0" fontId="75" fillId="6" borderId="43" xfId="0" quotePrefix="1" applyFont="1" applyFill="1" applyBorder="1" applyAlignment="1" applyProtection="1">
      <alignment horizontal="center" vertical="center"/>
      <protection hidden="1"/>
    </xf>
    <xf numFmtId="2" fontId="75" fillId="6" borderId="37" xfId="0" applyNumberFormat="1" applyFont="1" applyFill="1" applyBorder="1" applyAlignment="1" applyProtection="1">
      <alignment horizontal="center" vertical="center"/>
      <protection hidden="1"/>
    </xf>
    <xf numFmtId="166" fontId="75" fillId="6" borderId="39" xfId="0" applyNumberFormat="1" applyFont="1" applyFill="1" applyBorder="1" applyAlignment="1" applyProtection="1">
      <alignment horizontal="center" vertical="center"/>
      <protection hidden="1"/>
    </xf>
    <xf numFmtId="166" fontId="75" fillId="6" borderId="32" xfId="0" applyNumberFormat="1" applyFont="1" applyFill="1" applyBorder="1" applyAlignment="1" applyProtection="1">
      <alignment horizontal="center" vertical="center"/>
      <protection hidden="1"/>
    </xf>
    <xf numFmtId="0" fontId="75" fillId="6" borderId="32" xfId="0" applyFont="1" applyFill="1" applyBorder="1" applyAlignment="1" applyProtection="1">
      <alignment horizontal="center" vertical="center"/>
      <protection hidden="1"/>
    </xf>
    <xf numFmtId="0" fontId="75" fillId="6" borderId="42" xfId="0" applyFont="1" applyFill="1" applyBorder="1" applyAlignment="1" applyProtection="1">
      <alignment horizontal="center" vertical="center"/>
      <protection hidden="1"/>
    </xf>
    <xf numFmtId="0" fontId="75" fillId="6" borderId="40" xfId="0" applyFont="1" applyFill="1" applyBorder="1" applyAlignment="1" applyProtection="1">
      <alignment horizontal="center" vertical="center"/>
      <protection hidden="1"/>
    </xf>
    <xf numFmtId="166" fontId="75" fillId="6" borderId="9" xfId="0" applyNumberFormat="1" applyFont="1" applyFill="1" applyBorder="1" applyAlignment="1" applyProtection="1">
      <alignment horizontal="center" vertical="center"/>
      <protection hidden="1"/>
    </xf>
    <xf numFmtId="0" fontId="75" fillId="6" borderId="9" xfId="0" applyFont="1" applyFill="1" applyBorder="1" applyAlignment="1" applyProtection="1">
      <alignment horizontal="center" vertical="center"/>
      <protection hidden="1"/>
    </xf>
    <xf numFmtId="0" fontId="75" fillId="6" borderId="43" xfId="0" applyFont="1" applyFill="1" applyBorder="1" applyAlignment="1" applyProtection="1">
      <alignment horizontal="center" vertical="center"/>
      <protection hidden="1"/>
    </xf>
    <xf numFmtId="169" fontId="75" fillId="6" borderId="9" xfId="0" applyNumberFormat="1" applyFont="1" applyFill="1" applyBorder="1" applyAlignment="1" applyProtection="1">
      <alignment horizontal="center" vertical="center"/>
      <protection hidden="1"/>
    </xf>
    <xf numFmtId="166" fontId="75" fillId="6" borderId="40" xfId="0" applyNumberFormat="1" applyFont="1" applyFill="1" applyBorder="1" applyAlignment="1" applyProtection="1">
      <alignment horizontal="center" vertical="center"/>
      <protection hidden="1"/>
    </xf>
    <xf numFmtId="165" fontId="75" fillId="6" borderId="41" xfId="0" applyNumberFormat="1" applyFont="1" applyFill="1" applyBorder="1" applyAlignment="1" applyProtection="1">
      <alignment horizontal="center" vertical="center"/>
      <protection hidden="1"/>
    </xf>
    <xf numFmtId="165" fontId="75" fillId="6" borderId="34" xfId="0" applyNumberFormat="1" applyFont="1" applyFill="1" applyBorder="1" applyAlignment="1" applyProtection="1">
      <alignment horizontal="center" vertical="center"/>
      <protection hidden="1"/>
    </xf>
    <xf numFmtId="166" fontId="75" fillId="6" borderId="43" xfId="0" applyNumberFormat="1" applyFont="1" applyFill="1" applyBorder="1" applyAlignment="1" applyProtection="1">
      <alignment horizontal="center" vertical="center"/>
      <protection hidden="1"/>
    </xf>
    <xf numFmtId="165" fontId="75" fillId="6" borderId="37" xfId="0" applyNumberFormat="1" applyFont="1" applyFill="1" applyBorder="1" applyAlignment="1" applyProtection="1">
      <alignment horizontal="center" vertical="center"/>
      <protection hidden="1"/>
    </xf>
    <xf numFmtId="166" fontId="75" fillId="6" borderId="42" xfId="0" applyNumberFormat="1" applyFont="1" applyFill="1" applyBorder="1" applyAlignment="1" applyProtection="1">
      <alignment horizontal="center" vertical="center"/>
      <protection hidden="1"/>
    </xf>
    <xf numFmtId="2" fontId="75" fillId="7" borderId="40" xfId="0" applyNumberFormat="1" applyFont="1" applyFill="1" applyBorder="1" applyAlignment="1" applyProtection="1">
      <alignment horizontal="center" vertical="center"/>
      <protection hidden="1"/>
    </xf>
    <xf numFmtId="2" fontId="75" fillId="7" borderId="9" xfId="0" applyNumberFormat="1" applyFont="1" applyFill="1" applyBorder="1" applyAlignment="1" applyProtection="1">
      <alignment horizontal="center" vertical="center"/>
      <protection hidden="1"/>
    </xf>
    <xf numFmtId="2" fontId="75" fillId="7" borderId="43" xfId="0" applyNumberFormat="1" applyFont="1" applyFill="1" applyBorder="1" applyAlignment="1" applyProtection="1">
      <alignment horizontal="center" vertical="center"/>
      <protection hidden="1"/>
    </xf>
    <xf numFmtId="0" fontId="75" fillId="6" borderId="39" xfId="0" applyFont="1" applyFill="1" applyBorder="1" applyAlignment="1" applyProtection="1">
      <alignment horizontal="center" vertical="center"/>
      <protection hidden="1"/>
    </xf>
    <xf numFmtId="173" fontId="75" fillId="6" borderId="40" xfId="0" applyNumberFormat="1" applyFont="1" applyFill="1" applyBorder="1" applyAlignment="1" applyProtection="1">
      <alignment horizontal="center" vertical="center" wrapText="1"/>
      <protection hidden="1"/>
    </xf>
    <xf numFmtId="173" fontId="75" fillId="6" borderId="31" xfId="0" applyNumberFormat="1" applyFont="1" applyFill="1" applyBorder="1" applyAlignment="1" applyProtection="1">
      <alignment horizontal="center" vertical="center" wrapText="1"/>
      <protection hidden="1"/>
    </xf>
    <xf numFmtId="173" fontId="75" fillId="6" borderId="9" xfId="0" applyNumberFormat="1" applyFont="1" applyFill="1" applyBorder="1" applyAlignment="1" applyProtection="1">
      <alignment horizontal="center" vertical="center" wrapText="1"/>
      <protection hidden="1"/>
    </xf>
    <xf numFmtId="173" fontId="75" fillId="6" borderId="11" xfId="0" applyNumberFormat="1" applyFont="1" applyFill="1" applyBorder="1" applyAlignment="1" applyProtection="1">
      <alignment horizontal="center" vertical="center" wrapText="1"/>
      <protection hidden="1"/>
    </xf>
    <xf numFmtId="173" fontId="75" fillId="6" borderId="43" xfId="0" applyNumberFormat="1" applyFont="1" applyFill="1" applyBorder="1" applyAlignment="1" applyProtection="1">
      <alignment horizontal="center" vertical="center" wrapText="1"/>
      <protection hidden="1"/>
    </xf>
    <xf numFmtId="173" fontId="75" fillId="6" borderId="54" xfId="0" applyNumberFormat="1" applyFont="1" applyFill="1" applyBorder="1" applyAlignment="1" applyProtection="1">
      <alignment horizontal="center" vertical="center" wrapText="1"/>
      <protection hidden="1"/>
    </xf>
    <xf numFmtId="0" fontId="15" fillId="5" borderId="22" xfId="0" applyFont="1" applyFill="1" applyBorder="1" applyAlignment="1" applyProtection="1">
      <alignment horizontal="center" vertical="center" wrapText="1"/>
      <protection hidden="1"/>
    </xf>
    <xf numFmtId="167" fontId="35" fillId="14" borderId="39" xfId="0" applyNumberFormat="1" applyFont="1" applyFill="1" applyBorder="1" applyAlignment="1">
      <alignment horizontal="center" vertical="center"/>
    </xf>
    <xf numFmtId="0" fontId="35" fillId="14" borderId="40" xfId="0" applyFont="1" applyFill="1" applyBorder="1" applyAlignment="1">
      <alignment horizontal="center" vertical="center"/>
    </xf>
    <xf numFmtId="167" fontId="35" fillId="14" borderId="40" xfId="0" applyNumberFormat="1" applyFont="1" applyFill="1" applyBorder="1" applyAlignment="1">
      <alignment horizontal="center" vertical="center"/>
    </xf>
    <xf numFmtId="0" fontId="35" fillId="14" borderId="41" xfId="0" applyFont="1" applyFill="1" applyBorder="1" applyAlignment="1">
      <alignment horizontal="center" vertical="center" wrapText="1"/>
    </xf>
    <xf numFmtId="165" fontId="35" fillId="14" borderId="32" xfId="0" applyNumberFormat="1" applyFont="1" applyFill="1" applyBorder="1" applyAlignment="1">
      <alignment horizontal="center" vertical="center"/>
    </xf>
    <xf numFmtId="167" fontId="35" fillId="14" borderId="9" xfId="0" applyNumberFormat="1" applyFont="1" applyFill="1" applyBorder="1" applyAlignment="1">
      <alignment horizontal="center" vertical="center"/>
    </xf>
    <xf numFmtId="0" fontId="35" fillId="14" borderId="52" xfId="0" applyFont="1" applyFill="1" applyBorder="1" applyAlignment="1">
      <alignment horizontal="center" vertical="center"/>
    </xf>
    <xf numFmtId="0" fontId="75" fillId="6" borderId="41" xfId="0" applyFont="1" applyFill="1" applyBorder="1" applyAlignment="1" applyProtection="1">
      <alignment horizontal="center" vertical="center" wrapText="1"/>
      <protection hidden="1"/>
    </xf>
    <xf numFmtId="0" fontId="75" fillId="6" borderId="12" xfId="0" applyFont="1" applyFill="1" applyBorder="1" applyAlignment="1" applyProtection="1">
      <alignment horizontal="center" vertical="center"/>
      <protection hidden="1"/>
    </xf>
    <xf numFmtId="167" fontId="75" fillId="6" borderId="81" xfId="0" applyNumberFormat="1" applyFont="1" applyFill="1" applyBorder="1" applyAlignment="1" applyProtection="1">
      <alignment horizontal="center" vertical="center"/>
      <protection hidden="1"/>
    </xf>
    <xf numFmtId="0" fontId="75" fillId="6" borderId="31" xfId="0" applyFont="1" applyFill="1" applyBorder="1" applyAlignment="1" applyProtection="1">
      <alignment horizontal="center" vertical="center"/>
      <protection hidden="1"/>
    </xf>
    <xf numFmtId="0" fontId="75" fillId="6" borderId="11" xfId="0" applyFont="1" applyFill="1" applyBorder="1" applyAlignment="1" applyProtection="1">
      <alignment horizontal="center" vertical="center"/>
      <protection hidden="1"/>
    </xf>
    <xf numFmtId="0" fontId="75" fillId="6" borderId="54" xfId="0" applyFont="1" applyFill="1" applyBorder="1" applyAlignment="1" applyProtection="1">
      <alignment horizontal="center" vertical="center"/>
      <protection hidden="1"/>
    </xf>
    <xf numFmtId="167" fontId="75" fillId="6" borderId="9" xfId="0" applyNumberFormat="1" applyFont="1" applyFill="1" applyBorder="1" applyAlignment="1" applyProtection="1">
      <alignment horizontal="center" vertical="center"/>
      <protection hidden="1"/>
    </xf>
    <xf numFmtId="167" fontId="75" fillId="6" borderId="39" xfId="0" applyNumberFormat="1" applyFont="1" applyFill="1" applyBorder="1" applyAlignment="1" applyProtection="1">
      <alignment horizontal="center" vertical="center"/>
      <protection hidden="1"/>
    </xf>
    <xf numFmtId="167" fontId="75" fillId="6" borderId="42" xfId="0" applyNumberFormat="1" applyFont="1" applyFill="1" applyBorder="1" applyAlignment="1" applyProtection="1">
      <alignment horizontal="center" vertical="center"/>
      <protection hidden="1"/>
    </xf>
    <xf numFmtId="167" fontId="75" fillId="6" borderId="31" xfId="0" applyNumberFormat="1" applyFont="1" applyFill="1" applyBorder="1" applyAlignment="1" applyProtection="1">
      <alignment horizontal="center" vertical="center" wrapText="1"/>
      <protection hidden="1"/>
    </xf>
    <xf numFmtId="167" fontId="75" fillId="6" borderId="11" xfId="0" applyNumberFormat="1" applyFont="1" applyFill="1" applyBorder="1" applyAlignment="1" applyProtection="1">
      <alignment horizontal="center" vertical="center" wrapText="1"/>
      <protection hidden="1"/>
    </xf>
    <xf numFmtId="167" fontId="75" fillId="6" borderId="32" xfId="0" applyNumberFormat="1" applyFont="1" applyFill="1" applyBorder="1" applyAlignment="1" applyProtection="1">
      <alignment horizontal="center" vertical="center"/>
      <protection hidden="1"/>
    </xf>
    <xf numFmtId="167" fontId="75" fillId="6" borderId="54" xfId="0" applyNumberFormat="1" applyFont="1" applyFill="1" applyBorder="1" applyAlignment="1" applyProtection="1">
      <alignment horizontal="center" vertical="center" wrapText="1"/>
      <protection hidden="1"/>
    </xf>
    <xf numFmtId="0" fontId="75" fillId="6" borderId="34" xfId="0" applyFont="1" applyFill="1" applyBorder="1" applyAlignment="1" applyProtection="1">
      <alignment horizontal="center" vertical="center" wrapText="1"/>
      <protection hidden="1"/>
    </xf>
    <xf numFmtId="0" fontId="75" fillId="6" borderId="59" xfId="0" applyFont="1" applyFill="1" applyBorder="1" applyAlignment="1" applyProtection="1">
      <alignment horizontal="center" vertical="center" wrapText="1"/>
      <protection hidden="1"/>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5" fillId="14" borderId="34" xfId="0" applyFont="1" applyFill="1" applyBorder="1" applyAlignment="1">
      <alignment horizontal="center" vertical="center" wrapText="1"/>
    </xf>
    <xf numFmtId="0" fontId="35" fillId="14" borderId="37" xfId="0" applyFont="1" applyFill="1" applyBorder="1" applyAlignment="1">
      <alignment horizontal="center" vertical="center" wrapText="1"/>
    </xf>
    <xf numFmtId="174" fontId="75" fillId="6" borderId="39" xfId="0" applyNumberFormat="1" applyFont="1" applyFill="1" applyBorder="1" applyAlignment="1" applyProtection="1">
      <alignment horizontal="center" vertical="center"/>
      <protection hidden="1"/>
    </xf>
    <xf numFmtId="0" fontId="75" fillId="6" borderId="34" xfId="0" applyFont="1" applyFill="1" applyBorder="1" applyAlignment="1" applyProtection="1">
      <alignment horizontal="center" vertical="center"/>
      <protection hidden="1"/>
    </xf>
    <xf numFmtId="0" fontId="75" fillId="6" borderId="37" xfId="0" applyFont="1" applyFill="1" applyBorder="1" applyAlignment="1" applyProtection="1">
      <alignment horizontal="center" vertical="center"/>
      <protection hidden="1"/>
    </xf>
    <xf numFmtId="166" fontId="75" fillId="6" borderId="41" xfId="0" applyNumberFormat="1" applyFont="1" applyFill="1" applyBorder="1" applyAlignment="1" applyProtection="1">
      <alignment horizontal="center" vertical="center"/>
      <protection hidden="1"/>
    </xf>
    <xf numFmtId="174" fontId="75" fillId="6" borderId="32" xfId="0" applyNumberFormat="1" applyFont="1" applyFill="1" applyBorder="1" applyAlignment="1" applyProtection="1">
      <alignment horizontal="center" vertical="center"/>
      <protection hidden="1"/>
    </xf>
    <xf numFmtId="174" fontId="75" fillId="6" borderId="31" xfId="0" applyNumberFormat="1" applyFont="1" applyFill="1" applyBorder="1" applyAlignment="1" applyProtection="1">
      <alignment horizontal="center" vertical="center" wrapText="1"/>
      <protection hidden="1"/>
    </xf>
    <xf numFmtId="0" fontId="75" fillId="6" borderId="11" xfId="0" applyFont="1" applyFill="1" applyBorder="1" applyAlignment="1" applyProtection="1">
      <alignment horizontal="center" vertical="center" wrapText="1"/>
      <protection hidden="1"/>
    </xf>
    <xf numFmtId="0" fontId="75" fillId="6" borderId="54" xfId="0" applyFont="1" applyFill="1" applyBorder="1" applyAlignment="1" applyProtection="1">
      <alignment horizontal="center" vertical="center" wrapText="1"/>
      <protection hidden="1"/>
    </xf>
    <xf numFmtId="174" fontId="75" fillId="6" borderId="40" xfId="0" applyNumberFormat="1" applyFont="1" applyFill="1" applyBorder="1" applyAlignment="1" applyProtection="1">
      <alignment horizontal="center" vertical="center" wrapText="1"/>
      <protection hidden="1"/>
    </xf>
    <xf numFmtId="174" fontId="75" fillId="6" borderId="9" xfId="0" applyNumberFormat="1" applyFont="1" applyFill="1" applyBorder="1" applyAlignment="1" applyProtection="1">
      <alignment horizontal="center" vertical="center" wrapText="1"/>
      <protection hidden="1"/>
    </xf>
    <xf numFmtId="174" fontId="75" fillId="6" borderId="43" xfId="0" applyNumberFormat="1" applyFont="1" applyFill="1" applyBorder="1" applyAlignment="1" applyProtection="1">
      <alignment horizontal="center" vertical="center" wrapText="1"/>
      <protection hidden="1"/>
    </xf>
    <xf numFmtId="0" fontId="75" fillId="6" borderId="37" xfId="0" applyFont="1" applyFill="1" applyBorder="1" applyAlignment="1" applyProtection="1">
      <alignment horizontal="center" vertical="center" wrapText="1"/>
      <protection hidden="1"/>
    </xf>
    <xf numFmtId="174" fontId="75" fillId="6" borderId="40" xfId="0" applyNumberFormat="1" applyFont="1" applyFill="1" applyBorder="1" applyAlignment="1" applyProtection="1">
      <alignment horizontal="center" vertical="center"/>
      <protection hidden="1"/>
    </xf>
    <xf numFmtId="167" fontId="75" fillId="6" borderId="41" xfId="0" applyNumberFormat="1" applyFont="1" applyFill="1" applyBorder="1" applyAlignment="1" applyProtection="1">
      <alignment horizontal="center" vertical="center" wrapText="1"/>
      <protection hidden="1"/>
    </xf>
    <xf numFmtId="167" fontId="75" fillId="6" borderId="34" xfId="0" applyNumberFormat="1" applyFont="1" applyFill="1" applyBorder="1" applyAlignment="1" applyProtection="1">
      <alignment horizontal="center" vertical="center" wrapText="1"/>
      <protection hidden="1"/>
    </xf>
    <xf numFmtId="167" fontId="75" fillId="6" borderId="37" xfId="0" applyNumberFormat="1" applyFont="1" applyFill="1" applyBorder="1" applyAlignment="1" applyProtection="1">
      <alignment horizontal="center" vertical="center" wrapText="1"/>
      <protection hidden="1"/>
    </xf>
    <xf numFmtId="0" fontId="75" fillId="6" borderId="72" xfId="0" applyFont="1" applyFill="1" applyBorder="1" applyAlignment="1" applyProtection="1">
      <alignment horizontal="center" vertical="center"/>
      <protection hidden="1"/>
    </xf>
    <xf numFmtId="167" fontId="75" fillId="6" borderId="18" xfId="0" applyNumberFormat="1" applyFont="1" applyFill="1" applyBorder="1" applyAlignment="1" applyProtection="1">
      <alignment horizontal="center" vertical="center"/>
      <protection hidden="1"/>
    </xf>
    <xf numFmtId="167" fontId="75" fillId="6" borderId="52" xfId="0" applyNumberFormat="1" applyFont="1" applyFill="1" applyBorder="1" applyAlignment="1" applyProtection="1">
      <alignment horizontal="center" vertical="center"/>
      <protection hidden="1"/>
    </xf>
    <xf numFmtId="0" fontId="75" fillId="6" borderId="18" xfId="0" applyFont="1" applyFill="1" applyBorder="1" applyAlignment="1" applyProtection="1">
      <alignment horizontal="center" vertical="center"/>
      <protection hidden="1"/>
    </xf>
    <xf numFmtId="0" fontId="75" fillId="6" borderId="52" xfId="0" applyFont="1" applyFill="1" applyBorder="1" applyAlignment="1" applyProtection="1">
      <alignment horizontal="center" vertical="center"/>
      <protection hidden="1"/>
    </xf>
    <xf numFmtId="0" fontId="75" fillId="6" borderId="41" xfId="0" applyFont="1" applyFill="1" applyBorder="1" applyAlignment="1" applyProtection="1">
      <alignment horizontal="center" vertical="center"/>
      <protection hidden="1"/>
    </xf>
    <xf numFmtId="178" fontId="36"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192" fontId="36" fillId="0" borderId="0" xfId="11" applyNumberFormat="1" applyFont="1" applyFill="1" applyAlignment="1" applyProtection="1">
      <alignment horizontal="left" vertical="center" wrapText="1"/>
      <protection hidden="1"/>
    </xf>
    <xf numFmtId="177" fontId="36" fillId="0" borderId="0" xfId="0" applyNumberFormat="1" applyFont="1" applyAlignment="1" applyProtection="1">
      <alignment horizontal="left" vertical="center" wrapText="1"/>
      <protection hidden="1"/>
    </xf>
    <xf numFmtId="167" fontId="36" fillId="2" borderId="79" xfId="0" applyNumberFormat="1" applyFont="1" applyFill="1" applyBorder="1" applyAlignment="1" applyProtection="1">
      <alignment horizontal="center" vertical="center"/>
      <protection hidden="1"/>
    </xf>
    <xf numFmtId="0" fontId="36" fillId="2" borderId="79" xfId="0"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0" fontId="79" fillId="0" borderId="0" xfId="0" applyFont="1" applyAlignment="1" applyProtection="1">
      <alignment horizontal="justify" vertical="center" wrapText="1"/>
      <protection hidden="1"/>
    </xf>
    <xf numFmtId="0" fontId="14" fillId="0" borderId="0" xfId="0" applyFont="1" applyAlignment="1" applyProtection="1">
      <alignment horizontal="center"/>
      <protection hidden="1"/>
    </xf>
    <xf numFmtId="10" fontId="36" fillId="0" borderId="0" xfId="11" applyNumberFormat="1" applyFont="1" applyFill="1" applyAlignment="1" applyProtection="1">
      <alignment horizontal="left" vertical="center" wrapText="1"/>
      <protection hidden="1"/>
    </xf>
    <xf numFmtId="0" fontId="20" fillId="17" borderId="6" xfId="0" applyFont="1" applyFill="1" applyBorder="1" applyAlignment="1" applyProtection="1">
      <alignment horizontal="center" vertical="center" wrapText="1"/>
      <protection hidden="1"/>
    </xf>
    <xf numFmtId="0" fontId="20" fillId="17" borderId="7" xfId="0" applyFont="1" applyFill="1" applyBorder="1" applyAlignment="1" applyProtection="1">
      <alignment horizontal="center" vertical="center" wrapText="1"/>
      <protection hidden="1"/>
    </xf>
    <xf numFmtId="0" fontId="20" fillId="17" borderId="8"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46" xfId="0" applyFont="1" applyFill="1" applyBorder="1" applyAlignment="1" applyProtection="1">
      <alignment horizontal="center" vertical="center" wrapText="1"/>
      <protection hidden="1"/>
    </xf>
    <xf numFmtId="0" fontId="20" fillId="17" borderId="5" xfId="0" applyFont="1" applyFill="1" applyBorder="1" applyAlignment="1" applyProtection="1">
      <alignment horizontal="center" vertical="center" wrapText="1"/>
      <protection hidden="1"/>
    </xf>
    <xf numFmtId="0" fontId="20" fillId="17" borderId="38" xfId="0" applyFont="1" applyFill="1" applyBorder="1" applyAlignment="1" applyProtection="1">
      <alignment horizontal="center" vertical="center" wrapText="1"/>
      <protection hidden="1"/>
    </xf>
    <xf numFmtId="0" fontId="20" fillId="17" borderId="6" xfId="0" applyFont="1" applyFill="1" applyBorder="1" applyAlignment="1" applyProtection="1">
      <alignment horizontal="center" vertical="center"/>
      <protection hidden="1"/>
    </xf>
    <xf numFmtId="0" fontId="20" fillId="17" borderId="3" xfId="0" applyFont="1" applyFill="1" applyBorder="1" applyAlignment="1" applyProtection="1">
      <alignment horizontal="center" vertical="center"/>
      <protection hidden="1"/>
    </xf>
    <xf numFmtId="0" fontId="20" fillId="17" borderId="4"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4" fillId="0" borderId="6"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8" xfId="0" applyFont="1" applyBorder="1" applyAlignment="1" applyProtection="1">
      <alignment horizontal="center"/>
      <protection hidden="1"/>
    </xf>
    <xf numFmtId="0" fontId="14" fillId="17" borderId="2" xfId="0" applyFont="1" applyFill="1" applyBorder="1" applyAlignment="1" applyProtection="1">
      <alignment horizontal="center" vertical="center"/>
      <protection hidden="1"/>
    </xf>
    <xf numFmtId="0" fontId="14" fillId="17" borderId="3"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14" fillId="17" borderId="46" xfId="0" applyFont="1" applyFill="1" applyBorder="1" applyAlignment="1" applyProtection="1">
      <alignment horizontal="center" vertical="center"/>
      <protection hidden="1"/>
    </xf>
    <xf numFmtId="0" fontId="14" fillId="17" borderId="5" xfId="0" applyFont="1" applyFill="1" applyBorder="1" applyAlignment="1" applyProtection="1">
      <alignment horizontal="center" vertical="center"/>
      <protection hidden="1"/>
    </xf>
    <xf numFmtId="0" fontId="14" fillId="17" borderId="38" xfId="0" applyFont="1" applyFill="1" applyBorder="1" applyAlignment="1" applyProtection="1">
      <alignment horizontal="center" vertical="center"/>
      <protection hidden="1"/>
    </xf>
    <xf numFmtId="0" fontId="4" fillId="29" borderId="2" xfId="0" applyFont="1" applyFill="1" applyBorder="1" applyAlignment="1" applyProtection="1">
      <alignment horizontal="center" vertical="center" textRotation="90" wrapText="1"/>
      <protection hidden="1"/>
    </xf>
    <xf numFmtId="0" fontId="4" fillId="29" borderId="69" xfId="0" applyFont="1" applyFill="1" applyBorder="1" applyAlignment="1" applyProtection="1">
      <alignment horizontal="center" vertical="center" textRotation="90" wrapText="1"/>
      <protection hidden="1"/>
    </xf>
    <xf numFmtId="0" fontId="4" fillId="29" borderId="10" xfId="0" applyFont="1" applyFill="1" applyBorder="1" applyAlignment="1" applyProtection="1">
      <alignment horizontal="center" vertical="center" textRotation="90" wrapText="1"/>
      <protection hidden="1"/>
    </xf>
    <xf numFmtId="0" fontId="59" fillId="0" borderId="6" xfId="0" applyFont="1" applyBorder="1" applyAlignment="1" applyProtection="1">
      <alignment horizontal="center" vertical="center"/>
      <protection hidden="1"/>
    </xf>
    <xf numFmtId="0" fontId="59" fillId="0" borderId="7" xfId="0" applyFont="1" applyBorder="1" applyAlignment="1" applyProtection="1">
      <alignment horizontal="center" vertical="center"/>
      <protection hidden="1"/>
    </xf>
    <xf numFmtId="0" fontId="59" fillId="0" borderId="8"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6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7" fillId="18" borderId="6" xfId="0" applyFont="1" applyFill="1" applyBorder="1" applyAlignment="1" applyProtection="1">
      <alignment horizontal="center" vertical="center"/>
      <protection hidden="1"/>
    </xf>
    <xf numFmtId="0" fontId="7" fillId="18" borderId="7" xfId="0" applyFont="1" applyFill="1" applyBorder="1" applyAlignment="1" applyProtection="1">
      <alignment horizontal="center" vertical="center"/>
      <protection hidden="1"/>
    </xf>
    <xf numFmtId="0" fontId="7" fillId="18" borderId="8" xfId="0" applyFont="1" applyFill="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7" fillId="17" borderId="6" xfId="0" applyFont="1" applyFill="1" applyBorder="1" applyAlignment="1" applyProtection="1">
      <alignment horizontal="center" vertical="center"/>
      <protection hidden="1"/>
    </xf>
    <xf numFmtId="0" fontId="7" fillId="17" borderId="7" xfId="0" applyFont="1" applyFill="1" applyBorder="1" applyAlignment="1" applyProtection="1">
      <alignment horizontal="center" vertical="center"/>
      <protection hidden="1"/>
    </xf>
    <xf numFmtId="0" fontId="7" fillId="17" borderId="8" xfId="0" applyFont="1" applyFill="1" applyBorder="1" applyAlignment="1" applyProtection="1">
      <alignment horizontal="center" vertical="center"/>
      <protection hidden="1"/>
    </xf>
    <xf numFmtId="0" fontId="4" fillId="0" borderId="31" xfId="0" applyFont="1" applyBorder="1" applyAlignment="1" applyProtection="1">
      <alignment horizontal="center"/>
      <protection hidden="1"/>
    </xf>
    <xf numFmtId="0" fontId="4" fillId="0" borderId="47" xfId="0" applyFont="1" applyBorder="1" applyAlignment="1" applyProtection="1">
      <alignment horizontal="center"/>
      <protection hidden="1"/>
    </xf>
    <xf numFmtId="0" fontId="7" fillId="26" borderId="41" xfId="0" applyFont="1" applyFill="1" applyBorder="1" applyAlignment="1" applyProtection="1">
      <alignment horizontal="center" vertical="center" wrapText="1"/>
      <protection hidden="1"/>
    </xf>
    <xf numFmtId="0" fontId="7" fillId="26" borderId="59" xfId="0" applyFont="1" applyFill="1" applyBorder="1" applyAlignment="1" applyProtection="1">
      <alignment horizontal="center" vertical="center" wrapText="1"/>
      <protection hidden="1"/>
    </xf>
    <xf numFmtId="0" fontId="15" fillId="31" borderId="2" xfId="0" applyFont="1" applyFill="1" applyBorder="1" applyAlignment="1">
      <alignment horizontal="center" vertical="center"/>
    </xf>
    <xf numFmtId="0" fontId="15" fillId="31" borderId="4" xfId="0" applyFont="1" applyFill="1" applyBorder="1" applyAlignment="1">
      <alignment horizontal="center" vertical="center"/>
    </xf>
    <xf numFmtId="0" fontId="15" fillId="31" borderId="10" xfId="0" applyFont="1" applyFill="1" applyBorder="1" applyAlignment="1">
      <alignment horizontal="center" vertical="center"/>
    </xf>
    <xf numFmtId="0" fontId="15" fillId="31" borderId="48" xfId="0" applyFont="1" applyFill="1" applyBorder="1" applyAlignment="1">
      <alignment horizontal="center" vertical="center"/>
    </xf>
    <xf numFmtId="0" fontId="15" fillId="31" borderId="46" xfId="0" applyFont="1" applyFill="1" applyBorder="1" applyAlignment="1">
      <alignment horizontal="center" vertical="center"/>
    </xf>
    <xf numFmtId="0" fontId="15" fillId="31" borderId="38" xfId="0" applyFont="1" applyFill="1" applyBorder="1" applyAlignment="1">
      <alignment horizontal="center" vertical="center"/>
    </xf>
    <xf numFmtId="0" fontId="35" fillId="31" borderId="71" xfId="0" applyFont="1" applyFill="1" applyBorder="1" applyAlignment="1">
      <alignment horizontal="center" vertical="center" wrapText="1"/>
    </xf>
    <xf numFmtId="0" fontId="35" fillId="31" borderId="50" xfId="0" applyFont="1" applyFill="1" applyBorder="1" applyAlignment="1">
      <alignment horizontal="center" vertical="center" wrapText="1"/>
    </xf>
    <xf numFmtId="0" fontId="35" fillId="31" borderId="44" xfId="0" applyFont="1" applyFill="1" applyBorder="1" applyAlignment="1">
      <alignment horizontal="center" vertical="center" wrapText="1"/>
    </xf>
    <xf numFmtId="0" fontId="35" fillId="31" borderId="66" xfId="0" applyFont="1" applyFill="1" applyBorder="1" applyAlignment="1">
      <alignment horizontal="center" vertical="center"/>
    </xf>
    <xf numFmtId="0" fontId="35" fillId="31" borderId="15" xfId="0" applyFont="1" applyFill="1" applyBorder="1" applyAlignment="1">
      <alignment horizontal="center" vertical="center"/>
    </xf>
    <xf numFmtId="0" fontId="35" fillId="31" borderId="52" xfId="0" applyFont="1" applyFill="1" applyBorder="1" applyAlignment="1">
      <alignment horizontal="center" vertical="center"/>
    </xf>
    <xf numFmtId="3" fontId="35" fillId="31" borderId="72" xfId="0" applyNumberFormat="1" applyFont="1" applyFill="1" applyBorder="1" applyAlignment="1">
      <alignment horizontal="center" vertical="center" wrapText="1"/>
    </xf>
    <xf numFmtId="3" fontId="35" fillId="31" borderId="64" xfId="0" applyNumberFormat="1" applyFont="1" applyFill="1" applyBorder="1" applyAlignment="1">
      <alignment horizontal="center" vertical="center" wrapText="1"/>
    </xf>
    <xf numFmtId="3" fontId="35" fillId="31" borderId="77" xfId="0" applyNumberFormat="1" applyFont="1" applyFill="1" applyBorder="1" applyAlignment="1">
      <alignment horizontal="center" vertical="center" wrapText="1"/>
    </xf>
    <xf numFmtId="0" fontId="7" fillId="29" borderId="67" xfId="0" applyFont="1" applyFill="1" applyBorder="1" applyAlignment="1" applyProtection="1">
      <alignment horizontal="center" vertical="center" textRotation="90" wrapText="1"/>
      <protection hidden="1"/>
    </xf>
    <xf numFmtId="0" fontId="7" fillId="29" borderId="65" xfId="0" applyFont="1" applyFill="1" applyBorder="1" applyAlignment="1" applyProtection="1">
      <alignment horizontal="center" vertical="center" textRotation="90" wrapText="1"/>
      <protection hidden="1"/>
    </xf>
    <xf numFmtId="0" fontId="7" fillId="29" borderId="68" xfId="0" applyFont="1" applyFill="1" applyBorder="1" applyAlignment="1" applyProtection="1">
      <alignment horizontal="center" vertical="center" textRotation="90" wrapText="1"/>
      <protection hidden="1"/>
    </xf>
    <xf numFmtId="169" fontId="75" fillId="6" borderId="15" xfId="0" quotePrefix="1" applyNumberFormat="1" applyFont="1" applyFill="1" applyBorder="1" applyAlignment="1" applyProtection="1">
      <alignment horizontal="center" vertical="center"/>
      <protection hidden="1"/>
    </xf>
    <xf numFmtId="169" fontId="75" fillId="6" borderId="15" xfId="0" applyNumberFormat="1" applyFont="1" applyFill="1" applyBorder="1" applyAlignment="1" applyProtection="1">
      <alignment horizontal="center" vertical="center"/>
      <protection hidden="1"/>
    </xf>
    <xf numFmtId="169" fontId="75" fillId="6" borderId="18" xfId="0" applyNumberFormat="1" applyFont="1" applyFill="1" applyBorder="1" applyAlignment="1" applyProtection="1">
      <alignment horizontal="center" vertical="center"/>
      <protection hidden="1"/>
    </xf>
    <xf numFmtId="14" fontId="75" fillId="6" borderId="64" xfId="0" quotePrefix="1" applyNumberFormat="1" applyFont="1" applyFill="1" applyBorder="1" applyAlignment="1" applyProtection="1">
      <alignment horizontal="center" vertical="center"/>
      <protection hidden="1"/>
    </xf>
    <xf numFmtId="14" fontId="75" fillId="6" borderId="64" xfId="0" applyNumberFormat="1" applyFont="1" applyFill="1" applyBorder="1" applyAlignment="1" applyProtection="1">
      <alignment horizontal="center" vertical="center"/>
      <protection hidden="1"/>
    </xf>
    <xf numFmtId="14" fontId="75" fillId="6" borderId="36" xfId="0" applyNumberFormat="1" applyFont="1" applyFill="1" applyBorder="1" applyAlignment="1" applyProtection="1">
      <alignment horizontal="center" vertical="center"/>
      <protection hidden="1"/>
    </xf>
    <xf numFmtId="0" fontId="4" fillId="26" borderId="70" xfId="0" applyFont="1" applyFill="1" applyBorder="1" applyAlignment="1" applyProtection="1">
      <alignment horizontal="center" vertical="center"/>
      <protection hidden="1"/>
    </xf>
    <xf numFmtId="0" fontId="4" fillId="26" borderId="69" xfId="0" applyFont="1" applyFill="1" applyBorder="1" applyAlignment="1" applyProtection="1">
      <alignment horizontal="center" vertical="center"/>
      <protection hidden="1"/>
    </xf>
    <xf numFmtId="0" fontId="7" fillId="26" borderId="2" xfId="0" applyFont="1" applyFill="1" applyBorder="1" applyAlignment="1" applyProtection="1">
      <alignment horizontal="center" vertical="center" wrapText="1"/>
      <protection hidden="1"/>
    </xf>
    <xf numFmtId="0" fontId="7" fillId="26" borderId="3" xfId="0" applyFont="1" applyFill="1" applyBorder="1" applyAlignment="1" applyProtection="1">
      <alignment horizontal="center" vertical="center" wrapText="1"/>
      <protection hidden="1"/>
    </xf>
    <xf numFmtId="0" fontId="7" fillId="26" borderId="4" xfId="0"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wrapText="1"/>
      <protection hidden="1"/>
    </xf>
    <xf numFmtId="0" fontId="7" fillId="26" borderId="0" xfId="0" applyFont="1" applyFill="1" applyAlignment="1" applyProtection="1">
      <alignment horizontal="center" vertical="center" wrapText="1"/>
      <protection hidden="1"/>
    </xf>
    <xf numFmtId="0" fontId="7" fillId="26" borderId="48" xfId="0" applyFont="1" applyFill="1" applyBorder="1" applyAlignment="1" applyProtection="1">
      <alignment horizontal="center" vertical="center" wrapText="1"/>
      <protection hidden="1"/>
    </xf>
    <xf numFmtId="0" fontId="7" fillId="26" borderId="47" xfId="0" applyFont="1" applyFill="1" applyBorder="1" applyAlignment="1" applyProtection="1">
      <alignment horizontal="center" vertical="center" wrapText="1"/>
      <protection hidden="1"/>
    </xf>
    <xf numFmtId="0" fontId="7" fillId="26" borderId="26" xfId="0" applyFont="1" applyFill="1" applyBorder="1" applyAlignment="1" applyProtection="1">
      <alignment horizontal="center" vertical="center" wrapText="1"/>
      <protection hidden="1"/>
    </xf>
    <xf numFmtId="0" fontId="4" fillId="29" borderId="67" xfId="0" applyFont="1" applyFill="1" applyBorder="1" applyAlignment="1" applyProtection="1">
      <alignment horizontal="center" vertical="center"/>
      <protection hidden="1"/>
    </xf>
    <xf numFmtId="0" fontId="4" fillId="29" borderId="65" xfId="0" applyFont="1" applyFill="1" applyBorder="1" applyAlignment="1" applyProtection="1">
      <alignment horizontal="center" vertical="center"/>
      <protection hidden="1"/>
    </xf>
    <xf numFmtId="0" fontId="4" fillId="29" borderId="68" xfId="0" applyFont="1" applyFill="1" applyBorder="1" applyAlignment="1" applyProtection="1">
      <alignment horizontal="center" vertical="center"/>
      <protection hidden="1"/>
    </xf>
    <xf numFmtId="0" fontId="75" fillId="6" borderId="26" xfId="0" applyFont="1" applyFill="1" applyBorder="1" applyAlignment="1" applyProtection="1">
      <alignment horizontal="center" vertical="center"/>
      <protection hidden="1"/>
    </xf>
    <xf numFmtId="0" fontId="75" fillId="6" borderId="16" xfId="0" applyFont="1" applyFill="1" applyBorder="1" applyAlignment="1" applyProtection="1">
      <alignment horizontal="center" vertical="center"/>
      <protection hidden="1"/>
    </xf>
    <xf numFmtId="0" fontId="75" fillId="6" borderId="17" xfId="0" applyFont="1" applyFill="1" applyBorder="1" applyAlignment="1" applyProtection="1">
      <alignment horizontal="center" vertical="center"/>
      <protection hidden="1"/>
    </xf>
    <xf numFmtId="0" fontId="4" fillId="30" borderId="36" xfId="0" applyFont="1" applyFill="1" applyBorder="1" applyAlignment="1" applyProtection="1">
      <alignment horizontal="center" vertical="center" wrapText="1"/>
      <protection hidden="1"/>
    </xf>
    <xf numFmtId="0" fontId="4" fillId="30" borderId="34" xfId="0" applyFont="1" applyFill="1" applyBorder="1" applyAlignment="1" applyProtection="1">
      <alignment horizontal="center" vertical="center" wrapText="1"/>
      <protection hidden="1"/>
    </xf>
    <xf numFmtId="0" fontId="4" fillId="30" borderId="37" xfId="0" applyFont="1" applyFill="1" applyBorder="1" applyAlignment="1" applyProtection="1">
      <alignment horizontal="center" vertical="center" wrapText="1"/>
      <protection hidden="1"/>
    </xf>
    <xf numFmtId="14" fontId="75" fillId="6" borderId="59" xfId="0" quotePrefix="1" applyNumberFormat="1" applyFont="1" applyFill="1" applyBorder="1" applyAlignment="1" applyProtection="1">
      <alignment horizontal="center" vertical="center"/>
      <protection hidden="1"/>
    </xf>
    <xf numFmtId="0" fontId="15" fillId="29" borderId="67" xfId="0" applyFont="1" applyFill="1" applyBorder="1" applyAlignment="1" applyProtection="1">
      <alignment horizontal="center" vertical="center" textRotation="90" wrapText="1"/>
      <protection hidden="1"/>
    </xf>
    <xf numFmtId="0" fontId="15" fillId="29" borderId="65" xfId="0" applyFont="1" applyFill="1" applyBorder="1" applyAlignment="1" applyProtection="1">
      <alignment horizontal="center" vertical="center" textRotation="90" wrapText="1"/>
      <protection hidden="1"/>
    </xf>
    <xf numFmtId="0" fontId="15" fillId="29" borderId="68" xfId="0" applyFont="1" applyFill="1" applyBorder="1" applyAlignment="1" applyProtection="1">
      <alignment horizontal="center" vertical="center" textRotation="90" wrapText="1"/>
      <protection hidden="1"/>
    </xf>
    <xf numFmtId="0" fontId="35" fillId="29" borderId="67" xfId="0" applyFont="1" applyFill="1" applyBorder="1" applyAlignment="1" applyProtection="1">
      <alignment horizontal="center" vertical="center"/>
      <protection hidden="1"/>
    </xf>
    <xf numFmtId="0" fontId="35" fillId="29" borderId="65" xfId="0" applyFont="1" applyFill="1" applyBorder="1" applyAlignment="1" applyProtection="1">
      <alignment horizontal="center" vertical="center"/>
      <protection hidden="1"/>
    </xf>
    <xf numFmtId="0" fontId="35" fillId="29" borderId="68" xfId="0" applyFont="1" applyFill="1" applyBorder="1" applyAlignment="1" applyProtection="1">
      <alignment horizontal="center" vertical="center"/>
      <protection hidden="1"/>
    </xf>
    <xf numFmtId="14" fontId="35" fillId="6" borderId="40" xfId="0" applyNumberFormat="1" applyFont="1" applyFill="1" applyBorder="1" applyAlignment="1" applyProtection="1">
      <alignment horizontal="center" vertical="center" wrapText="1"/>
      <protection hidden="1"/>
    </xf>
    <xf numFmtId="14" fontId="35" fillId="6" borderId="9" xfId="0" applyNumberFormat="1" applyFont="1" applyFill="1" applyBorder="1" applyAlignment="1" applyProtection="1">
      <alignment horizontal="center" vertical="center" wrapText="1"/>
      <protection hidden="1"/>
    </xf>
    <xf numFmtId="14" fontId="35" fillId="6" borderId="43" xfId="0" applyNumberFormat="1" applyFont="1" applyFill="1" applyBorder="1" applyAlignment="1" applyProtection="1">
      <alignment horizontal="center" vertical="center" wrapText="1"/>
      <protection hidden="1"/>
    </xf>
    <xf numFmtId="0" fontId="75" fillId="6" borderId="59" xfId="0" quotePrefix="1" applyFont="1" applyFill="1" applyBorder="1" applyAlignment="1" applyProtection="1">
      <alignment horizontal="center" vertical="center"/>
      <protection hidden="1"/>
    </xf>
    <xf numFmtId="0" fontId="75" fillId="6" borderId="64" xfId="0" applyFont="1" applyFill="1" applyBorder="1" applyAlignment="1" applyProtection="1">
      <alignment horizontal="center" vertical="center"/>
      <protection hidden="1"/>
    </xf>
    <xf numFmtId="0" fontId="75" fillId="6" borderId="77" xfId="0" applyFont="1" applyFill="1" applyBorder="1" applyAlignment="1" applyProtection="1">
      <alignment horizontal="center" vertical="center"/>
      <protection hidden="1"/>
    </xf>
    <xf numFmtId="0" fontId="15" fillId="29" borderId="70" xfId="0" applyFont="1" applyFill="1" applyBorder="1" applyAlignment="1" applyProtection="1">
      <alignment horizontal="center" vertical="center" textRotation="90" wrapText="1"/>
      <protection hidden="1"/>
    </xf>
    <xf numFmtId="0" fontId="15" fillId="29" borderId="69" xfId="0" applyFont="1" applyFill="1" applyBorder="1" applyAlignment="1" applyProtection="1">
      <alignment horizontal="center" vertical="center" textRotation="90" wrapText="1"/>
      <protection hidden="1"/>
    </xf>
    <xf numFmtId="0" fontId="15" fillId="29" borderId="49" xfId="0" applyFont="1" applyFill="1" applyBorder="1" applyAlignment="1" applyProtection="1">
      <alignment horizontal="center" vertical="center" textRotation="90" wrapText="1"/>
      <protection hidden="1"/>
    </xf>
    <xf numFmtId="0" fontId="35" fillId="29" borderId="70" xfId="0" applyFont="1" applyFill="1" applyBorder="1" applyAlignment="1" applyProtection="1">
      <alignment horizontal="center" vertical="center"/>
      <protection hidden="1"/>
    </xf>
    <xf numFmtId="0" fontId="35" fillId="29" borderId="69" xfId="0" applyFont="1" applyFill="1" applyBorder="1" applyAlignment="1" applyProtection="1">
      <alignment horizontal="center" vertical="center"/>
      <protection hidden="1"/>
    </xf>
    <xf numFmtId="0" fontId="35" fillId="29" borderId="49" xfId="0" applyFont="1" applyFill="1" applyBorder="1" applyAlignment="1" applyProtection="1">
      <alignment horizontal="center" vertical="center"/>
      <protection hidden="1"/>
    </xf>
    <xf numFmtId="14" fontId="35" fillId="6" borderId="66" xfId="0" applyNumberFormat="1" applyFont="1" applyFill="1" applyBorder="1" applyAlignment="1" applyProtection="1">
      <alignment horizontal="center" vertical="center" wrapText="1"/>
      <protection hidden="1"/>
    </xf>
    <xf numFmtId="14" fontId="35" fillId="6" borderId="15" xfId="0" applyNumberFormat="1" applyFont="1" applyFill="1" applyBorder="1" applyAlignment="1" applyProtection="1">
      <alignment horizontal="center" vertical="center" wrapText="1"/>
      <protection hidden="1"/>
    </xf>
    <xf numFmtId="14" fontId="35" fillId="6" borderId="52" xfId="0" applyNumberFormat="1" applyFont="1" applyFill="1" applyBorder="1" applyAlignment="1" applyProtection="1">
      <alignment horizontal="center" vertical="center" wrapText="1"/>
      <protection hidden="1"/>
    </xf>
    <xf numFmtId="14" fontId="75" fillId="6" borderId="66" xfId="0" applyNumberFormat="1" applyFont="1" applyFill="1" applyBorder="1" applyAlignment="1" applyProtection="1">
      <alignment horizontal="center" vertical="center"/>
      <protection hidden="1"/>
    </xf>
    <xf numFmtId="14" fontId="75" fillId="6" borderId="15" xfId="0" applyNumberFormat="1" applyFont="1" applyFill="1" applyBorder="1" applyAlignment="1" applyProtection="1">
      <alignment horizontal="center" vertical="center"/>
      <protection hidden="1"/>
    </xf>
    <xf numFmtId="14" fontId="75" fillId="6" borderId="52" xfId="0" applyNumberFormat="1" applyFont="1" applyFill="1" applyBorder="1" applyAlignment="1" applyProtection="1">
      <alignment horizontal="center" vertical="center"/>
      <protection hidden="1"/>
    </xf>
    <xf numFmtId="169" fontId="4" fillId="30" borderId="40" xfId="0" applyNumberFormat="1" applyFont="1" applyFill="1" applyBorder="1" applyAlignment="1" applyProtection="1">
      <alignment horizontal="center" vertical="center" wrapText="1"/>
      <protection hidden="1"/>
    </xf>
    <xf numFmtId="169" fontId="4" fillId="30" borderId="9" xfId="0" applyNumberFormat="1" applyFont="1" applyFill="1" applyBorder="1" applyAlignment="1" applyProtection="1">
      <alignment horizontal="center" vertical="center" wrapText="1"/>
      <protection hidden="1"/>
    </xf>
    <xf numFmtId="169" fontId="4" fillId="30" borderId="12" xfId="0" applyNumberFormat="1" applyFont="1" applyFill="1" applyBorder="1" applyAlignment="1" applyProtection="1">
      <alignment horizontal="center" vertical="center" wrapText="1"/>
      <protection hidden="1"/>
    </xf>
    <xf numFmtId="169" fontId="4" fillId="30" borderId="18" xfId="0" applyNumberFormat="1" applyFont="1" applyFill="1" applyBorder="1" applyAlignment="1" applyProtection="1">
      <alignment horizontal="center" vertical="center" wrapText="1"/>
      <protection hidden="1"/>
    </xf>
    <xf numFmtId="169" fontId="4" fillId="30" borderId="43" xfId="0" applyNumberFormat="1" applyFont="1" applyFill="1" applyBorder="1" applyAlignment="1" applyProtection="1">
      <alignment horizontal="center" vertical="center" wrapText="1"/>
      <protection hidden="1"/>
    </xf>
    <xf numFmtId="3" fontId="4" fillId="29" borderId="71" xfId="0" applyNumberFormat="1" applyFont="1" applyFill="1" applyBorder="1" applyAlignment="1" applyProtection="1">
      <alignment horizontal="center" vertical="center" wrapText="1"/>
      <protection hidden="1"/>
    </xf>
    <xf numFmtId="3" fontId="4" fillId="29" borderId="50" xfId="0" applyNumberFormat="1" applyFont="1" applyFill="1" applyBorder="1" applyAlignment="1" applyProtection="1">
      <alignment horizontal="center" vertical="center" wrapText="1"/>
      <protection hidden="1"/>
    </xf>
    <xf numFmtId="3" fontId="4" fillId="29" borderId="44" xfId="0" applyNumberFormat="1"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protection hidden="1"/>
    </xf>
    <xf numFmtId="0" fontId="20" fillId="17" borderId="46" xfId="0" applyFont="1" applyFill="1" applyBorder="1" applyAlignment="1" applyProtection="1">
      <alignment horizontal="center" vertical="center"/>
      <protection hidden="1"/>
    </xf>
    <xf numFmtId="0" fontId="20" fillId="17" borderId="5" xfId="0" applyFont="1" applyFill="1" applyBorder="1" applyAlignment="1" applyProtection="1">
      <alignment horizontal="center" vertical="center"/>
      <protection hidden="1"/>
    </xf>
    <xf numFmtId="0" fontId="20" fillId="17" borderId="38" xfId="0" applyFont="1" applyFill="1" applyBorder="1" applyAlignment="1" applyProtection="1">
      <alignment horizontal="center" vertical="center"/>
      <protection hidden="1"/>
    </xf>
    <xf numFmtId="0" fontId="15" fillId="26" borderId="39" xfId="0" applyFont="1" applyFill="1" applyBorder="1" applyAlignment="1">
      <alignment horizontal="center" vertical="center" wrapText="1"/>
    </xf>
    <xf numFmtId="0" fontId="15" fillId="26" borderId="42" xfId="0" applyFont="1" applyFill="1" applyBorder="1" applyAlignment="1">
      <alignment horizontal="center" vertical="center" wrapText="1"/>
    </xf>
    <xf numFmtId="0" fontId="15" fillId="26" borderId="40" xfId="0" applyFont="1" applyFill="1" applyBorder="1" applyAlignment="1">
      <alignment horizontal="center" vertical="center" wrapText="1"/>
    </xf>
    <xf numFmtId="0" fontId="15" fillId="26" borderId="43" xfId="0" applyFont="1" applyFill="1" applyBorder="1" applyAlignment="1">
      <alignment horizontal="center" vertical="center" wrapText="1"/>
    </xf>
    <xf numFmtId="0" fontId="76" fillId="26" borderId="40" xfId="0" applyFont="1" applyFill="1" applyBorder="1" applyAlignment="1">
      <alignment horizontal="center" vertical="center" wrapText="1"/>
    </xf>
    <xf numFmtId="0" fontId="76" fillId="26" borderId="43" xfId="0" applyFont="1" applyFill="1" applyBorder="1" applyAlignment="1">
      <alignment horizontal="center" vertical="center" wrapText="1"/>
    </xf>
    <xf numFmtId="0" fontId="15" fillId="29" borderId="2" xfId="0" applyFont="1" applyFill="1" applyBorder="1" applyAlignment="1" applyProtection="1">
      <alignment horizontal="center" vertical="center" textRotation="90" wrapText="1"/>
      <protection hidden="1"/>
    </xf>
    <xf numFmtId="0" fontId="15" fillId="29" borderId="10" xfId="0" applyFont="1" applyFill="1" applyBorder="1" applyAlignment="1" applyProtection="1">
      <alignment horizontal="center" vertical="center" textRotation="90" wrapText="1"/>
      <protection hidden="1"/>
    </xf>
    <xf numFmtId="0" fontId="15" fillId="29" borderId="46" xfId="0" applyFont="1" applyFill="1" applyBorder="1" applyAlignment="1" applyProtection="1">
      <alignment horizontal="center" vertical="center" textRotation="90" wrapText="1"/>
      <protection hidden="1"/>
    </xf>
    <xf numFmtId="0" fontId="15" fillId="26" borderId="70" xfId="0" applyFont="1" applyFill="1" applyBorder="1" applyAlignment="1">
      <alignment horizontal="center" vertical="center"/>
    </xf>
    <xf numFmtId="0" fontId="15" fillId="26" borderId="49" xfId="0" applyFont="1" applyFill="1" applyBorder="1" applyAlignment="1">
      <alignment horizontal="center" vertical="center"/>
    </xf>
    <xf numFmtId="0" fontId="15" fillId="26" borderId="2" xfId="0" applyFont="1" applyFill="1" applyBorder="1" applyAlignment="1">
      <alignment horizontal="center" vertical="center" wrapText="1"/>
    </xf>
    <xf numFmtId="0" fontId="15" fillId="26" borderId="3"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4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38" xfId="0" applyFont="1" applyFill="1" applyBorder="1" applyAlignment="1">
      <alignment horizontal="center" vertical="center" wrapText="1"/>
    </xf>
    <xf numFmtId="169" fontId="35" fillId="14" borderId="18" xfId="0" quotePrefix="1" applyNumberFormat="1" applyFont="1" applyFill="1" applyBorder="1" applyAlignment="1">
      <alignment horizontal="center" vertical="center" wrapText="1"/>
    </xf>
    <xf numFmtId="0" fontId="35" fillId="14" borderId="9" xfId="0" applyFont="1" applyFill="1" applyBorder="1" applyAlignment="1">
      <alignment horizontal="center" vertical="center" wrapText="1"/>
    </xf>
    <xf numFmtId="0" fontId="75" fillId="6" borderId="63" xfId="0" applyFont="1" applyFill="1" applyBorder="1" applyAlignment="1" applyProtection="1">
      <alignment horizontal="center" vertical="center"/>
      <protection hidden="1"/>
    </xf>
    <xf numFmtId="0" fontId="51" fillId="17" borderId="6" xfId="0" applyFont="1" applyFill="1" applyBorder="1" applyAlignment="1" applyProtection="1">
      <alignment horizontal="center" vertical="center"/>
      <protection hidden="1"/>
    </xf>
    <xf numFmtId="0" fontId="51" fillId="17" borderId="7" xfId="0" applyFont="1" applyFill="1" applyBorder="1" applyAlignment="1" applyProtection="1">
      <alignment horizontal="center" vertical="center"/>
      <protection hidden="1"/>
    </xf>
    <xf numFmtId="0" fontId="51" fillId="17" borderId="8" xfId="0" applyFont="1" applyFill="1" applyBorder="1" applyAlignment="1" applyProtection="1">
      <alignment horizontal="center" vertical="center"/>
      <protection hidden="1"/>
    </xf>
    <xf numFmtId="0" fontId="51" fillId="17" borderId="3" xfId="0" applyFont="1" applyFill="1" applyBorder="1" applyAlignment="1" applyProtection="1">
      <alignment horizontal="center" vertical="center"/>
      <protection hidden="1"/>
    </xf>
    <xf numFmtId="0" fontId="51" fillId="17" borderId="4" xfId="0" applyFont="1" applyFill="1" applyBorder="1" applyAlignment="1" applyProtection="1">
      <alignment horizontal="center" vertical="center"/>
      <protection hidden="1"/>
    </xf>
    <xf numFmtId="0" fontId="35" fillId="29" borderId="40" xfId="0" applyFont="1" applyFill="1" applyBorder="1" applyAlignment="1" applyProtection="1">
      <alignment horizontal="center" vertical="center"/>
      <protection hidden="1"/>
    </xf>
    <xf numFmtId="0" fontId="35" fillId="29" borderId="9" xfId="0" applyFont="1" applyFill="1" applyBorder="1" applyAlignment="1" applyProtection="1">
      <alignment horizontal="center" vertical="center"/>
      <protection hidden="1"/>
    </xf>
    <xf numFmtId="0" fontId="35" fillId="29" borderId="43" xfId="0" applyFont="1" applyFill="1" applyBorder="1" applyAlignment="1" applyProtection="1">
      <alignment horizontal="center" vertical="center"/>
      <protection hidden="1"/>
    </xf>
    <xf numFmtId="169" fontId="75" fillId="6" borderId="9" xfId="0" quotePrefix="1" applyNumberFormat="1" applyFont="1" applyFill="1" applyBorder="1" applyAlignment="1" applyProtection="1">
      <alignment horizontal="center" vertical="center" wrapText="1"/>
      <protection hidden="1"/>
    </xf>
    <xf numFmtId="0" fontId="75" fillId="6" borderId="9" xfId="0" applyFont="1" applyFill="1" applyBorder="1" applyAlignment="1" applyProtection="1">
      <alignment horizontal="center" vertical="center" wrapText="1"/>
      <protection hidden="1"/>
    </xf>
    <xf numFmtId="0" fontId="15" fillId="31" borderId="2" xfId="0" applyFont="1" applyFill="1" applyBorder="1" applyAlignment="1">
      <alignment horizontal="center" vertical="center" wrapText="1"/>
    </xf>
    <xf numFmtId="0" fontId="15" fillId="31" borderId="4" xfId="0" applyFont="1" applyFill="1" applyBorder="1" applyAlignment="1">
      <alignment horizontal="center" vertical="center" wrapText="1"/>
    </xf>
    <xf numFmtId="0" fontId="15" fillId="31" borderId="10" xfId="0" applyFont="1" applyFill="1" applyBorder="1" applyAlignment="1">
      <alignment horizontal="center" vertical="center" wrapText="1"/>
    </xf>
    <xf numFmtId="0" fontId="15" fillId="31" borderId="48" xfId="0" applyFont="1" applyFill="1" applyBorder="1" applyAlignment="1">
      <alignment horizontal="center" vertical="center" wrapText="1"/>
    </xf>
    <xf numFmtId="0" fontId="15" fillId="31" borderId="46" xfId="0" applyFont="1" applyFill="1" applyBorder="1" applyAlignment="1">
      <alignment horizontal="center" vertical="center" wrapText="1"/>
    </xf>
    <xf numFmtId="0" fontId="15" fillId="31" borderId="38" xfId="0" applyFont="1" applyFill="1" applyBorder="1" applyAlignment="1">
      <alignment horizontal="center" vertical="center" wrapText="1"/>
    </xf>
    <xf numFmtId="14" fontId="75" fillId="6" borderId="34" xfId="0" quotePrefix="1" applyNumberFormat="1" applyFont="1" applyFill="1" applyBorder="1" applyAlignment="1" applyProtection="1">
      <alignment horizontal="center" vertical="center" wrapText="1"/>
      <protection hidden="1"/>
    </xf>
    <xf numFmtId="0" fontId="75" fillId="6" borderId="34" xfId="0" applyFont="1" applyFill="1" applyBorder="1" applyAlignment="1" applyProtection="1">
      <alignment horizontal="center" vertical="center" wrapText="1"/>
      <protection hidden="1"/>
    </xf>
    <xf numFmtId="0" fontId="75" fillId="6" borderId="37" xfId="0" applyFont="1" applyFill="1" applyBorder="1" applyAlignment="1" applyProtection="1">
      <alignment horizontal="center" vertical="center" wrapText="1"/>
      <protection hidden="1"/>
    </xf>
    <xf numFmtId="169" fontId="35" fillId="14" borderId="34" xfId="0" quotePrefix="1" applyNumberFormat="1" applyFont="1" applyFill="1" applyBorder="1" applyAlignment="1">
      <alignment horizontal="center" vertical="center" wrapText="1"/>
    </xf>
    <xf numFmtId="0" fontId="35" fillId="14" borderId="34" xfId="0" applyFont="1" applyFill="1" applyBorder="1" applyAlignment="1">
      <alignment horizontal="center" vertical="center" wrapText="1"/>
    </xf>
    <xf numFmtId="0" fontId="35" fillId="14" borderId="37" xfId="0" applyFont="1" applyFill="1" applyBorder="1" applyAlignment="1">
      <alignment horizontal="center" vertical="center" wrapText="1"/>
    </xf>
    <xf numFmtId="0" fontId="35" fillId="14" borderId="14" xfId="0" applyFont="1" applyFill="1" applyBorder="1" applyAlignment="1">
      <alignment horizontal="center" vertical="center" wrapText="1"/>
    </xf>
    <xf numFmtId="0" fontId="35" fillId="14" borderId="56" xfId="0" applyFont="1" applyFill="1" applyBorder="1" applyAlignment="1">
      <alignment horizontal="center" vertical="center" wrapText="1"/>
    </xf>
    <xf numFmtId="0" fontId="75" fillId="6" borderId="34" xfId="0" quotePrefix="1" applyFont="1" applyFill="1" applyBorder="1" applyAlignment="1" applyProtection="1">
      <alignment horizontal="center" vertical="center" wrapText="1"/>
      <protection hidden="1"/>
    </xf>
    <xf numFmtId="0" fontId="15" fillId="33" borderId="2" xfId="0" applyFont="1" applyFill="1" applyBorder="1" applyAlignment="1">
      <alignment horizontal="center" vertical="center"/>
    </xf>
    <xf numFmtId="0" fontId="15" fillId="33" borderId="4" xfId="0" applyFont="1" applyFill="1" applyBorder="1" applyAlignment="1">
      <alignment horizontal="center" vertical="center"/>
    </xf>
    <xf numFmtId="0" fontId="15" fillId="33" borderId="10" xfId="0" applyFont="1" applyFill="1" applyBorder="1" applyAlignment="1">
      <alignment horizontal="center" vertical="center"/>
    </xf>
    <xf numFmtId="0" fontId="15" fillId="33" borderId="48" xfId="0" applyFont="1" applyFill="1" applyBorder="1" applyAlignment="1">
      <alignment horizontal="center" vertical="center"/>
    </xf>
    <xf numFmtId="0" fontId="15" fillId="33" borderId="46" xfId="0" applyFont="1" applyFill="1" applyBorder="1" applyAlignment="1">
      <alignment horizontal="center" vertical="center"/>
    </xf>
    <xf numFmtId="0" fontId="15" fillId="33" borderId="38" xfId="0" applyFont="1" applyFill="1" applyBorder="1" applyAlignment="1">
      <alignment horizontal="center" vertical="center"/>
    </xf>
    <xf numFmtId="169" fontId="35" fillId="14" borderId="41" xfId="0" quotePrefix="1" applyNumberFormat="1" applyFont="1" applyFill="1" applyBorder="1" applyAlignment="1">
      <alignment horizontal="center" vertical="center" wrapText="1"/>
    </xf>
    <xf numFmtId="3" fontId="35" fillId="31" borderId="24" xfId="0" applyNumberFormat="1" applyFont="1" applyFill="1" applyBorder="1" applyAlignment="1">
      <alignment horizontal="center" vertical="center" wrapText="1"/>
    </xf>
    <xf numFmtId="3" fontId="35" fillId="31" borderId="45" xfId="0" applyNumberFormat="1" applyFont="1" applyFill="1" applyBorder="1" applyAlignment="1">
      <alignment horizontal="center" vertical="center" wrapText="1"/>
    </xf>
    <xf numFmtId="2" fontId="75" fillId="6" borderId="39" xfId="0" applyNumberFormat="1" applyFont="1" applyFill="1" applyBorder="1" applyAlignment="1" applyProtection="1">
      <alignment horizontal="center" vertical="center" wrapText="1"/>
      <protection hidden="1"/>
    </xf>
    <xf numFmtId="2" fontId="75" fillId="6" borderId="32" xfId="0" applyNumberFormat="1" applyFont="1" applyFill="1" applyBorder="1" applyAlignment="1" applyProtection="1">
      <alignment horizontal="center" vertical="center" wrapText="1"/>
      <protection hidden="1"/>
    </xf>
    <xf numFmtId="2" fontId="75" fillId="6" borderId="14" xfId="0" applyNumberFormat="1" applyFont="1" applyFill="1" applyBorder="1" applyAlignment="1" applyProtection="1">
      <alignment horizontal="center" vertical="center" wrapText="1"/>
      <protection hidden="1"/>
    </xf>
    <xf numFmtId="2" fontId="75" fillId="6" borderId="56" xfId="0" applyNumberFormat="1" applyFont="1" applyFill="1" applyBorder="1" applyAlignment="1" applyProtection="1">
      <alignment horizontal="center" vertical="center" wrapText="1"/>
      <protection hidden="1"/>
    </xf>
    <xf numFmtId="4" fontId="75" fillId="6" borderId="32" xfId="0" applyNumberFormat="1" applyFont="1" applyFill="1" applyBorder="1" applyAlignment="1" applyProtection="1">
      <alignment horizontal="center" vertical="center" wrapText="1"/>
      <protection hidden="1"/>
    </xf>
    <xf numFmtId="4" fontId="75" fillId="6" borderId="42" xfId="0" applyNumberFormat="1" applyFont="1" applyFill="1" applyBorder="1" applyAlignment="1" applyProtection="1">
      <alignment horizontal="center" vertical="center" wrapText="1"/>
      <protection hidden="1"/>
    </xf>
    <xf numFmtId="0" fontId="75" fillId="6" borderId="43" xfId="0" applyFont="1" applyFill="1" applyBorder="1" applyAlignment="1" applyProtection="1">
      <alignment horizontal="center" vertical="center" wrapText="1"/>
      <protection hidden="1"/>
    </xf>
    <xf numFmtId="0" fontId="35" fillId="0" borderId="50" xfId="0" applyFont="1" applyBorder="1" applyAlignment="1">
      <alignment horizontal="center" vertical="center" wrapText="1"/>
    </xf>
    <xf numFmtId="0" fontId="35" fillId="0" borderId="44" xfId="0" applyFont="1" applyBorder="1" applyAlignment="1">
      <alignment horizontal="center" vertical="center" wrapText="1"/>
    </xf>
    <xf numFmtId="0" fontId="75" fillId="6" borderId="39" xfId="0" applyFont="1" applyFill="1" applyBorder="1" applyAlignment="1" applyProtection="1">
      <alignment horizontal="center" vertical="center" wrapText="1"/>
      <protection hidden="1"/>
    </xf>
    <xf numFmtId="0" fontId="75" fillId="6" borderId="32" xfId="0" applyFont="1" applyFill="1" applyBorder="1" applyAlignment="1" applyProtection="1">
      <alignment horizontal="center" vertical="center" wrapText="1"/>
      <protection hidden="1"/>
    </xf>
    <xf numFmtId="49" fontId="35" fillId="31" borderId="72" xfId="0" applyNumberFormat="1" applyFont="1" applyFill="1" applyBorder="1" applyAlignment="1">
      <alignment horizontal="center" vertical="center" wrapText="1"/>
    </xf>
    <xf numFmtId="49" fontId="35" fillId="31" borderId="64" xfId="0" applyNumberFormat="1" applyFont="1" applyFill="1" applyBorder="1" applyAlignment="1">
      <alignment horizontal="center" vertical="center" wrapText="1"/>
    </xf>
    <xf numFmtId="49" fontId="35" fillId="31" borderId="77" xfId="0" applyNumberFormat="1" applyFont="1" applyFill="1" applyBorder="1" applyAlignment="1">
      <alignment horizontal="center" vertical="center" wrapText="1"/>
    </xf>
    <xf numFmtId="0" fontId="35" fillId="14" borderId="47"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wrapText="1"/>
      <protection hidden="1"/>
    </xf>
    <xf numFmtId="0" fontId="4" fillId="29" borderId="49" xfId="0" applyFont="1" applyFill="1" applyBorder="1" applyAlignment="1" applyProtection="1">
      <alignment horizontal="center" vertical="center" textRotation="90" wrapText="1"/>
      <protection hidden="1"/>
    </xf>
    <xf numFmtId="169" fontId="75" fillId="6" borderId="34" xfId="0" quotePrefix="1" applyNumberFormat="1" applyFont="1" applyFill="1" applyBorder="1" applyAlignment="1" applyProtection="1">
      <alignment horizontal="center" vertical="center" wrapText="1"/>
      <protection hidden="1"/>
    </xf>
    <xf numFmtId="169" fontId="75" fillId="6" borderId="40" xfId="0" quotePrefix="1" applyNumberFormat="1" applyFont="1" applyFill="1" applyBorder="1" applyAlignment="1" applyProtection="1">
      <alignment horizontal="center" vertical="center" wrapText="1"/>
      <protection hidden="1"/>
    </xf>
    <xf numFmtId="0" fontId="4" fillId="30" borderId="41" xfId="0" applyFont="1" applyFill="1" applyBorder="1" applyAlignment="1" applyProtection="1">
      <alignment horizontal="center" vertical="center" wrapText="1"/>
      <protection hidden="1"/>
    </xf>
    <xf numFmtId="0" fontId="75" fillId="6" borderId="41" xfId="0" quotePrefix="1"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35" fillId="31" borderId="66" xfId="0" applyFont="1" applyFill="1" applyBorder="1" applyAlignment="1">
      <alignment horizontal="center" vertical="center" wrapText="1"/>
    </xf>
    <xf numFmtId="0" fontId="35" fillId="31" borderId="15" xfId="0" applyFont="1" applyFill="1" applyBorder="1" applyAlignment="1">
      <alignment horizontal="center" vertical="center" wrapText="1"/>
    </xf>
    <xf numFmtId="0" fontId="35" fillId="31" borderId="52" xfId="0" applyFont="1" applyFill="1" applyBorder="1" applyAlignment="1">
      <alignment horizontal="center" vertical="center" wrapText="1"/>
    </xf>
    <xf numFmtId="0" fontId="7" fillId="29" borderId="70" xfId="0" applyFont="1" applyFill="1" applyBorder="1" applyAlignment="1" applyProtection="1">
      <alignment horizontal="center" vertical="center" textRotation="90"/>
      <protection hidden="1"/>
    </xf>
    <xf numFmtId="0" fontId="7" fillId="29" borderId="69" xfId="0" applyFont="1" applyFill="1" applyBorder="1" applyAlignment="1" applyProtection="1">
      <alignment horizontal="center" vertical="center" textRotation="90"/>
      <protection hidden="1"/>
    </xf>
    <xf numFmtId="0" fontId="7" fillId="29" borderId="10" xfId="0" applyFont="1" applyFill="1" applyBorder="1" applyAlignment="1" applyProtection="1">
      <alignment horizontal="center" vertical="center" textRotation="90"/>
      <protection hidden="1"/>
    </xf>
    <xf numFmtId="0" fontId="7" fillId="29" borderId="46" xfId="0" applyFont="1" applyFill="1" applyBorder="1" applyAlignment="1" applyProtection="1">
      <alignment horizontal="center" vertical="center" textRotation="90"/>
      <protection hidden="1"/>
    </xf>
    <xf numFmtId="0" fontId="20" fillId="18" borderId="6" xfId="0" applyFont="1" applyFill="1" applyBorder="1" applyAlignment="1" applyProtection="1">
      <alignment horizontal="center" vertical="center" wrapText="1"/>
      <protection hidden="1"/>
    </xf>
    <xf numFmtId="0" fontId="20" fillId="18" borderId="7" xfId="0" applyFont="1" applyFill="1" applyBorder="1" applyAlignment="1" applyProtection="1">
      <alignment horizontal="center" vertical="center" wrapText="1"/>
      <protection hidden="1"/>
    </xf>
    <xf numFmtId="0" fontId="20" fillId="18" borderId="8" xfId="0" applyFont="1" applyFill="1" applyBorder="1" applyAlignment="1" applyProtection="1">
      <alignment horizontal="center" vertical="center" wrapText="1"/>
      <protection hidden="1"/>
    </xf>
    <xf numFmtId="0" fontId="4" fillId="30" borderId="59" xfId="0" applyFont="1" applyFill="1" applyBorder="1" applyAlignment="1" applyProtection="1">
      <alignment horizontal="center" vertical="center" wrapText="1"/>
      <protection hidden="1"/>
    </xf>
    <xf numFmtId="169" fontId="35" fillId="14" borderId="40" xfId="0" quotePrefix="1" applyNumberFormat="1" applyFont="1" applyFill="1" applyBorder="1" applyAlignment="1">
      <alignment horizontal="center" vertical="center" wrapText="1"/>
    </xf>
    <xf numFmtId="169" fontId="35" fillId="14" borderId="9" xfId="0" quotePrefix="1" applyNumberFormat="1" applyFont="1" applyFill="1" applyBorder="1" applyAlignment="1">
      <alignment horizontal="center" vertical="center" wrapText="1"/>
    </xf>
    <xf numFmtId="0" fontId="35" fillId="14" borderId="43" xfId="0" applyFont="1" applyFill="1" applyBorder="1" applyAlignment="1">
      <alignment horizontal="center" vertical="center" wrapText="1"/>
    </xf>
    <xf numFmtId="169" fontId="35" fillId="30" borderId="66" xfId="0" applyNumberFormat="1" applyFont="1" applyFill="1" applyBorder="1" applyAlignment="1">
      <alignment horizontal="center" vertical="center" wrapText="1"/>
    </xf>
    <xf numFmtId="169" fontId="35" fillId="30" borderId="15" xfId="0" applyNumberFormat="1" applyFont="1" applyFill="1" applyBorder="1" applyAlignment="1">
      <alignment horizontal="center" vertical="center" wrapText="1"/>
    </xf>
    <xf numFmtId="169" fontId="35" fillId="30" borderId="52" xfId="0" applyNumberFormat="1" applyFont="1" applyFill="1" applyBorder="1" applyAlignment="1">
      <alignment horizontal="center" vertical="center" wrapText="1"/>
    </xf>
    <xf numFmtId="0" fontId="35" fillId="30" borderId="72" xfId="0" applyFont="1" applyFill="1" applyBorder="1" applyAlignment="1">
      <alignment horizontal="center" vertical="center" wrapText="1"/>
    </xf>
    <xf numFmtId="0" fontId="35" fillId="30" borderId="64" xfId="0" applyFont="1" applyFill="1" applyBorder="1" applyAlignment="1">
      <alignment horizontal="center" vertical="center" wrapText="1"/>
    </xf>
    <xf numFmtId="0" fontId="35" fillId="30" borderId="77" xfId="0" applyFont="1" applyFill="1" applyBorder="1" applyAlignment="1">
      <alignment horizontal="center" vertical="center" wrapText="1"/>
    </xf>
    <xf numFmtId="0" fontId="15" fillId="26" borderId="41" xfId="0" applyFont="1" applyFill="1" applyBorder="1" applyAlignment="1">
      <alignment horizontal="center" vertical="center" wrapText="1"/>
    </xf>
    <xf numFmtId="0" fontId="15" fillId="26" borderId="37" xfId="0" applyFont="1" applyFill="1" applyBorder="1" applyAlignment="1">
      <alignment horizontal="center" vertical="center" wrapText="1"/>
    </xf>
    <xf numFmtId="169" fontId="75" fillId="6" borderId="12" xfId="0" quotePrefix="1" applyNumberFormat="1" applyFont="1" applyFill="1" applyBorder="1" applyAlignment="1" applyProtection="1">
      <alignment horizontal="center" vertical="center"/>
      <protection hidden="1"/>
    </xf>
    <xf numFmtId="169" fontId="75" fillId="6" borderId="52" xfId="0" applyNumberFormat="1" applyFont="1" applyFill="1" applyBorder="1" applyAlignment="1" applyProtection="1">
      <alignment horizontal="center" vertical="center"/>
      <protection hidden="1"/>
    </xf>
    <xf numFmtId="0" fontId="4" fillId="31" borderId="6" xfId="0" applyFont="1" applyFill="1" applyBorder="1" applyAlignment="1">
      <alignment horizontal="center" vertical="center" wrapText="1"/>
    </xf>
    <xf numFmtId="0" fontId="4" fillId="31" borderId="7" xfId="0" applyFont="1" applyFill="1" applyBorder="1" applyAlignment="1">
      <alignment horizontal="center" vertical="center" wrapText="1"/>
    </xf>
    <xf numFmtId="0" fontId="4" fillId="31" borderId="8" xfId="0" applyFont="1" applyFill="1" applyBorder="1" applyAlignment="1">
      <alignment horizontal="center" vertical="center" wrapText="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15" fillId="5" borderId="8"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justify" vertical="center" wrapText="1"/>
      <protection hidden="1"/>
    </xf>
    <xf numFmtId="0" fontId="7" fillId="5" borderId="54" xfId="0" applyFont="1" applyFill="1" applyBorder="1" applyAlignment="1" applyProtection="1">
      <alignment horizontal="justify" vertical="center" wrapText="1"/>
      <protection hidden="1"/>
    </xf>
    <xf numFmtId="0" fontId="7" fillId="5" borderId="32" xfId="0" applyFont="1" applyFill="1" applyBorder="1" applyAlignment="1" applyProtection="1">
      <alignment horizontal="justify" vertical="center" wrapText="1"/>
      <protection hidden="1"/>
    </xf>
    <xf numFmtId="0" fontId="7" fillId="5" borderId="11" xfId="0" applyFont="1" applyFill="1" applyBorder="1" applyAlignment="1" applyProtection="1">
      <alignment horizontal="justify" vertical="center" wrapText="1"/>
      <protection hidden="1"/>
    </xf>
    <xf numFmtId="0" fontId="7" fillId="5" borderId="34" xfId="0" applyFont="1" applyFill="1" applyBorder="1" applyAlignment="1" applyProtection="1">
      <alignment horizontal="justify" vertical="center" wrapText="1"/>
      <protection hidden="1"/>
    </xf>
    <xf numFmtId="0" fontId="7" fillId="5" borderId="32" xfId="0" applyFont="1" applyFill="1" applyBorder="1" applyAlignment="1" applyProtection="1">
      <alignment horizontal="left" vertical="center" wrapText="1"/>
      <protection hidden="1"/>
    </xf>
    <xf numFmtId="0" fontId="7" fillId="5" borderId="11"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14" fillId="8" borderId="46" xfId="0" applyFont="1" applyFill="1" applyBorder="1" applyAlignment="1" applyProtection="1">
      <alignment horizontal="center" vertical="center"/>
      <protection hidden="1"/>
    </xf>
    <xf numFmtId="0" fontId="14" fillId="8" borderId="5" xfId="0" applyFont="1" applyFill="1" applyBorder="1" applyAlignment="1" applyProtection="1">
      <alignment horizontal="center" vertical="center"/>
      <protection hidden="1"/>
    </xf>
    <xf numFmtId="0" fontId="14" fillId="8" borderId="0" xfId="0" applyFont="1" applyFill="1" applyAlignment="1" applyProtection="1">
      <alignment horizontal="center" vertical="center"/>
      <protection hidden="1"/>
    </xf>
    <xf numFmtId="0" fontId="14" fillId="8" borderId="48" xfId="0" applyFont="1" applyFill="1" applyBorder="1" applyAlignment="1" applyProtection="1">
      <alignment horizontal="center" vertical="center"/>
      <protection hidden="1"/>
    </xf>
    <xf numFmtId="0" fontId="7" fillId="7" borderId="6" xfId="0" applyFont="1" applyFill="1" applyBorder="1" applyAlignment="1" applyProtection="1">
      <alignment horizontal="center" vertical="center" wrapText="1"/>
      <protection hidden="1"/>
    </xf>
    <xf numFmtId="0" fontId="7" fillId="7" borderId="8" xfId="0" applyFont="1" applyFill="1" applyBorder="1" applyAlignment="1" applyProtection="1">
      <alignment horizontal="center" vertical="center" wrapText="1"/>
      <protection hidden="1"/>
    </xf>
    <xf numFmtId="0" fontId="7" fillId="2" borderId="35" xfId="0" applyFont="1" applyFill="1" applyBorder="1" applyAlignment="1" applyProtection="1">
      <alignment horizontal="center" vertical="center" wrapText="1"/>
      <protection hidden="1"/>
    </xf>
    <xf numFmtId="0" fontId="7" fillId="2" borderId="33" xfId="0" applyFont="1" applyFill="1" applyBorder="1" applyAlignment="1" applyProtection="1">
      <alignment horizontal="center" vertical="center" wrapText="1"/>
      <protection hidden="1"/>
    </xf>
    <xf numFmtId="0" fontId="4" fillId="2" borderId="42" xfId="0" applyFont="1" applyFill="1" applyBorder="1" applyAlignment="1" applyProtection="1">
      <alignment horizontal="center" vertical="center" wrapText="1"/>
      <protection hidden="1"/>
    </xf>
    <xf numFmtId="0" fontId="4" fillId="2" borderId="54"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31" xfId="0" applyFont="1" applyFill="1" applyBorder="1" applyAlignment="1" applyProtection="1">
      <alignment horizontal="left" vertical="center" wrapText="1"/>
      <protection hidden="1"/>
    </xf>
    <xf numFmtId="0" fontId="7" fillId="5" borderId="42" xfId="0" applyFont="1" applyFill="1" applyBorder="1" applyAlignment="1" applyProtection="1">
      <alignment horizontal="left" vertical="center" wrapText="1"/>
      <protection hidden="1"/>
    </xf>
    <xf numFmtId="0" fontId="7" fillId="5" borderId="54" xfId="0" applyFont="1" applyFill="1" applyBorder="1" applyAlignment="1" applyProtection="1">
      <alignment horizontal="left" vertical="center" wrapText="1"/>
      <protection hidden="1"/>
    </xf>
    <xf numFmtId="167" fontId="4" fillId="7" borderId="40" xfId="0" applyNumberFormat="1"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40" xfId="0" applyNumberFormat="1" applyFont="1" applyFill="1" applyBorder="1" applyAlignment="1" applyProtection="1">
      <alignment horizontal="center" vertical="center" wrapText="1"/>
      <protection hidden="1"/>
    </xf>
    <xf numFmtId="1" fontId="4" fillId="7" borderId="9" xfId="0" applyNumberFormat="1" applyFont="1" applyFill="1" applyBorder="1" applyAlignment="1" applyProtection="1">
      <alignment horizontal="center" vertical="center" wrapText="1"/>
      <protection hidden="1"/>
    </xf>
    <xf numFmtId="1" fontId="4" fillId="7" borderId="43" xfId="0" applyNumberFormat="1"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7" fillId="5" borderId="50" xfId="0" applyFont="1" applyFill="1" applyBorder="1" applyAlignment="1" applyProtection="1">
      <alignment horizontal="left" vertical="top" wrapText="1"/>
      <protection hidden="1"/>
    </xf>
    <xf numFmtId="0" fontId="7" fillId="5" borderId="64" xfId="0" applyFont="1" applyFill="1" applyBorder="1" applyAlignment="1" applyProtection="1">
      <alignment horizontal="left" vertical="top" wrapText="1"/>
      <protection hidden="1"/>
    </xf>
    <xf numFmtId="0" fontId="7" fillId="5" borderId="41" xfId="0" applyFont="1" applyFill="1" applyBorder="1" applyAlignment="1" applyProtection="1">
      <alignment horizontal="left" vertical="center" wrapText="1"/>
      <protection hidden="1"/>
    </xf>
    <xf numFmtId="0" fontId="35" fillId="2" borderId="0" xfId="0" applyFont="1" applyFill="1" applyAlignment="1" applyProtection="1">
      <alignment horizontal="center" vertical="center" wrapText="1"/>
      <protection hidden="1"/>
    </xf>
    <xf numFmtId="0" fontId="7" fillId="5" borderId="37" xfId="0" applyFont="1" applyFill="1" applyBorder="1" applyAlignment="1" applyProtection="1">
      <alignment horizontal="left" vertical="center" wrapText="1"/>
      <protection hidden="1"/>
    </xf>
    <xf numFmtId="0" fontId="7" fillId="2" borderId="30" xfId="0" applyFont="1" applyFill="1" applyBorder="1" applyAlignment="1" applyProtection="1">
      <alignment horizontal="center" vertical="center" wrapText="1"/>
      <protection hidden="1"/>
    </xf>
    <xf numFmtId="0" fontId="7" fillId="2" borderId="36" xfId="0" applyFont="1" applyFill="1" applyBorder="1" applyAlignment="1" applyProtection="1">
      <alignment horizontal="center" vertical="center" wrapText="1"/>
      <protection hidden="1"/>
    </xf>
    <xf numFmtId="0" fontId="4" fillId="5" borderId="35" xfId="0" applyFont="1" applyFill="1" applyBorder="1" applyAlignment="1" applyProtection="1">
      <alignment horizontal="left" vertical="center" wrapText="1"/>
      <protection hidden="1"/>
    </xf>
    <xf numFmtId="0" fontId="4" fillId="5" borderId="23" xfId="0" applyFont="1" applyFill="1" applyBorder="1" applyAlignment="1" applyProtection="1">
      <alignment horizontal="left" vertical="center" wrapText="1"/>
      <protection hidden="1"/>
    </xf>
    <xf numFmtId="0" fontId="35" fillId="5" borderId="35" xfId="0" applyFont="1" applyFill="1" applyBorder="1" applyAlignment="1" applyProtection="1">
      <alignment horizontal="left" vertical="center" wrapText="1"/>
      <protection hidden="1"/>
    </xf>
    <xf numFmtId="0" fontId="35" fillId="5"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14" fillId="4" borderId="14"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169" fontId="4" fillId="19" borderId="28" xfId="0" applyNumberFormat="1" applyFont="1" applyFill="1" applyBorder="1" applyAlignment="1" applyProtection="1">
      <alignment horizontal="center" vertical="center" wrapText="1"/>
      <protection hidden="1"/>
    </xf>
    <xf numFmtId="169" fontId="4" fillId="19" borderId="21" xfId="0" applyNumberFormat="1" applyFont="1" applyFill="1" applyBorder="1" applyAlignment="1" applyProtection="1">
      <alignment horizontal="center" vertical="center" wrapText="1"/>
      <protection hidden="1"/>
    </xf>
    <xf numFmtId="14" fontId="4" fillId="19" borderId="22" xfId="0" applyNumberFormat="1" applyFont="1" applyFill="1" applyBorder="1" applyAlignment="1" applyProtection="1">
      <alignment horizontal="center" vertical="center" wrapText="1"/>
      <protection hidden="1"/>
    </xf>
    <xf numFmtId="14" fontId="4" fillId="19" borderId="20" xfId="0" applyNumberFormat="1" applyFont="1" applyFill="1" applyBorder="1" applyAlignment="1" applyProtection="1">
      <alignment horizontal="center" vertical="center" wrapText="1"/>
      <protection hidden="1"/>
    </xf>
    <xf numFmtId="14" fontId="4" fillId="12" borderId="12" xfId="0" applyNumberFormat="1" applyFont="1" applyFill="1" applyBorder="1" applyAlignment="1" applyProtection="1">
      <alignment horizontal="center" vertical="center" wrapText="1"/>
      <protection hidden="1"/>
    </xf>
    <xf numFmtId="14" fontId="4" fillId="12" borderId="18" xfId="0" applyNumberFormat="1" applyFont="1" applyFill="1" applyBorder="1" applyAlignment="1" applyProtection="1">
      <alignment horizontal="center" vertical="center" wrapText="1"/>
      <protection hidden="1"/>
    </xf>
    <xf numFmtId="0" fontId="4" fillId="19" borderId="12" xfId="0" applyFont="1" applyFill="1" applyBorder="1" applyAlignment="1" applyProtection="1">
      <alignment horizontal="center" vertical="center" wrapText="1"/>
      <protection hidden="1"/>
    </xf>
    <xf numFmtId="0" fontId="4" fillId="19" borderId="18" xfId="0"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wrapText="1"/>
      <protection hidden="1"/>
    </xf>
    <xf numFmtId="0" fontId="4" fillId="2" borderId="7" xfId="0" applyFont="1" applyFill="1" applyBorder="1" applyAlignment="1" applyProtection="1">
      <alignment horizontal="center" vertical="center" wrapText="1"/>
      <protection hidden="1"/>
    </xf>
    <xf numFmtId="0" fontId="4" fillId="2" borderId="8" xfId="0" applyFont="1" applyFill="1" applyBorder="1" applyAlignment="1" applyProtection="1">
      <alignment horizontal="center" vertical="center" wrapText="1"/>
      <protection hidden="1"/>
    </xf>
    <xf numFmtId="0" fontId="7" fillId="16" borderId="78" xfId="0" applyFont="1" applyFill="1" applyBorder="1" applyAlignment="1" applyProtection="1">
      <alignment horizontal="center" vertical="center" wrapText="1"/>
      <protection hidden="1"/>
    </xf>
    <xf numFmtId="0" fontId="7" fillId="16" borderId="73"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14" fillId="4" borderId="3" xfId="0"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78" xfId="0" applyFont="1" applyFill="1" applyBorder="1" applyAlignment="1" applyProtection="1">
      <alignment horizontal="center" vertical="center" wrapText="1"/>
      <protection hidden="1"/>
    </xf>
    <xf numFmtId="0" fontId="7" fillId="21" borderId="69" xfId="0" applyFont="1" applyFill="1" applyBorder="1" applyAlignment="1" applyProtection="1">
      <alignment horizontal="center" vertical="center" wrapText="1"/>
      <protection hidden="1"/>
    </xf>
    <xf numFmtId="0" fontId="7" fillId="21" borderId="73" xfId="0" applyFont="1" applyFill="1" applyBorder="1" applyAlignment="1" applyProtection="1">
      <alignment horizontal="center" vertical="center" wrapText="1"/>
      <protection hidden="1"/>
    </xf>
    <xf numFmtId="0" fontId="12" fillId="24" borderId="70" xfId="6" applyBorder="1" applyAlignment="1" applyProtection="1">
      <alignment horizontal="center" vertical="center" wrapText="1"/>
      <protection locked="0" hidden="1"/>
    </xf>
    <xf numFmtId="0" fontId="12" fillId="24" borderId="49" xfId="6" applyBorder="1" applyAlignment="1" applyProtection="1">
      <alignment horizontal="center" vertical="center" wrapText="1"/>
      <protection locked="0" hidden="1"/>
    </xf>
    <xf numFmtId="0" fontId="14" fillId="25" borderId="6" xfId="0" applyFont="1" applyFill="1" applyBorder="1" applyAlignment="1" applyProtection="1">
      <alignment horizontal="center" vertical="center" wrapText="1"/>
      <protection hidden="1"/>
    </xf>
    <xf numFmtId="0" fontId="14" fillId="25" borderId="7" xfId="0" applyFont="1" applyFill="1" applyBorder="1" applyAlignment="1" applyProtection="1">
      <alignment horizontal="center" vertical="center" wrapText="1"/>
      <protection hidden="1"/>
    </xf>
    <xf numFmtId="0" fontId="14" fillId="25" borderId="8" xfId="0" applyFont="1" applyFill="1" applyBorder="1" applyAlignment="1" applyProtection="1">
      <alignment horizontal="center" vertical="center" wrapText="1"/>
      <protection hidden="1"/>
    </xf>
    <xf numFmtId="0" fontId="4" fillId="12" borderId="13"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7" fillId="16" borderId="57" xfId="0" applyFont="1" applyFill="1" applyBorder="1" applyAlignment="1" applyProtection="1">
      <alignment horizontal="left" vertical="center" wrapText="1"/>
      <protection hidden="1"/>
    </xf>
    <xf numFmtId="0" fontId="7" fillId="16" borderId="53" xfId="0" applyFont="1" applyFill="1" applyBorder="1" applyAlignment="1" applyProtection="1">
      <alignment horizontal="left" vertical="center" wrapText="1"/>
      <protection hidden="1"/>
    </xf>
    <xf numFmtId="0" fontId="10" fillId="16" borderId="41"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10" fillId="5" borderId="71" xfId="0" applyFont="1" applyFill="1" applyBorder="1" applyAlignment="1" applyProtection="1">
      <alignment horizontal="center" vertical="center" wrapText="1"/>
      <protection hidden="1"/>
    </xf>
    <xf numFmtId="0" fontId="10" fillId="5" borderId="44" xfId="0" applyFont="1" applyFill="1" applyBorder="1" applyAlignment="1" applyProtection="1">
      <alignment horizontal="center" vertical="center" wrapText="1"/>
      <protection hidden="1"/>
    </xf>
    <xf numFmtId="167" fontId="4" fillId="15" borderId="12" xfId="0" applyNumberFormat="1" applyFont="1" applyFill="1" applyBorder="1" applyAlignment="1" applyProtection="1">
      <alignment horizontal="center" vertical="center" wrapText="1"/>
      <protection hidden="1"/>
    </xf>
    <xf numFmtId="167" fontId="4" fillId="15" borderId="18" xfId="0" applyNumberFormat="1" applyFont="1" applyFill="1" applyBorder="1" applyAlignment="1" applyProtection="1">
      <alignment horizontal="center" vertical="center" wrapText="1"/>
      <protection hidden="1"/>
    </xf>
    <xf numFmtId="169" fontId="4" fillId="15" borderId="25" xfId="0" applyNumberFormat="1" applyFont="1" applyFill="1" applyBorder="1" applyAlignment="1" applyProtection="1">
      <alignment horizontal="center" vertical="center" wrapText="1"/>
      <protection hidden="1"/>
    </xf>
    <xf numFmtId="169" fontId="4" fillId="15" borderId="27" xfId="0" applyNumberFormat="1" applyFont="1" applyFill="1" applyBorder="1" applyAlignment="1" applyProtection="1">
      <alignment horizontal="center" vertical="center" wrapText="1"/>
      <protection hidden="1"/>
    </xf>
    <xf numFmtId="0" fontId="4" fillId="12" borderId="27" xfId="0" applyFont="1" applyFill="1" applyBorder="1" applyAlignment="1" applyProtection="1">
      <alignment horizontal="center" vertical="center" wrapText="1"/>
      <protection hidden="1"/>
    </xf>
    <xf numFmtId="0" fontId="4" fillId="12" borderId="62" xfId="0"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77" xfId="0" applyFont="1" applyFill="1" applyBorder="1" applyAlignment="1" applyProtection="1">
      <alignment horizontal="center" vertical="center" wrapText="1"/>
      <protection hidden="1"/>
    </xf>
    <xf numFmtId="1" fontId="4" fillId="15" borderId="12" xfId="0" applyNumberFormat="1" applyFont="1" applyFill="1" applyBorder="1" applyAlignment="1" applyProtection="1">
      <alignment horizontal="center" vertical="center" wrapText="1"/>
      <protection hidden="1"/>
    </xf>
    <xf numFmtId="1" fontId="4" fillId="15" borderId="18" xfId="0" applyNumberFormat="1" applyFont="1" applyFill="1" applyBorder="1" applyAlignment="1" applyProtection="1">
      <alignment horizontal="center" vertical="center" wrapText="1"/>
      <protection hidden="1"/>
    </xf>
    <xf numFmtId="1" fontId="4" fillId="12" borderId="12" xfId="0" applyNumberFormat="1" applyFont="1" applyFill="1" applyBorder="1" applyAlignment="1" applyProtection="1">
      <alignment horizontal="center" vertical="center" wrapText="1"/>
      <protection hidden="1"/>
    </xf>
    <xf numFmtId="1" fontId="4" fillId="12" borderId="18" xfId="0" applyNumberFormat="1" applyFont="1" applyFill="1" applyBorder="1" applyAlignment="1" applyProtection="1">
      <alignment horizontal="center" vertical="center" wrapText="1"/>
      <protection hidden="1"/>
    </xf>
    <xf numFmtId="1" fontId="4" fillId="15" borderId="26" xfId="0" applyNumberFormat="1" applyFont="1" applyFill="1" applyBorder="1" applyAlignment="1" applyProtection="1">
      <alignment horizontal="center" vertical="center" wrapText="1"/>
      <protection hidden="1"/>
    </xf>
    <xf numFmtId="1" fontId="4" fillId="15" borderId="17" xfId="0" applyNumberFormat="1" applyFont="1" applyFill="1" applyBorder="1" applyAlignment="1" applyProtection="1">
      <alignment horizontal="center" vertical="center" wrapText="1"/>
      <protection hidden="1"/>
    </xf>
    <xf numFmtId="2" fontId="4" fillId="15" borderId="12" xfId="0" applyNumberFormat="1" applyFont="1" applyFill="1" applyBorder="1" applyAlignment="1" applyProtection="1">
      <alignment horizontal="center" vertical="center" wrapText="1"/>
      <protection hidden="1"/>
    </xf>
    <xf numFmtId="2" fontId="4" fillId="15" borderId="18" xfId="0" applyNumberFormat="1" applyFont="1" applyFill="1" applyBorder="1" applyAlignment="1" applyProtection="1">
      <alignment horizontal="center" vertical="center" wrapText="1"/>
      <protection hidden="1"/>
    </xf>
    <xf numFmtId="0" fontId="7" fillId="16" borderId="7"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10" fillId="5" borderId="66" xfId="0" applyFont="1" applyFill="1" applyBorder="1" applyAlignment="1" applyProtection="1">
      <alignment horizontal="center" vertical="center" wrapText="1"/>
      <protection hidden="1"/>
    </xf>
    <xf numFmtId="0" fontId="10" fillId="5" borderId="52" xfId="0" applyFont="1" applyFill="1" applyBorder="1" applyAlignment="1" applyProtection="1">
      <alignment horizontal="center" vertical="center" wrapText="1"/>
      <protection hidden="1"/>
    </xf>
    <xf numFmtId="0" fontId="14" fillId="4" borderId="55" xfId="0" applyFont="1" applyFill="1" applyBorder="1" applyAlignment="1" applyProtection="1">
      <alignment horizontal="center" vertical="center" wrapText="1"/>
      <protection hidden="1"/>
    </xf>
    <xf numFmtId="0" fontId="14" fillId="4" borderId="61" xfId="0" applyFont="1" applyFill="1" applyBorder="1" applyAlignment="1" applyProtection="1">
      <alignment horizontal="center" vertical="center" wrapText="1"/>
      <protection hidden="1"/>
    </xf>
    <xf numFmtId="0" fontId="14" fillId="4" borderId="56" xfId="0" applyFont="1" applyFill="1" applyBorder="1" applyAlignment="1" applyProtection="1">
      <alignment horizontal="center" vertical="center" wrapText="1"/>
      <protection hidden="1"/>
    </xf>
    <xf numFmtId="2" fontId="4" fillId="12" borderId="9" xfId="0" applyNumberFormat="1" applyFont="1" applyFill="1" applyBorder="1" applyAlignment="1" applyProtection="1">
      <alignment horizontal="center" vertical="center" wrapText="1"/>
      <protection hidden="1"/>
    </xf>
    <xf numFmtId="1" fontId="4" fillId="12" borderId="11" xfId="0" applyNumberFormat="1" applyFont="1" applyFill="1" applyBorder="1" applyAlignment="1" applyProtection="1">
      <alignment horizontal="center" vertical="center" wrapText="1"/>
      <protection hidden="1"/>
    </xf>
    <xf numFmtId="1" fontId="4" fillId="12" borderId="33" xfId="0" applyNumberFormat="1" applyFont="1" applyFill="1" applyBorder="1" applyAlignment="1" applyProtection="1">
      <alignment horizontal="center" vertical="center" wrapText="1"/>
      <protection hidden="1"/>
    </xf>
    <xf numFmtId="0" fontId="4" fillId="12" borderId="11" xfId="0" applyFont="1" applyFill="1" applyBorder="1" applyAlignment="1" applyProtection="1">
      <alignment horizontal="center" vertical="center" wrapText="1"/>
      <protection hidden="1"/>
    </xf>
    <xf numFmtId="0" fontId="4" fillId="12" borderId="33" xfId="0" applyFont="1" applyFill="1" applyBorder="1" applyAlignment="1" applyProtection="1">
      <alignment horizontal="center" vertical="center" wrapText="1"/>
      <protection hidden="1"/>
    </xf>
    <xf numFmtId="0" fontId="4" fillId="12" borderId="23" xfId="0" applyFont="1" applyFill="1" applyBorder="1" applyAlignment="1" applyProtection="1">
      <alignment horizontal="center" vertical="center" wrapText="1"/>
      <protection hidden="1"/>
    </xf>
    <xf numFmtId="0" fontId="4" fillId="12" borderId="14" xfId="0" applyFont="1" applyFill="1" applyBorder="1" applyAlignment="1" applyProtection="1">
      <alignment horizontal="center" vertical="center" wrapText="1"/>
      <protection hidden="1"/>
    </xf>
    <xf numFmtId="0" fontId="4" fillId="2" borderId="2" xfId="0" applyFont="1" applyFill="1" applyBorder="1" applyAlignment="1" applyProtection="1">
      <alignment horizontal="left" vertical="top" wrapText="1"/>
      <protection locked="0" hidden="1"/>
    </xf>
    <xf numFmtId="0" fontId="4" fillId="2" borderId="3" xfId="0" applyFont="1" applyFill="1" applyBorder="1" applyAlignment="1" applyProtection="1">
      <alignment horizontal="left" vertical="top" wrapText="1"/>
      <protection locked="0" hidden="1"/>
    </xf>
    <xf numFmtId="0" fontId="4" fillId="2" borderId="4" xfId="0" applyFont="1" applyFill="1" applyBorder="1" applyAlignment="1" applyProtection="1">
      <alignment horizontal="left" vertical="top" wrapText="1"/>
      <protection locked="0" hidden="1"/>
    </xf>
    <xf numFmtId="0" fontId="4" fillId="2" borderId="10" xfId="0" applyFont="1" applyFill="1" applyBorder="1" applyAlignment="1" applyProtection="1">
      <alignment horizontal="left" vertical="top" wrapText="1"/>
      <protection locked="0" hidden="1"/>
    </xf>
    <xf numFmtId="0" fontId="4" fillId="2" borderId="0" xfId="0" applyFont="1" applyFill="1" applyAlignment="1" applyProtection="1">
      <alignment horizontal="left" vertical="top" wrapText="1"/>
      <protection locked="0" hidden="1"/>
    </xf>
    <xf numFmtId="0" fontId="4" fillId="2" borderId="48" xfId="0" applyFont="1" applyFill="1" applyBorder="1" applyAlignment="1" applyProtection="1">
      <alignment horizontal="left" vertical="top" wrapText="1"/>
      <protection locked="0" hidden="1"/>
    </xf>
    <xf numFmtId="0" fontId="4" fillId="2" borderId="46" xfId="0" applyFont="1" applyFill="1" applyBorder="1" applyAlignment="1" applyProtection="1">
      <alignment horizontal="left" vertical="top" wrapText="1"/>
      <protection locked="0" hidden="1"/>
    </xf>
    <xf numFmtId="0" fontId="4" fillId="2" borderId="5" xfId="0" applyFont="1" applyFill="1" applyBorder="1" applyAlignment="1" applyProtection="1">
      <alignment horizontal="left" vertical="top" wrapText="1"/>
      <protection locked="0" hidden="1"/>
    </xf>
    <xf numFmtId="0" fontId="4" fillId="2" borderId="38" xfId="0" applyFont="1" applyFill="1" applyBorder="1" applyAlignment="1" applyProtection="1">
      <alignment horizontal="left" vertical="top" wrapText="1"/>
      <protection locked="0" hidden="1"/>
    </xf>
    <xf numFmtId="0" fontId="7" fillId="5" borderId="28"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7" fillId="16" borderId="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4" fillId="6" borderId="7" xfId="0" applyFont="1" applyFill="1" applyBorder="1" applyAlignment="1" applyProtection="1">
      <alignment horizontal="center" vertical="center" wrapText="1"/>
      <protection hidden="1"/>
    </xf>
    <xf numFmtId="0" fontId="4" fillId="6" borderId="8" xfId="0" applyFont="1" applyFill="1" applyBorder="1" applyAlignment="1" applyProtection="1">
      <alignment horizontal="center" vertical="center" wrapText="1"/>
      <protection hidden="1"/>
    </xf>
    <xf numFmtId="0" fontId="50" fillId="25" borderId="6" xfId="0" applyFont="1" applyFill="1" applyBorder="1" applyAlignment="1" applyProtection="1">
      <alignment horizontal="center" vertical="center" wrapText="1"/>
      <protection hidden="1"/>
    </xf>
    <xf numFmtId="0" fontId="50" fillId="25" borderId="7" xfId="0" applyFont="1" applyFill="1" applyBorder="1" applyAlignment="1" applyProtection="1">
      <alignment horizontal="center" vertical="center" wrapText="1"/>
      <protection hidden="1"/>
    </xf>
    <xf numFmtId="0" fontId="50" fillId="25" borderId="8" xfId="0" applyFont="1" applyFill="1" applyBorder="1" applyAlignment="1" applyProtection="1">
      <alignment horizontal="center" vertical="center" wrapText="1"/>
      <protection hidden="1"/>
    </xf>
    <xf numFmtId="0" fontId="14" fillId="25" borderId="10" xfId="0" applyFont="1" applyFill="1" applyBorder="1" applyAlignment="1" applyProtection="1">
      <alignment horizontal="center" vertical="center" wrapText="1"/>
      <protection hidden="1"/>
    </xf>
    <xf numFmtId="0" fontId="14" fillId="25" borderId="0" xfId="0" applyFont="1" applyFill="1" applyAlignment="1" applyProtection="1">
      <alignment horizontal="center" vertical="center" wrapText="1"/>
      <protection hidden="1"/>
    </xf>
    <xf numFmtId="0" fontId="14" fillId="25" borderId="48" xfId="0" applyFont="1" applyFill="1" applyBorder="1" applyAlignment="1" applyProtection="1">
      <alignment horizontal="center" vertical="center" wrapText="1"/>
      <protection hidden="1"/>
    </xf>
    <xf numFmtId="0" fontId="10" fillId="21" borderId="71" xfId="0" applyFont="1" applyFill="1" applyBorder="1" applyAlignment="1" applyProtection="1">
      <alignment horizontal="center" vertical="center" wrapText="1"/>
      <protection hidden="1"/>
    </xf>
    <xf numFmtId="0" fontId="10" fillId="21" borderId="66" xfId="0" applyFont="1" applyFill="1" applyBorder="1" applyAlignment="1" applyProtection="1">
      <alignment horizontal="center" vertical="center" wrapText="1"/>
      <protection hidden="1"/>
    </xf>
    <xf numFmtId="0" fontId="10" fillId="16" borderId="66" xfId="0" applyFont="1" applyFill="1" applyBorder="1" applyAlignment="1" applyProtection="1">
      <alignment horizontal="center" vertical="center" wrapText="1"/>
      <protection hidden="1"/>
    </xf>
    <xf numFmtId="0" fontId="4" fillId="19" borderId="39" xfId="0" applyFont="1" applyFill="1" applyBorder="1" applyAlignment="1" applyProtection="1">
      <alignment horizontal="center" vertical="center" wrapText="1"/>
      <protection hidden="1"/>
    </xf>
    <xf numFmtId="0" fontId="4" fillId="19" borderId="40" xfId="0" applyFont="1" applyFill="1" applyBorder="1" applyAlignment="1" applyProtection="1">
      <alignment horizontal="center" vertical="center" wrapText="1"/>
      <protection hidden="1"/>
    </xf>
    <xf numFmtId="0" fontId="4" fillId="19" borderId="32" xfId="0" applyFont="1" applyFill="1" applyBorder="1" applyAlignment="1" applyProtection="1">
      <alignment horizontal="center" vertical="center" wrapText="1"/>
      <protection hidden="1"/>
    </xf>
    <xf numFmtId="0" fontId="4" fillId="19" borderId="9" xfId="0" applyFont="1" applyFill="1" applyBorder="1" applyAlignment="1" applyProtection="1">
      <alignment horizontal="center" vertical="center" wrapText="1"/>
      <protection hidden="1"/>
    </xf>
    <xf numFmtId="0" fontId="4" fillId="19" borderId="42" xfId="0"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0" fontId="12" fillId="24" borderId="4" xfId="6" applyBorder="1" applyAlignment="1" applyProtection="1">
      <alignment horizontal="center" vertical="center" wrapText="1"/>
      <protection locked="0" hidden="1"/>
    </xf>
    <xf numFmtId="0" fontId="12" fillId="24" borderId="38" xfId="6" applyBorder="1" applyAlignment="1" applyProtection="1">
      <alignment horizontal="center" vertical="center" wrapText="1"/>
      <protection locked="0" hidden="1"/>
    </xf>
    <xf numFmtId="0" fontId="16" fillId="0" borderId="0" xfId="0"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20" fontId="4" fillId="6" borderId="6" xfId="0" applyNumberFormat="1" applyFont="1" applyFill="1" applyBorder="1" applyAlignment="1" applyProtection="1">
      <alignment horizontal="center" vertical="center" wrapText="1"/>
      <protection locked="0" hidden="1"/>
    </xf>
    <xf numFmtId="20" fontId="4" fillId="6" borderId="8" xfId="0" applyNumberFormat="1" applyFont="1" applyFill="1" applyBorder="1" applyAlignment="1" applyProtection="1">
      <alignment horizontal="center" vertical="center" wrapText="1"/>
      <protection locked="0" hidden="1"/>
    </xf>
    <xf numFmtId="1" fontId="7" fillId="7" borderId="4" xfId="0" applyNumberFormat="1" applyFont="1" applyFill="1" applyBorder="1" applyAlignment="1" applyProtection="1">
      <alignment horizontal="center" vertical="center" wrapText="1"/>
      <protection hidden="1"/>
    </xf>
    <xf numFmtId="1" fontId="7" fillId="7" borderId="48" xfId="0" applyNumberFormat="1" applyFont="1" applyFill="1" applyBorder="1" applyAlignment="1" applyProtection="1">
      <alignment horizontal="center" vertical="center" wrapText="1"/>
      <protection hidden="1"/>
    </xf>
    <xf numFmtId="1" fontId="7" fillId="7" borderId="38" xfId="0" applyNumberFormat="1" applyFont="1" applyFill="1" applyBorder="1" applyAlignment="1" applyProtection="1">
      <alignment horizontal="center" vertical="center" wrapText="1"/>
      <protection hidden="1"/>
    </xf>
    <xf numFmtId="167" fontId="7" fillId="7" borderId="70" xfId="0" applyNumberFormat="1" applyFont="1" applyFill="1" applyBorder="1" applyAlignment="1" applyProtection="1">
      <alignment horizontal="center" vertical="center" wrapText="1"/>
      <protection hidden="1"/>
    </xf>
    <xf numFmtId="167" fontId="7" fillId="7" borderId="69" xfId="0" applyNumberFormat="1" applyFont="1" applyFill="1" applyBorder="1" applyAlignment="1" applyProtection="1">
      <alignment horizontal="center" vertical="center" wrapText="1"/>
      <protection hidden="1"/>
    </xf>
    <xf numFmtId="167" fontId="7" fillId="7" borderId="49" xfId="0" applyNumberFormat="1" applyFont="1" applyFill="1" applyBorder="1" applyAlignment="1" applyProtection="1">
      <alignment horizontal="center" vertical="center" wrapText="1"/>
      <protection hidden="1"/>
    </xf>
    <xf numFmtId="2" fontId="18" fillId="15" borderId="9" xfId="0" applyNumberFormat="1" applyFont="1" applyFill="1" applyBorder="1" applyAlignment="1" applyProtection="1">
      <alignment horizontal="center" vertical="center" wrapText="1"/>
      <protection hidden="1"/>
    </xf>
    <xf numFmtId="2" fontId="18" fillId="15" borderId="43" xfId="0" applyNumberFormat="1" applyFont="1" applyFill="1" applyBorder="1" applyAlignment="1" applyProtection="1">
      <alignment horizontal="center" vertical="center" wrapText="1"/>
      <protection hidden="1"/>
    </xf>
    <xf numFmtId="0" fontId="11" fillId="5" borderId="71" xfId="0" applyFont="1" applyFill="1" applyBorder="1" applyAlignment="1" applyProtection="1">
      <alignment horizontal="center" vertical="center" wrapText="1"/>
      <protection hidden="1"/>
    </xf>
    <xf numFmtId="0" fontId="11" fillId="5" borderId="50" xfId="0" applyFont="1" applyFill="1" applyBorder="1" applyAlignment="1" applyProtection="1">
      <alignment horizontal="center" vertical="center" wrapText="1"/>
      <protection hidden="1"/>
    </xf>
    <xf numFmtId="0" fontId="31" fillId="25" borderId="2" xfId="0" applyFont="1" applyFill="1" applyBorder="1" applyAlignment="1" applyProtection="1">
      <alignment horizontal="center" vertical="center" wrapText="1"/>
      <protection hidden="1"/>
    </xf>
    <xf numFmtId="0" fontId="31" fillId="25" borderId="3" xfId="0" applyFont="1" applyFill="1" applyBorder="1" applyAlignment="1" applyProtection="1">
      <alignment horizontal="center" vertical="center" wrapText="1"/>
      <protection hidden="1"/>
    </xf>
    <xf numFmtId="0" fontId="31" fillId="25" borderId="4" xfId="0" applyFont="1" applyFill="1" applyBorder="1" applyAlignment="1" applyProtection="1">
      <alignment horizontal="center" vertical="center" wrapText="1"/>
      <protection hidden="1"/>
    </xf>
    <xf numFmtId="0" fontId="11" fillId="5" borderId="57" xfId="1" applyFont="1" applyFill="1" applyBorder="1" applyAlignment="1" applyProtection="1">
      <alignment horizontal="center" vertical="center" wrapText="1"/>
      <protection hidden="1"/>
    </xf>
    <xf numFmtId="0" fontId="11" fillId="5" borderId="47" xfId="1" applyFont="1" applyFill="1" applyBorder="1" applyAlignment="1" applyProtection="1">
      <alignment horizontal="center" vertical="center" wrapText="1"/>
      <protection hidden="1"/>
    </xf>
    <xf numFmtId="0" fontId="11" fillId="5" borderId="31" xfId="1" applyFont="1" applyFill="1" applyBorder="1" applyAlignment="1" applyProtection="1">
      <alignment horizontal="center" vertical="center" wrapText="1"/>
      <protection hidden="1"/>
    </xf>
    <xf numFmtId="0" fontId="11" fillId="5" borderId="53" xfId="1" applyFont="1" applyFill="1" applyBorder="1" applyAlignment="1" applyProtection="1">
      <alignment horizontal="center" vertical="center" wrapText="1"/>
      <protection hidden="1"/>
    </xf>
    <xf numFmtId="0" fontId="73" fillId="14" borderId="6" xfId="0" applyFont="1" applyFill="1" applyBorder="1" applyAlignment="1" applyProtection="1">
      <alignment horizontal="center" vertical="center" wrapText="1"/>
      <protection hidden="1"/>
    </xf>
    <xf numFmtId="0" fontId="73" fillId="14" borderId="7" xfId="0" applyFont="1" applyFill="1" applyBorder="1" applyAlignment="1" applyProtection="1">
      <alignment horizontal="center" vertical="center" wrapText="1"/>
      <protection hidden="1"/>
    </xf>
    <xf numFmtId="0" fontId="73" fillId="14" borderId="8" xfId="0" applyFont="1" applyFill="1" applyBorder="1" applyAlignment="1" applyProtection="1">
      <alignment horizontal="center" vertical="center" wrapText="1"/>
      <protection hidden="1"/>
    </xf>
    <xf numFmtId="1" fontId="18" fillId="15" borderId="32" xfId="0" applyNumberFormat="1" applyFont="1" applyFill="1" applyBorder="1" applyAlignment="1" applyProtection="1">
      <alignment horizontal="center" vertical="center" wrapText="1"/>
      <protection hidden="1"/>
    </xf>
    <xf numFmtId="1" fontId="18" fillId="15" borderId="42" xfId="0" applyNumberFormat="1" applyFont="1" applyFill="1" applyBorder="1" applyAlignment="1" applyProtection="1">
      <alignment horizontal="center" vertical="center" wrapText="1"/>
      <protection hidden="1"/>
    </xf>
    <xf numFmtId="0" fontId="7" fillId="5" borderId="55" xfId="0" applyFont="1" applyFill="1" applyBorder="1" applyAlignment="1" applyProtection="1">
      <alignment horizontal="center" vertical="top" wrapText="1"/>
      <protection hidden="1"/>
    </xf>
    <xf numFmtId="0" fontId="7" fillId="5" borderId="60" xfId="0" applyFont="1" applyFill="1" applyBorder="1" applyAlignment="1" applyProtection="1">
      <alignment horizontal="center" vertical="top" wrapText="1"/>
      <protection hidden="1"/>
    </xf>
    <xf numFmtId="0" fontId="7" fillId="5" borderId="46" xfId="0" applyFont="1" applyFill="1" applyBorder="1" applyAlignment="1" applyProtection="1">
      <alignment horizontal="center" vertical="top" wrapText="1"/>
      <protection hidden="1"/>
    </xf>
    <xf numFmtId="0" fontId="7" fillId="5" borderId="38" xfId="0" applyFont="1" applyFill="1" applyBorder="1" applyAlignment="1" applyProtection="1">
      <alignment horizontal="center" vertical="top" wrapText="1"/>
      <protection hidden="1"/>
    </xf>
    <xf numFmtId="0" fontId="31" fillId="4" borderId="6" xfId="0" applyFont="1" applyFill="1" applyBorder="1" applyAlignment="1" applyProtection="1">
      <alignment horizontal="center" vertical="center" wrapText="1"/>
      <protection hidden="1"/>
    </xf>
    <xf numFmtId="0" fontId="31" fillId="4" borderId="7" xfId="0" applyFont="1" applyFill="1" applyBorder="1" applyAlignment="1" applyProtection="1">
      <alignment horizontal="center" vertical="center" wrapText="1"/>
      <protection hidden="1"/>
    </xf>
    <xf numFmtId="0" fontId="31" fillId="4" borderId="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3" xfId="0" applyFont="1" applyFill="1" applyBorder="1" applyAlignment="1" applyProtection="1">
      <alignment horizontal="center" vertical="top" wrapText="1"/>
      <protection hidden="1"/>
    </xf>
    <xf numFmtId="0" fontId="7" fillId="5" borderId="4" xfId="0" applyFont="1" applyFill="1" applyBorder="1" applyAlignment="1" applyProtection="1">
      <alignment horizontal="center" vertical="top" wrapText="1"/>
      <protection hidden="1"/>
    </xf>
    <xf numFmtId="0" fontId="7" fillId="5" borderId="13" xfId="0" applyFont="1" applyFill="1" applyBorder="1" applyAlignment="1" applyProtection="1">
      <alignment horizontal="center" vertical="top" wrapText="1"/>
      <protection hidden="1"/>
    </xf>
    <xf numFmtId="0" fontId="7" fillId="5" borderId="62" xfId="0" applyFont="1" applyFill="1" applyBorder="1" applyAlignment="1" applyProtection="1">
      <alignment horizontal="center" vertical="top" wrapText="1"/>
      <protection hidden="1"/>
    </xf>
    <xf numFmtId="166" fontId="4" fillId="13" borderId="61" xfId="0" applyNumberFormat="1" applyFont="1" applyFill="1" applyBorder="1" applyAlignment="1" applyProtection="1">
      <alignment horizontal="center" vertical="center"/>
      <protection hidden="1"/>
    </xf>
    <xf numFmtId="166" fontId="4" fillId="13" borderId="60" xfId="0" applyNumberFormat="1" applyFont="1" applyFill="1" applyBorder="1" applyAlignment="1" applyProtection="1">
      <alignment horizontal="center" vertical="center"/>
      <protection hidden="1"/>
    </xf>
    <xf numFmtId="0" fontId="31" fillId="8" borderId="6" xfId="0" applyFont="1" applyFill="1" applyBorder="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0" fontId="31" fillId="8" borderId="8" xfId="0" applyFont="1" applyFill="1" applyBorder="1" applyAlignment="1" applyProtection="1">
      <alignment horizontal="center" vertical="center" wrapText="1"/>
      <protection hidden="1"/>
    </xf>
    <xf numFmtId="0" fontId="7" fillId="5" borderId="57" xfId="0" applyFont="1" applyFill="1" applyBorder="1" applyAlignment="1" applyProtection="1">
      <alignment horizontal="center" vertical="top" wrapText="1"/>
      <protection hidden="1"/>
    </xf>
    <xf numFmtId="0" fontId="7" fillId="5" borderId="53" xfId="0" applyFont="1" applyFill="1" applyBorder="1" applyAlignment="1" applyProtection="1">
      <alignment horizontal="center" vertical="top" wrapText="1"/>
      <protection hidden="1"/>
    </xf>
    <xf numFmtId="0" fontId="58" fillId="8" borderId="2" xfId="0" applyFont="1" applyFill="1" applyBorder="1" applyAlignment="1" applyProtection="1">
      <alignment horizontal="center" vertical="center" wrapText="1"/>
      <protection hidden="1"/>
    </xf>
    <xf numFmtId="0" fontId="58" fillId="8" borderId="3" xfId="0" applyFont="1" applyFill="1" applyBorder="1" applyAlignment="1" applyProtection="1">
      <alignment horizontal="center" vertical="center" wrapText="1"/>
      <protection hidden="1"/>
    </xf>
    <xf numFmtId="0" fontId="58" fillId="8" borderId="4" xfId="0" applyFont="1" applyFill="1" applyBorder="1" applyAlignment="1" applyProtection="1">
      <alignment horizontal="center" vertical="center" wrapText="1"/>
      <protection hidden="1"/>
    </xf>
    <xf numFmtId="0" fontId="27" fillId="0" borderId="6"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8" xfId="0" applyFont="1" applyBorder="1" applyAlignment="1" applyProtection="1">
      <alignment horizontal="center" vertical="center" wrapText="1"/>
      <protection hidden="1"/>
    </xf>
    <xf numFmtId="169" fontId="18" fillId="6" borderId="28" xfId="0" applyNumberFormat="1" applyFont="1" applyFill="1" applyBorder="1" applyAlignment="1" applyProtection="1">
      <alignment horizontal="center" vertical="center" wrapText="1"/>
      <protection locked="0" hidden="1"/>
    </xf>
    <xf numFmtId="169" fontId="18" fillId="6" borderId="21" xfId="0" applyNumberFormat="1" applyFont="1" applyFill="1" applyBorder="1" applyAlignment="1" applyProtection="1">
      <alignment horizontal="center" vertical="center" wrapText="1"/>
      <protection locked="0" hidden="1"/>
    </xf>
    <xf numFmtId="0" fontId="4" fillId="2" borderId="0" xfId="0" applyFont="1" applyFill="1" applyAlignment="1" applyProtection="1">
      <alignment horizontal="center" vertical="center" wrapText="1"/>
      <protection hidden="1"/>
    </xf>
    <xf numFmtId="0" fontId="7" fillId="5" borderId="35" xfId="0" applyFont="1" applyFill="1" applyBorder="1" applyAlignment="1" applyProtection="1">
      <alignment horizontal="center" vertical="top" wrapText="1"/>
      <protection hidden="1"/>
    </xf>
    <xf numFmtId="0" fontId="7" fillId="5" borderId="33" xfId="0" applyFont="1" applyFill="1" applyBorder="1" applyAlignment="1" applyProtection="1">
      <alignment horizontal="center" vertical="top" wrapText="1"/>
      <protection hidden="1"/>
    </xf>
    <xf numFmtId="0" fontId="7" fillId="5" borderId="57" xfId="0" applyFont="1" applyFill="1" applyBorder="1" applyAlignment="1" applyProtection="1">
      <alignment horizontal="center" vertical="top"/>
      <protection hidden="1"/>
    </xf>
    <xf numFmtId="0" fontId="7" fillId="5" borderId="53" xfId="0" applyFont="1" applyFill="1" applyBorder="1" applyAlignment="1" applyProtection="1">
      <alignment horizontal="center" vertical="top"/>
      <protection hidden="1"/>
    </xf>
    <xf numFmtId="0" fontId="7" fillId="5" borderId="2" xfId="0" applyFont="1" applyFill="1" applyBorder="1" applyAlignment="1" applyProtection="1">
      <alignment horizontal="center" vertical="top" wrapText="1"/>
      <protection hidden="1"/>
    </xf>
    <xf numFmtId="0" fontId="11" fillId="5" borderId="66" xfId="0" applyFont="1" applyFill="1" applyBorder="1" applyAlignment="1" applyProtection="1">
      <alignment horizontal="center" vertical="center" wrapText="1"/>
      <protection hidden="1"/>
    </xf>
    <xf numFmtId="0" fontId="11" fillId="5" borderId="15" xfId="0" applyFont="1" applyFill="1" applyBorder="1" applyAlignment="1" applyProtection="1">
      <alignment horizontal="center" vertical="center" wrapText="1"/>
      <protection hidden="1"/>
    </xf>
    <xf numFmtId="0" fontId="11" fillId="5" borderId="18" xfId="0" applyFont="1" applyFill="1" applyBorder="1" applyAlignment="1" applyProtection="1">
      <alignment horizontal="center" vertical="center" wrapText="1"/>
      <protection hidden="1"/>
    </xf>
    <xf numFmtId="0" fontId="11" fillId="5" borderId="72" xfId="0" applyFont="1" applyFill="1" applyBorder="1" applyAlignment="1" applyProtection="1">
      <alignment horizontal="center" vertical="center" wrapText="1"/>
      <protection hidden="1"/>
    </xf>
    <xf numFmtId="0" fontId="11" fillId="5" borderId="64" xfId="0" applyFont="1" applyFill="1" applyBorder="1" applyAlignment="1" applyProtection="1">
      <alignment horizontal="center" vertical="center" wrapText="1"/>
      <protection hidden="1"/>
    </xf>
    <xf numFmtId="0" fontId="11" fillId="5" borderId="36" xfId="0" applyFont="1" applyFill="1" applyBorder="1" applyAlignment="1" applyProtection="1">
      <alignment horizontal="center" vertical="center" wrapText="1"/>
      <protection hidden="1"/>
    </xf>
    <xf numFmtId="0" fontId="31" fillId="4" borderId="39" xfId="0" applyFont="1" applyFill="1" applyBorder="1" applyAlignment="1" applyProtection="1">
      <alignment horizontal="center" vertical="center" wrapText="1"/>
      <protection hidden="1"/>
    </xf>
    <xf numFmtId="0" fontId="31" fillId="4" borderId="40" xfId="0" applyFont="1" applyFill="1" applyBorder="1" applyAlignment="1" applyProtection="1">
      <alignment horizontal="center" vertical="center" wrapText="1"/>
      <protection hidden="1"/>
    </xf>
    <xf numFmtId="0" fontId="31" fillId="4" borderId="41" xfId="0" applyFont="1" applyFill="1" applyBorder="1" applyAlignment="1" applyProtection="1">
      <alignment horizontal="center" vertical="center" wrapText="1"/>
      <protection hidden="1"/>
    </xf>
    <xf numFmtId="0" fontId="31" fillId="4" borderId="42" xfId="0" applyFont="1" applyFill="1" applyBorder="1" applyAlignment="1" applyProtection="1">
      <alignment horizontal="center" vertical="center" wrapText="1"/>
      <protection hidden="1"/>
    </xf>
    <xf numFmtId="0" fontId="31" fillId="4" borderId="43" xfId="0" applyFont="1" applyFill="1" applyBorder="1" applyAlignment="1" applyProtection="1">
      <alignment horizontal="center" vertical="center" wrapText="1"/>
      <protection hidden="1"/>
    </xf>
    <xf numFmtId="0" fontId="31" fillId="4" borderId="37" xfId="0" applyFont="1" applyFill="1" applyBorder="1" applyAlignment="1" applyProtection="1">
      <alignment horizontal="center" vertical="center" wrapText="1"/>
      <protection hidden="1"/>
    </xf>
    <xf numFmtId="169" fontId="18" fillId="19" borderId="22" xfId="0" applyNumberFormat="1" applyFont="1" applyFill="1" applyBorder="1" applyAlignment="1" applyProtection="1">
      <alignment horizontal="center" vertical="center" wrapText="1"/>
      <protection hidden="1"/>
    </xf>
    <xf numFmtId="14" fontId="18" fillId="19" borderId="22" xfId="0" applyNumberFormat="1" applyFont="1" applyFill="1" applyBorder="1" applyAlignment="1" applyProtection="1">
      <alignment horizontal="center" vertical="center" wrapText="1"/>
      <protection hidden="1"/>
    </xf>
    <xf numFmtId="14" fontId="18" fillId="19" borderId="20" xfId="0" applyNumberFormat="1" applyFont="1" applyFill="1" applyBorder="1" applyAlignment="1" applyProtection="1">
      <alignment horizontal="center" vertical="center" wrapText="1"/>
      <protection hidden="1"/>
    </xf>
    <xf numFmtId="0" fontId="31" fillId="4" borderId="2" xfId="0" applyFont="1" applyFill="1" applyBorder="1" applyAlignment="1" applyProtection="1">
      <alignment horizontal="center" vertical="center" wrapText="1"/>
      <protection hidden="1"/>
    </xf>
    <xf numFmtId="0" fontId="31" fillId="4" borderId="3" xfId="0" applyFont="1" applyFill="1" applyBorder="1" applyAlignment="1" applyProtection="1">
      <alignment horizontal="center" vertical="center" wrapText="1"/>
      <protection hidden="1"/>
    </xf>
    <xf numFmtId="0" fontId="31" fillId="4" borderId="4" xfId="0" applyFont="1" applyFill="1" applyBorder="1" applyAlignment="1" applyProtection="1">
      <alignment horizontal="center" vertical="center" wrapText="1"/>
      <protection hidden="1"/>
    </xf>
    <xf numFmtId="0" fontId="31" fillId="4" borderId="46" xfId="0" applyFont="1" applyFill="1" applyBorder="1" applyAlignment="1" applyProtection="1">
      <alignment horizontal="center" vertical="center" wrapText="1"/>
      <protection hidden="1"/>
    </xf>
    <xf numFmtId="0" fontId="31" fillId="4" borderId="5" xfId="0" applyFont="1" applyFill="1" applyBorder="1" applyAlignment="1" applyProtection="1">
      <alignment horizontal="center" vertical="center" wrapText="1"/>
      <protection hidden="1"/>
    </xf>
    <xf numFmtId="0" fontId="31" fillId="4" borderId="38" xfId="0" applyFont="1" applyFill="1" applyBorder="1" applyAlignment="1" applyProtection="1">
      <alignment horizontal="center" vertical="center" wrapText="1"/>
      <protection hidden="1"/>
    </xf>
    <xf numFmtId="0" fontId="20" fillId="4" borderId="46" xfId="0" applyFont="1" applyFill="1" applyBorder="1" applyAlignment="1" applyProtection="1">
      <alignment horizontal="center" vertical="center" wrapText="1"/>
      <protection hidden="1"/>
    </xf>
    <xf numFmtId="0" fontId="20" fillId="4" borderId="5" xfId="0" applyFont="1" applyFill="1" applyBorder="1" applyAlignment="1" applyProtection="1">
      <alignment horizontal="center" vertical="center" wrapText="1"/>
      <protection hidden="1"/>
    </xf>
    <xf numFmtId="0" fontId="4"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6" xfId="0" applyFont="1" applyFill="1" applyBorder="1" applyAlignment="1">
      <alignment horizontal="center" vertical="center"/>
    </xf>
    <xf numFmtId="0" fontId="14" fillId="8" borderId="5" xfId="0" applyFont="1" applyFill="1" applyBorder="1" applyAlignment="1">
      <alignment horizontal="center" vertical="center"/>
    </xf>
    <xf numFmtId="0" fontId="7" fillId="0" borderId="71" xfId="0" applyFont="1" applyBorder="1" applyAlignment="1">
      <alignment horizontal="center" vertical="center"/>
    </xf>
    <xf numFmtId="0" fontId="7" fillId="0" borderId="66" xfId="0" applyFont="1" applyBorder="1" applyAlignment="1">
      <alignment horizontal="center" vertical="center"/>
    </xf>
    <xf numFmtId="0" fontId="7" fillId="0" borderId="72" xfId="0" applyFont="1" applyBorder="1" applyAlignment="1">
      <alignment horizontal="center" vertical="center"/>
    </xf>
    <xf numFmtId="169" fontId="4" fillId="0" borderId="0" xfId="0" applyNumberFormat="1" applyFont="1" applyAlignment="1">
      <alignment horizontal="center" vertical="center"/>
    </xf>
    <xf numFmtId="0" fontId="7" fillId="0" borderId="0" xfId="0" applyFont="1" applyAlignment="1">
      <alignment horizontal="center" vertical="center"/>
    </xf>
    <xf numFmtId="0" fontId="4" fillId="0" borderId="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46" xfId="0" applyFont="1" applyBorder="1" applyAlignment="1" applyProtection="1">
      <alignment horizontal="center" vertical="center" wrapText="1"/>
      <protection hidden="1"/>
    </xf>
    <xf numFmtId="0" fontId="4" fillId="0" borderId="38" xfId="0" applyFont="1" applyBorder="1" applyAlignment="1" applyProtection="1">
      <alignment horizontal="center" vertical="center" wrapText="1"/>
      <protection hidden="1"/>
    </xf>
    <xf numFmtId="169" fontId="15" fillId="13" borderId="32" xfId="0" applyNumberFormat="1" applyFont="1" applyFill="1" applyBorder="1" applyAlignment="1">
      <alignment horizontal="center" vertical="center" wrapText="1"/>
    </xf>
    <xf numFmtId="169" fontId="15" fillId="13" borderId="42" xfId="0" applyNumberFormat="1" applyFont="1" applyFill="1" applyBorder="1" applyAlignment="1">
      <alignment horizontal="center" vertical="center" wrapText="1"/>
    </xf>
    <xf numFmtId="0" fontId="4" fillId="0" borderId="11" xfId="0" applyFont="1" applyBorder="1" applyAlignment="1">
      <alignment horizontal="center"/>
    </xf>
    <xf numFmtId="0" fontId="4" fillId="0" borderId="23" xfId="0" applyFont="1" applyBorder="1" applyAlignment="1">
      <alignment horizontal="center"/>
    </xf>
    <xf numFmtId="0" fontId="4" fillId="0" borderId="14" xfId="0" applyFont="1" applyBorder="1" applyAlignment="1">
      <alignment horizontal="center"/>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61" xfId="0" applyFont="1" applyFill="1" applyBorder="1" applyAlignment="1">
      <alignment horizontal="center" vertical="center" wrapText="1"/>
    </xf>
    <xf numFmtId="0" fontId="4" fillId="31" borderId="60" xfId="0" applyFont="1" applyFill="1" applyBorder="1" applyAlignment="1">
      <alignment horizontal="center" vertical="center" wrapText="1"/>
    </xf>
    <xf numFmtId="0" fontId="4" fillId="31" borderId="46" xfId="0" applyFont="1" applyFill="1" applyBorder="1" applyAlignment="1">
      <alignment horizontal="center" vertical="center"/>
    </xf>
    <xf numFmtId="0" fontId="4" fillId="31" borderId="5" xfId="0" applyFont="1" applyFill="1" applyBorder="1" applyAlignment="1">
      <alignment horizontal="center" vertical="center"/>
    </xf>
    <xf numFmtId="0" fontId="4" fillId="31" borderId="38" xfId="0" applyFont="1" applyFill="1" applyBorder="1" applyAlignment="1">
      <alignment horizontal="center" vertical="center"/>
    </xf>
    <xf numFmtId="169" fontId="54" fillId="2" borderId="7" xfId="0" applyNumberFormat="1" applyFont="1" applyFill="1" applyBorder="1" applyAlignment="1">
      <alignment horizontal="center" vertical="center"/>
    </xf>
    <xf numFmtId="169" fontId="54" fillId="2" borderId="8" xfId="0" applyNumberFormat="1" applyFont="1" applyFill="1" applyBorder="1" applyAlignment="1">
      <alignment horizontal="center" vertical="center"/>
    </xf>
    <xf numFmtId="0" fontId="35" fillId="18" borderId="39" xfId="0" applyFont="1" applyFill="1" applyBorder="1" applyAlignment="1" applyProtection="1">
      <alignment horizontal="center" vertical="center" wrapText="1"/>
      <protection hidden="1"/>
    </xf>
    <xf numFmtId="0" fontId="35" fillId="18" borderId="4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35" fillId="18" borderId="32" xfId="0" applyFont="1" applyFill="1" applyBorder="1" applyAlignment="1" applyProtection="1">
      <alignment horizontal="center" vertical="center" wrapText="1"/>
      <protection hidden="1"/>
    </xf>
    <xf numFmtId="0" fontId="35" fillId="18" borderId="9" xfId="0" applyFont="1" applyFill="1" applyBorder="1" applyAlignment="1" applyProtection="1">
      <alignment horizontal="center" vertical="center" wrapText="1"/>
      <protection hidden="1"/>
    </xf>
    <xf numFmtId="0" fontId="35" fillId="18" borderId="34" xfId="0" applyFont="1" applyFill="1" applyBorder="1" applyAlignment="1" applyProtection="1">
      <alignment horizontal="center" vertical="center" wrapText="1"/>
      <protection hidden="1"/>
    </xf>
    <xf numFmtId="0" fontId="54" fillId="0" borderId="9" xfId="0" applyFont="1" applyBorder="1" applyAlignment="1">
      <alignment horizontal="center"/>
    </xf>
    <xf numFmtId="0" fontId="54" fillId="0" borderId="11" xfId="0" applyFont="1" applyBorder="1" applyAlignment="1">
      <alignment horizontal="center"/>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5" fillId="0" borderId="0" xfId="0" applyFont="1" applyAlignment="1" applyProtection="1">
      <alignment horizontal="center" vertical="center" wrapText="1"/>
      <protection hidden="1"/>
    </xf>
    <xf numFmtId="0" fontId="36" fillId="0" borderId="0" xfId="0" applyFont="1" applyAlignment="1" applyProtection="1">
      <alignment horizontal="justify" vertical="center" wrapText="1"/>
      <protection hidden="1"/>
    </xf>
    <xf numFmtId="0" fontId="35" fillId="2" borderId="0" xfId="0"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69" fontId="35" fillId="0" borderId="0" xfId="0" applyNumberFormat="1" applyFont="1" applyAlignment="1" applyProtection="1">
      <alignment horizontal="left" vertical="center" wrapText="1"/>
      <protection hidden="1"/>
    </xf>
    <xf numFmtId="0" fontId="35" fillId="0" borderId="0" xfId="0" applyFont="1" applyAlignment="1" applyProtection="1">
      <alignment horizontal="right" vertical="center" wrapText="1"/>
      <protection hidden="1"/>
    </xf>
    <xf numFmtId="1" fontId="35"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locked="0" hidden="1"/>
    </xf>
    <xf numFmtId="0" fontId="36" fillId="0" borderId="0" xfId="0" applyFont="1" applyAlignment="1" applyProtection="1">
      <alignment horizontal="justify" vertical="justify" wrapText="1"/>
      <protection locked="0" hidden="1"/>
    </xf>
    <xf numFmtId="1" fontId="15" fillId="0" borderId="0" xfId="0" applyNumberFormat="1" applyFont="1" applyAlignment="1" applyProtection="1">
      <alignment horizontal="left" vertical="center" wrapText="1"/>
      <protection hidden="1"/>
    </xf>
    <xf numFmtId="0" fontId="63"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0" fontId="15" fillId="0" borderId="0" xfId="0" applyFont="1" applyAlignment="1" applyProtection="1">
      <alignment horizontal="left" vertical="center" wrapText="1"/>
      <protection hidden="1"/>
    </xf>
    <xf numFmtId="14" fontId="36" fillId="0" borderId="0" xfId="0" applyNumberFormat="1"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60" fillId="0" borderId="0" xfId="0" applyFont="1" applyAlignment="1" applyProtection="1">
      <alignment horizontal="center"/>
      <protection hidden="1"/>
    </xf>
    <xf numFmtId="0" fontId="60" fillId="0" borderId="0" xfId="0" applyFont="1" applyAlignment="1" applyProtection="1">
      <alignment horizontal="left" vertical="center" wrapText="1"/>
      <protection hidden="1"/>
    </xf>
    <xf numFmtId="14" fontId="62" fillId="0" borderId="0" xfId="0" applyNumberFormat="1" applyFont="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14" fontId="35" fillId="0" borderId="0" xfId="0" applyNumberFormat="1" applyFont="1" applyAlignment="1" applyProtection="1">
      <alignment horizontal="left" vertical="center" wrapText="1"/>
      <protection hidden="1"/>
    </xf>
    <xf numFmtId="171" fontId="35" fillId="0" borderId="0" xfId="0" applyNumberFormat="1" applyFont="1" applyAlignment="1" applyProtection="1">
      <alignment horizontal="center" vertical="center" wrapText="1"/>
      <protection hidden="1"/>
    </xf>
    <xf numFmtId="0" fontId="36" fillId="0" borderId="0" xfId="0" applyFont="1" applyAlignment="1" applyProtection="1">
      <alignment horizontal="justify" vertical="center" wrapText="1"/>
      <protection locked="0" hidden="1"/>
    </xf>
    <xf numFmtId="0" fontId="36" fillId="0" borderId="0" xfId="0" applyFont="1" applyAlignment="1" applyProtection="1">
      <alignment horizontal="justify" vertical="justify" wrapText="1"/>
      <protection hidden="1"/>
    </xf>
    <xf numFmtId="0" fontId="17" fillId="0" borderId="6"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66" fillId="0" borderId="39" xfId="0" applyFont="1" applyBorder="1" applyAlignment="1" applyProtection="1">
      <alignment horizontal="left" vertical="center" wrapText="1"/>
      <protection hidden="1"/>
    </xf>
    <xf numFmtId="0" fontId="66" fillId="0" borderId="40" xfId="0" applyFont="1" applyBorder="1" applyAlignment="1" applyProtection="1">
      <alignment horizontal="left" vertical="center" wrapText="1"/>
      <protection hidden="1"/>
    </xf>
    <xf numFmtId="0" fontId="77" fillId="0" borderId="31" xfId="0" applyFont="1" applyBorder="1" applyAlignment="1" applyProtection="1">
      <alignment horizontal="center" vertical="center" wrapText="1"/>
      <protection hidden="1"/>
    </xf>
    <xf numFmtId="0" fontId="77" fillId="0" borderId="47" xfId="0" applyFont="1" applyBorder="1" applyAlignment="1" applyProtection="1">
      <alignment horizontal="center" vertical="center" wrapText="1"/>
      <protection hidden="1"/>
    </xf>
    <xf numFmtId="14" fontId="66" fillId="0" borderId="40" xfId="0" applyNumberFormat="1" applyFont="1" applyBorder="1" applyAlignment="1" applyProtection="1">
      <alignment horizontal="center" vertical="center" wrapText="1"/>
      <protection hidden="1"/>
    </xf>
    <xf numFmtId="0" fontId="66" fillId="0" borderId="40" xfId="0" applyFont="1" applyBorder="1" applyAlignment="1" applyProtection="1">
      <alignment horizontal="center" vertical="center" wrapText="1"/>
      <protection hidden="1"/>
    </xf>
    <xf numFmtId="0" fontId="66" fillId="0" borderId="41" xfId="0" applyFont="1" applyBorder="1" applyAlignment="1" applyProtection="1">
      <alignment horizontal="center" vertical="center" wrapText="1"/>
      <protection hidden="1"/>
    </xf>
    <xf numFmtId="0" fontId="66" fillId="0" borderId="42" xfId="0" applyFont="1" applyBorder="1" applyAlignment="1" applyProtection="1">
      <alignment horizontal="left" vertical="center" wrapText="1"/>
      <protection hidden="1"/>
    </xf>
    <xf numFmtId="0" fontId="66" fillId="0" borderId="43" xfId="0" applyFont="1" applyBorder="1" applyAlignment="1" applyProtection="1">
      <alignment horizontal="left" vertical="center" wrapText="1"/>
      <protection hidden="1"/>
    </xf>
    <xf numFmtId="0" fontId="77" fillId="0" borderId="54" xfId="0" applyFont="1" applyBorder="1" applyAlignment="1" applyProtection="1">
      <alignment horizontal="center" vertical="center" wrapText="1"/>
      <protection hidden="1"/>
    </xf>
    <xf numFmtId="0" fontId="77" fillId="0" borderId="56" xfId="0" applyFont="1" applyBorder="1" applyAlignment="1" applyProtection="1">
      <alignment horizontal="center" vertical="center" wrapText="1"/>
      <protection hidden="1"/>
    </xf>
    <xf numFmtId="1" fontId="66" fillId="0" borderId="54" xfId="0" applyNumberFormat="1" applyFont="1" applyBorder="1" applyAlignment="1" applyProtection="1">
      <alignment horizontal="center" vertical="center" wrapText="1"/>
      <protection hidden="1"/>
    </xf>
    <xf numFmtId="1" fontId="66" fillId="0" borderId="56" xfId="0" applyNumberFormat="1"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66" fillId="0" borderId="37" xfId="0" applyFont="1" applyBorder="1" applyAlignment="1" applyProtection="1">
      <alignment horizontal="center" vertical="center" wrapText="1"/>
      <protection hidden="1"/>
    </xf>
    <xf numFmtId="0" fontId="66" fillId="0" borderId="5" xfId="0" applyFont="1" applyBorder="1" applyAlignment="1" applyProtection="1">
      <alignment horizontal="left" vertical="center" wrapText="1"/>
      <protection hidden="1"/>
    </xf>
    <xf numFmtId="0" fontId="66" fillId="0" borderId="32" xfId="0" applyFont="1" applyBorder="1" applyAlignment="1" applyProtection="1">
      <alignment horizontal="left" vertical="center" wrapText="1"/>
      <protection hidden="1"/>
    </xf>
    <xf numFmtId="0" fontId="66" fillId="0" borderId="9" xfId="0" applyFont="1" applyBorder="1" applyAlignment="1" applyProtection="1">
      <alignment horizontal="left" vertical="center" wrapText="1"/>
      <protection hidden="1"/>
    </xf>
    <xf numFmtId="0" fontId="77" fillId="0" borderId="11" xfId="0" applyFont="1" applyBorder="1" applyAlignment="1" applyProtection="1">
      <alignment horizontal="center" vertical="center" wrapText="1"/>
      <protection hidden="1"/>
    </xf>
    <xf numFmtId="0" fontId="77" fillId="0" borderId="14" xfId="0" applyFont="1" applyBorder="1" applyAlignment="1" applyProtection="1">
      <alignment horizontal="center" vertical="center" wrapText="1"/>
      <protection hidden="1"/>
    </xf>
    <xf numFmtId="1" fontId="66" fillId="0" borderId="9" xfId="0" applyNumberFormat="1" applyFont="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34" xfId="0" applyFont="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7" xfId="0" applyFont="1" applyFill="1" applyBorder="1" applyAlignment="1" applyProtection="1">
      <alignment horizontal="center" vertical="center" wrapText="1"/>
      <protection hidden="1"/>
    </xf>
    <xf numFmtId="172" fontId="66" fillId="0" borderId="2" xfId="0" applyNumberFormat="1" applyFont="1" applyBorder="1" applyAlignment="1" applyProtection="1">
      <alignment horizontal="center" vertical="center" wrapText="1"/>
      <protection hidden="1"/>
    </xf>
    <xf numFmtId="172" fontId="66" fillId="0" borderId="4" xfId="0" applyNumberFormat="1" applyFont="1" applyBorder="1" applyAlignment="1" applyProtection="1">
      <alignment horizontal="center" vertical="center" wrapText="1"/>
      <protection hidden="1"/>
    </xf>
    <xf numFmtId="172" fontId="66" fillId="0" borderId="10" xfId="0" applyNumberFormat="1" applyFont="1" applyBorder="1" applyAlignment="1" applyProtection="1">
      <alignment horizontal="center" vertical="center" wrapText="1"/>
      <protection hidden="1"/>
    </xf>
    <xf numFmtId="172" fontId="66" fillId="0" borderId="48" xfId="0" applyNumberFormat="1" applyFont="1" applyBorder="1" applyAlignment="1" applyProtection="1">
      <alignment horizontal="center" vertical="center" wrapText="1"/>
      <protection hidden="1"/>
    </xf>
    <xf numFmtId="172" fontId="66" fillId="0" borderId="46" xfId="0" applyNumberFormat="1" applyFont="1" applyBorder="1" applyAlignment="1" applyProtection="1">
      <alignment horizontal="center" vertical="center" wrapText="1"/>
      <protection hidden="1"/>
    </xf>
    <xf numFmtId="172" fontId="66" fillId="0" borderId="38" xfId="0" applyNumberFormat="1" applyFont="1" applyBorder="1" applyAlignment="1" applyProtection="1">
      <alignment horizontal="center" vertical="center" wrapText="1"/>
      <protection hidden="1"/>
    </xf>
    <xf numFmtId="187" fontId="66" fillId="0" borderId="3" xfId="0" applyNumberFormat="1" applyFont="1" applyBorder="1" applyAlignment="1" applyProtection="1">
      <alignment horizontal="center" vertical="center" wrapText="1"/>
      <protection hidden="1"/>
    </xf>
    <xf numFmtId="0" fontId="68" fillId="0" borderId="70" xfId="0" applyFont="1" applyBorder="1" applyAlignment="1" applyProtection="1">
      <alignment horizontal="center" vertical="center"/>
      <protection hidden="1"/>
    </xf>
    <xf numFmtId="0" fontId="68" fillId="0" borderId="69" xfId="0" applyFont="1" applyBorder="1" applyAlignment="1" applyProtection="1">
      <alignment horizontal="center" vertical="center"/>
      <protection hidden="1"/>
    </xf>
    <xf numFmtId="0" fontId="68" fillId="0" borderId="49" xfId="0" applyFont="1" applyBorder="1" applyAlignment="1" applyProtection="1">
      <alignment horizontal="center" vertical="center"/>
      <protection hidden="1"/>
    </xf>
    <xf numFmtId="176" fontId="66" fillId="0" borderId="3" xfId="0" applyNumberFormat="1" applyFont="1" applyBorder="1" applyAlignment="1" applyProtection="1">
      <alignment horizontal="center" vertical="center" wrapText="1"/>
      <protection hidden="1"/>
    </xf>
    <xf numFmtId="166" fontId="66" fillId="0" borderId="8" xfId="0" applyNumberFormat="1"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0" fontId="68" fillId="0" borderId="69" xfId="0" applyFont="1" applyBorder="1" applyAlignment="1" applyProtection="1">
      <alignment horizontal="center" vertical="center" wrapText="1"/>
      <protection hidden="1"/>
    </xf>
    <xf numFmtId="0" fontId="68" fillId="0" borderId="49" xfId="0" applyFont="1" applyBorder="1" applyAlignment="1" applyProtection="1">
      <alignment horizontal="center" vertical="center" wrapText="1"/>
      <protection hidden="1"/>
    </xf>
    <xf numFmtId="165" fontId="66" fillId="0" borderId="8"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165" fontId="66" fillId="0" borderId="6" xfId="0" applyNumberFormat="1"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36" fillId="2" borderId="0" xfId="0" applyFont="1" applyFill="1" applyAlignment="1" applyProtection="1">
      <alignment horizontal="justify" vertical="justify" wrapText="1"/>
      <protection hidden="1"/>
    </xf>
    <xf numFmtId="1" fontId="15" fillId="2" borderId="0" xfId="0" applyNumberFormat="1" applyFont="1" applyFill="1" applyAlignment="1" applyProtection="1">
      <alignment horizontal="left" vertical="center" wrapText="1"/>
      <protection hidden="1"/>
    </xf>
    <xf numFmtId="0" fontId="15" fillId="2" borderId="0" xfId="0" applyFont="1" applyFill="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37" fillId="0" borderId="9" xfId="0" applyFont="1" applyBorder="1" applyAlignment="1" applyProtection="1">
      <alignment horizontal="center" wrapText="1"/>
      <protection hidden="1"/>
    </xf>
    <xf numFmtId="0" fontId="35" fillId="0" borderId="0" xfId="0" applyFont="1" applyAlignment="1" applyProtection="1">
      <alignment horizontal="right"/>
      <protection hidden="1"/>
    </xf>
    <xf numFmtId="0" fontId="15" fillId="0" borderId="0" xfId="0" applyFont="1" applyAlignment="1" applyProtection="1">
      <alignment horizontal="center"/>
      <protection hidden="1"/>
    </xf>
    <xf numFmtId="0" fontId="35" fillId="0" borderId="13" xfId="0" applyFont="1" applyBorder="1" applyAlignment="1" applyProtection="1">
      <alignment horizontal="center"/>
      <protection hidden="1"/>
    </xf>
    <xf numFmtId="0" fontId="35" fillId="0" borderId="80" xfId="0" applyFont="1" applyBorder="1" applyAlignment="1" applyProtection="1">
      <alignment horizontal="center"/>
      <protection hidden="1"/>
    </xf>
    <xf numFmtId="0" fontId="35" fillId="0" borderId="0" xfId="0" applyFont="1" applyAlignment="1" applyProtection="1">
      <alignment horizontal="center"/>
      <protection hidden="1"/>
    </xf>
    <xf numFmtId="0" fontId="35" fillId="0" borderId="0" xfId="0" applyFont="1" applyAlignment="1" applyProtection="1">
      <alignment horizontal="center" vertical="center"/>
      <protection hidden="1"/>
    </xf>
    <xf numFmtId="0" fontId="70" fillId="0" borderId="80" xfId="0" applyFont="1" applyBorder="1" applyAlignment="1" applyProtection="1">
      <alignment horizontal="center"/>
      <protection hidden="1"/>
    </xf>
    <xf numFmtId="0" fontId="35" fillId="0" borderId="0" xfId="0" applyFont="1" applyAlignment="1" applyProtection="1">
      <alignment horizontal="left" vertical="justify" wrapText="1"/>
      <protection hidden="1"/>
    </xf>
    <xf numFmtId="0" fontId="35" fillId="0" borderId="0" xfId="0" applyFont="1" applyAlignment="1" applyProtection="1">
      <alignment horizontal="justify" vertical="justify" wrapText="1"/>
      <protection locked="0" hidden="1"/>
    </xf>
    <xf numFmtId="0" fontId="35" fillId="0" borderId="0" xfId="0" applyFont="1" applyAlignment="1" applyProtection="1">
      <alignment horizontal="left" vertical="center" wrapText="1"/>
      <protection locked="0" hidden="1"/>
    </xf>
    <xf numFmtId="0" fontId="37" fillId="0" borderId="0" xfId="0" applyFont="1" applyAlignment="1" applyProtection="1">
      <alignment horizontal="left" vertical="center" wrapText="1"/>
      <protection hidden="1"/>
    </xf>
  </cellXfs>
  <cellStyles count="12">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 name="Porcentaje" xfId="11" builtinId="5"/>
  </cellStyles>
  <dxfs count="17">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49000368"/>
        <c:axId val="348996840"/>
      </c:scatterChart>
      <c:valAx>
        <c:axId val="349000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8996840"/>
        <c:crosses val="autoZero"/>
        <c:crossBetween val="midCat"/>
      </c:valAx>
      <c:valAx>
        <c:axId val="348996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9000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General</c:formatCode>
                <c:ptCount val="3"/>
                <c:pt idx="0">
                  <c:v>32.9</c:v>
                </c:pt>
                <c:pt idx="1">
                  <c:v>55.6</c:v>
                </c:pt>
                <c:pt idx="2" formatCode="0.0">
                  <c:v>79</c:v>
                </c:pt>
              </c:numCache>
            </c:numRef>
          </c:xVal>
          <c:yVal>
            <c:numRef>
              <c:f>'DATOS ¬'!$H$110:$H$112</c:f>
              <c:numCache>
                <c:formatCode>General</c:formatCode>
                <c:ptCount val="3"/>
                <c:pt idx="0">
                  <c:v>-2.9</c:v>
                </c:pt>
                <c:pt idx="1">
                  <c:v>-0.6</c:v>
                </c:pt>
                <c:pt idx="2">
                  <c:v>1.9</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24532456"/>
        <c:axId val="424528928"/>
      </c:scatterChart>
      <c:valAx>
        <c:axId val="424532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28928"/>
        <c:crosses val="autoZero"/>
        <c:crossBetween val="midCat"/>
      </c:valAx>
      <c:valAx>
        <c:axId val="424528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2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¬'!$F$113:$F$115</c:f>
              <c:strCache>
                <c:ptCount val="3"/>
                <c:pt idx="0">
                  <c:v>499,801</c:v>
                </c:pt>
                <c:pt idx="1">
                  <c:v>752,296</c:v>
                </c:pt>
                <c:pt idx="2">
                  <c:v>1 099,608</c:v>
                </c:pt>
              </c:strCache>
            </c:strRef>
          </c:xVal>
          <c:yVal>
            <c:numRef>
              <c:f>'DATOS ¬'!$H$113:$H$115</c:f>
              <c:numCache>
                <c:formatCode>0.000</c:formatCode>
                <c:ptCount val="3"/>
                <c:pt idx="0" formatCode="#,##0.000">
                  <c:v>1.742</c:v>
                </c:pt>
                <c:pt idx="1">
                  <c:v>1.2150000000000001</c:v>
                </c:pt>
                <c:pt idx="2" formatCode="General">
                  <c:v>1.1379999999999999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24530104"/>
        <c:axId val="348998408"/>
      </c:scatterChart>
      <c:valAx>
        <c:axId val="4245301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8998408"/>
        <c:crosses val="autoZero"/>
        <c:crossBetween val="midCat"/>
      </c:valAx>
      <c:valAx>
        <c:axId val="348998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01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General">
                  <c:v>14.9</c:v>
                </c:pt>
                <c:pt idx="1">
                  <c:v>24.9</c:v>
                </c:pt>
                <c:pt idx="2">
                  <c:v>34.9</c:v>
                </c:pt>
              </c:numCache>
            </c:numRef>
          </c:xVal>
          <c:yVal>
            <c:numRef>
              <c:f>'DATOS ¬'!$H$118:$H$120</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25216464"/>
        <c:axId val="425216856"/>
      </c:scatterChart>
      <c:valAx>
        <c:axId val="425216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6856"/>
        <c:crosses val="autoZero"/>
        <c:crossBetween val="midCat"/>
      </c:valAx>
      <c:valAx>
        <c:axId val="425216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6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General</c:formatCode>
                <c:ptCount val="3"/>
                <c:pt idx="0">
                  <c:v>33.299999999999997</c:v>
                </c:pt>
                <c:pt idx="1">
                  <c:v>56.1</c:v>
                </c:pt>
                <c:pt idx="2" formatCode="0.0">
                  <c:v>82.1</c:v>
                </c:pt>
              </c:numCache>
            </c:numRef>
          </c:xVal>
          <c:yVal>
            <c:numRef>
              <c:f>'DATOS ¬'!$H$121:$H$123</c:f>
              <c:numCache>
                <c:formatCode>General</c:formatCode>
                <c:ptCount val="3"/>
                <c:pt idx="0">
                  <c:v>-3.3</c:v>
                </c:pt>
                <c:pt idx="1">
                  <c:v>-1.1000000000000001</c:v>
                </c:pt>
                <c:pt idx="2">
                  <c:v>-1.2</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25212152"/>
        <c:axId val="425217248"/>
      </c:scatterChart>
      <c:valAx>
        <c:axId val="425212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7248"/>
        <c:crosses val="autoZero"/>
        <c:crossBetween val="midCat"/>
      </c:valAx>
      <c:valAx>
        <c:axId val="425217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2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General</c:formatCode>
                <c:ptCount val="3"/>
                <c:pt idx="0" formatCode="0.000">
                  <c:v>399.84</c:v>
                </c:pt>
                <c:pt idx="1">
                  <c:v>752.29499999999996</c:v>
                </c:pt>
                <c:pt idx="2" formatCode="0.000">
                  <c:v>999.72299999999996</c:v>
                </c:pt>
              </c:numCache>
            </c:numRef>
          </c:xVal>
          <c:yVal>
            <c:numRef>
              <c:f>'DATOS ¬'!$H$124:$H$126</c:f>
              <c:numCache>
                <c:formatCode>0.000</c:formatCode>
                <c:ptCount val="3"/>
                <c:pt idx="0" formatCode="General">
                  <c:v>1.6759999999999999</c:v>
                </c:pt>
                <c:pt idx="1">
                  <c:v>0.81399999999999995</c:v>
                </c:pt>
                <c:pt idx="2" formatCode="General">
                  <c:v>0.54900000000000004</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25216072"/>
        <c:axId val="425217640"/>
      </c:scatterChart>
      <c:valAx>
        <c:axId val="425216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7640"/>
        <c:crosses val="autoZero"/>
        <c:crossBetween val="midCat"/>
      </c:valAx>
      <c:valAx>
        <c:axId val="4252176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6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14.003</c:v>
                </c:pt>
                <c:pt idx="1">
                  <c:v>16.012</c:v>
                </c:pt>
                <c:pt idx="2">
                  <c:v>17.021999999999998</c:v>
                </c:pt>
                <c:pt idx="3" formatCode="General">
                  <c:v>18.026</c:v>
                </c:pt>
                <c:pt idx="4">
                  <c:v>22.04</c:v>
                </c:pt>
              </c:numCache>
            </c:numRef>
          </c:xVal>
          <c:yVal>
            <c:numRef>
              <c:f>'DATOS ¬'!$H$38:$H$42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425210584"/>
        <c:axId val="425212544"/>
      </c:scatterChart>
      <c:valAx>
        <c:axId val="4252105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2544"/>
        <c:crosses val="autoZero"/>
        <c:crossBetween val="midCat"/>
      </c:valAx>
      <c:valAx>
        <c:axId val="425212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05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13.94</c:v>
                </c:pt>
                <c:pt idx="1">
                  <c:v>15.94</c:v>
                </c:pt>
                <c:pt idx="2">
                  <c:v>16.98</c:v>
                </c:pt>
                <c:pt idx="3">
                  <c:v>17.98</c:v>
                </c:pt>
                <c:pt idx="4">
                  <c:v>21.99</c:v>
                </c:pt>
              </c:numCache>
            </c:numRef>
          </c:xVal>
          <c:yVal>
            <c:numRef>
              <c:f>'DATOS ¬'!$H$44:$H$48</c:f>
              <c:numCache>
                <c:formatCode>General</c:formatCode>
                <c:ptCount val="5"/>
                <c:pt idx="0">
                  <c:v>0.03</c:v>
                </c:pt>
                <c:pt idx="1">
                  <c:v>0.02</c:v>
                </c:pt>
                <c:pt idx="2">
                  <c:v>0.02</c:v>
                </c:pt>
                <c:pt idx="3">
                  <c:v>0.01</c:v>
                </c:pt>
                <c:pt idx="4">
                  <c:v>0.01</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425218032"/>
        <c:axId val="425214504"/>
      </c:scatterChart>
      <c:valAx>
        <c:axId val="425218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4504"/>
        <c:crosses val="autoZero"/>
        <c:crossBetween val="midCat"/>
      </c:valAx>
      <c:valAx>
        <c:axId val="425214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8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425210976"/>
        <c:axId val="425211368"/>
      </c:scatterChart>
      <c:valAx>
        <c:axId val="425210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1368"/>
        <c:crosses val="autoZero"/>
        <c:crossBetween val="midCat"/>
      </c:valAx>
      <c:valAx>
        <c:axId val="425211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210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13.8</c:v>
                </c:pt>
                <c:pt idx="1">
                  <c:v>15.81</c:v>
                </c:pt>
                <c:pt idx="2">
                  <c:v>16.850000000000001</c:v>
                </c:pt>
                <c:pt idx="3">
                  <c:v>17.850000000000001</c:v>
                </c:pt>
                <c:pt idx="4">
                  <c:v>21.85</c:v>
                </c:pt>
              </c:numCache>
            </c:numRef>
          </c:xVal>
          <c:yVal>
            <c:numRef>
              <c:f>'DATOS ¬'!$H$56:$H$60</c:f>
              <c:numCache>
                <c:formatCode>0.00</c:formatCode>
                <c:ptCount val="5"/>
                <c:pt idx="0" formatCode="General">
                  <c:v>0.16</c:v>
                </c:pt>
                <c:pt idx="1">
                  <c:v>0.15</c:v>
                </c:pt>
                <c:pt idx="2">
                  <c:v>0.15</c:v>
                </c:pt>
                <c:pt idx="3" formatCode="General">
                  <c:v>0.15</c:v>
                </c:pt>
                <c:pt idx="4" formatCode="General">
                  <c:v>0.15</c:v>
                </c:pt>
              </c:numCache>
            </c:numRef>
          </c:yVal>
          <c:smooth val="0"/>
          <c:extLst xmlns:c16r2="http://schemas.microsoft.com/office/drawing/2015/06/char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425684504"/>
        <c:axId val="425680976"/>
      </c:scatterChart>
      <c:valAx>
        <c:axId val="425684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0976"/>
        <c:crosses val="autoZero"/>
        <c:crossBetween val="midCat"/>
      </c:valAx>
      <c:valAx>
        <c:axId val="425680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4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13.92</c:v>
                </c:pt>
                <c:pt idx="1">
                  <c:v>15.92</c:v>
                </c:pt>
                <c:pt idx="2">
                  <c:v>16.96</c:v>
                </c:pt>
                <c:pt idx="3">
                  <c:v>17.96</c:v>
                </c:pt>
                <c:pt idx="4">
                  <c:v>21.96</c:v>
                </c:pt>
              </c:numCache>
            </c:numRef>
          </c:xVal>
          <c:yVal>
            <c:numRef>
              <c:f>'DATOS ¬'!$H$50:$H$54</c:f>
              <c:numCache>
                <c:formatCode>General</c:formatCode>
                <c:ptCount val="5"/>
                <c:pt idx="0">
                  <c:v>0.04</c:v>
                </c:pt>
                <c:pt idx="1">
                  <c:v>0.04</c:v>
                </c:pt>
                <c:pt idx="2">
                  <c:v>0.04</c:v>
                </c:pt>
                <c:pt idx="3">
                  <c:v>0.04</c:v>
                </c:pt>
                <c:pt idx="4">
                  <c:v>0.04</c:v>
                </c:pt>
              </c:numCache>
            </c:numRef>
          </c:yVal>
          <c:smooth val="0"/>
          <c:extLst xmlns:c16r2="http://schemas.microsoft.com/office/drawing/2015/06/char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425682936"/>
        <c:axId val="425681368"/>
      </c:scatterChart>
      <c:valAx>
        <c:axId val="425682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1368"/>
        <c:crosses val="autoZero"/>
        <c:crossBetween val="midCat"/>
      </c:valAx>
      <c:valAx>
        <c:axId val="425681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2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49000760"/>
        <c:axId val="349001152"/>
      </c:scatterChart>
      <c:valAx>
        <c:axId val="349000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9001152"/>
        <c:crosses val="autoZero"/>
        <c:crossBetween val="midCat"/>
      </c:valAx>
      <c:valAx>
        <c:axId val="349001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9000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425686464"/>
        <c:axId val="425681760"/>
      </c:scatterChart>
      <c:valAx>
        <c:axId val="425686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1760"/>
        <c:crosses val="autoZero"/>
        <c:crossBetween val="midCat"/>
      </c:valAx>
      <c:valAx>
        <c:axId val="425681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6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425682152"/>
        <c:axId val="425683328"/>
      </c:scatterChart>
      <c:valAx>
        <c:axId val="425682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3328"/>
        <c:crosses val="autoZero"/>
        <c:crossBetween val="midCat"/>
      </c:valAx>
      <c:valAx>
        <c:axId val="425683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2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25683720"/>
        <c:axId val="425684112"/>
      </c:scatterChart>
      <c:valAx>
        <c:axId val="425683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4112"/>
        <c:crosses val="autoZero"/>
        <c:crossBetween val="midCat"/>
      </c:valAx>
      <c:valAx>
        <c:axId val="425684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3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25685288"/>
        <c:axId val="425686072"/>
      </c:scatterChart>
      <c:valAx>
        <c:axId val="425685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6072"/>
        <c:crosses val="autoZero"/>
        <c:crossBetween val="midCat"/>
      </c:valAx>
      <c:valAx>
        <c:axId val="425686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5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25680192"/>
        <c:axId val="425684896"/>
      </c:scatterChart>
      <c:valAx>
        <c:axId val="425680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4896"/>
        <c:crosses val="autoZero"/>
        <c:crossBetween val="midCat"/>
      </c:valAx>
      <c:valAx>
        <c:axId val="425684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5680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1-380D-4773-9381-2343EFCACBC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427530448"/>
        <c:axId val="427524568"/>
      </c:barChart>
      <c:catAx>
        <c:axId val="4275304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7524568"/>
        <c:crosses val="autoZero"/>
        <c:auto val="1"/>
        <c:lblAlgn val="ctr"/>
        <c:lblOffset val="100"/>
        <c:noMultiLvlLbl val="0"/>
      </c:catAx>
      <c:valAx>
        <c:axId val="427524568"/>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753044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General</c:formatCode>
                  <c:ptCount val="1"/>
                  <c:pt idx="0">
                    <c:v>#N/A</c:v>
                  </c:pt>
                </c:numCache>
              </c:numRef>
            </c:plus>
            <c:minus>
              <c:numRef>
                <c:f>'Pc ¬'!$F$5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xmlns:c16r2="http://schemas.microsoft.com/office/drawing/2015/06/char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427529272"/>
        <c:axId val="427529664"/>
      </c:lineChart>
      <c:catAx>
        <c:axId val="427529272"/>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27529664"/>
        <c:crosses val="autoZero"/>
        <c:auto val="1"/>
        <c:lblAlgn val="ctr"/>
        <c:lblOffset val="100"/>
        <c:noMultiLvlLbl val="0"/>
      </c:catAx>
      <c:valAx>
        <c:axId val="427529664"/>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275292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427524176"/>
        <c:axId val="427524960"/>
      </c:scatterChart>
      <c:valAx>
        <c:axId val="4275241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4960"/>
        <c:crosses val="autoZero"/>
        <c:crossBetween val="midCat"/>
      </c:valAx>
      <c:valAx>
        <c:axId val="427524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41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427527704"/>
        <c:axId val="427525352"/>
      </c:scatterChart>
      <c:valAx>
        <c:axId val="4275277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5352"/>
        <c:crosses val="autoZero"/>
        <c:crossBetween val="midCat"/>
      </c:valAx>
      <c:valAx>
        <c:axId val="427525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77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427528096"/>
        <c:axId val="427530840"/>
      </c:scatterChart>
      <c:valAx>
        <c:axId val="427528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30840"/>
        <c:crosses val="autoZero"/>
        <c:crossBetween val="midCat"/>
      </c:valAx>
      <c:valAx>
        <c:axId val="427530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8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General</c:formatCode>
                <c:ptCount val="3"/>
                <c:pt idx="0" formatCode="0.0">
                  <c:v>18</c:v>
                </c:pt>
                <c:pt idx="1">
                  <c:v>21.1</c:v>
                </c:pt>
                <c:pt idx="2" formatCode="0.0">
                  <c:v>24</c:v>
                </c:pt>
              </c:numCache>
            </c:numRef>
          </c:xVal>
          <c:yVal>
            <c:numRef>
              <c:f>'DATOS ¬'!$H$85:$H$87</c:f>
              <c:numCache>
                <c:formatCode>0.0</c:formatCode>
                <c:ptCount val="3"/>
                <c:pt idx="0">
                  <c:v>0</c:v>
                </c:pt>
                <c:pt idx="1">
                  <c:v>-0.1</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48994488"/>
        <c:axId val="348995664"/>
      </c:scatterChart>
      <c:valAx>
        <c:axId val="3489944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8995664"/>
        <c:crosses val="autoZero"/>
        <c:crossBetween val="midCat"/>
      </c:valAx>
      <c:valAx>
        <c:axId val="348995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89944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427526136"/>
        <c:axId val="427526528"/>
      </c:scatterChart>
      <c:valAx>
        <c:axId val="427526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6528"/>
        <c:crosses val="autoZero"/>
        <c:crossBetween val="midCat"/>
      </c:valAx>
      <c:valAx>
        <c:axId val="427526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6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427527312"/>
        <c:axId val="428210480"/>
      </c:scatterChart>
      <c:valAx>
        <c:axId val="427527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8210480"/>
        <c:crosses val="autoZero"/>
        <c:crossBetween val="midCat"/>
      </c:valAx>
      <c:valAx>
        <c:axId val="428210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7527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0-E713-4AD1-94E8-37C2C460B3B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428205776"/>
        <c:axId val="428209696"/>
      </c:barChart>
      <c:catAx>
        <c:axId val="4282057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8209696"/>
        <c:crosses val="autoZero"/>
        <c:auto val="1"/>
        <c:lblAlgn val="ctr"/>
        <c:lblOffset val="100"/>
        <c:noMultiLvlLbl val="0"/>
      </c:catAx>
      <c:valAx>
        <c:axId val="428209696"/>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8205776"/>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General</c:formatCode>
                  <c:ptCount val="1"/>
                  <c:pt idx="0">
                    <c:v>#N/A</c:v>
                  </c:pt>
                </c:numCache>
              </c:numRef>
            </c:plus>
            <c:minus>
              <c:numRef>
                <c:f>'Pc ¬'!$F$6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General</c:formatCode>
                <c:ptCount val="2"/>
                <c:pt idx="0" formatCode="0.00">
                  <c:v>#N/A</c:v>
                </c:pt>
              </c:numCache>
            </c:numRef>
          </c:val>
          <c:smooth val="0"/>
          <c:extLst xmlns:c16r2="http://schemas.microsoft.com/office/drawing/2015/06/char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428211264"/>
        <c:axId val="428206952"/>
      </c:lineChart>
      <c:catAx>
        <c:axId val="428211264"/>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28206952"/>
        <c:crosses val="autoZero"/>
        <c:auto val="1"/>
        <c:lblAlgn val="ctr"/>
        <c:lblOffset val="100"/>
        <c:noMultiLvlLbl val="0"/>
      </c:catAx>
      <c:valAx>
        <c:axId val="428206952"/>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282112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xmlns:c16r2="http://schemas.microsoft.com/office/drawing/2015/06/char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428206168"/>
        <c:axId val="428207344"/>
      </c:lineChart>
      <c:catAx>
        <c:axId val="428206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8207344"/>
        <c:crosses val="autoZero"/>
        <c:auto val="1"/>
        <c:lblAlgn val="ctr"/>
        <c:lblOffset val="100"/>
        <c:noMultiLvlLbl val="0"/>
      </c:catAx>
      <c:valAx>
        <c:axId val="428207344"/>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82061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General</c:formatCode>
                <c:ptCount val="3"/>
                <c:pt idx="0">
                  <c:v>33.6</c:v>
                </c:pt>
                <c:pt idx="1">
                  <c:v>55.8</c:v>
                </c:pt>
                <c:pt idx="2">
                  <c:v>78.400000000000006</c:v>
                </c:pt>
              </c:numCache>
            </c:numRef>
          </c:xVal>
          <c:yVal>
            <c:numRef>
              <c:f>'DATOS ¬'!$H$88:$H$90</c:f>
              <c:numCache>
                <c:formatCode>#,##0.0</c:formatCode>
                <c:ptCount val="3"/>
                <c:pt idx="0">
                  <c:v>-3.6</c:v>
                </c:pt>
                <c:pt idx="1">
                  <c:v>-0.8</c:v>
                </c:pt>
                <c:pt idx="2">
                  <c:v>2.5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48996448"/>
        <c:axId val="348998016"/>
      </c:scatterChart>
      <c:valAx>
        <c:axId val="348996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8998016"/>
        <c:crosses val="autoZero"/>
        <c:crossBetween val="midCat"/>
      </c:valAx>
      <c:valAx>
        <c:axId val="34899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48996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499.79599999999999</c:v>
                </c:pt>
                <c:pt idx="1">
                  <c:v>752.29499999999996</c:v>
                </c:pt>
                <c:pt idx="2">
                  <c:v>949.69299999999998</c:v>
                </c:pt>
              </c:numCache>
            </c:numRef>
          </c:xVal>
          <c:yVal>
            <c:numRef>
              <c:f>'DATOS ¬'!$H$91:$H$93</c:f>
              <c:numCache>
                <c:formatCode>#,##0.000</c:formatCode>
                <c:ptCount val="3"/>
                <c:pt idx="0">
                  <c:v>1.548</c:v>
                </c:pt>
                <c:pt idx="1">
                  <c:v>1.0489999999999999</c:v>
                </c:pt>
                <c:pt idx="2">
                  <c:v>0.82299999999999995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24532848"/>
        <c:axId val="424533240"/>
      </c:scatterChart>
      <c:valAx>
        <c:axId val="4245328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3240"/>
        <c:crosses val="autoZero"/>
        <c:crossBetween val="midCat"/>
      </c:valAx>
      <c:valAx>
        <c:axId val="4245332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28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0.0000</c:formatCode>
                <c:ptCount val="3"/>
                <c:pt idx="0" formatCode="0.0">
                  <c:v>10.3</c:v>
                </c:pt>
                <c:pt idx="1">
                  <c:v>20</c:v>
                </c:pt>
                <c:pt idx="2" formatCode="General">
                  <c:v>39.200000000000003</c:v>
                </c:pt>
              </c:numCache>
            </c:numRef>
          </c:xVal>
          <c:yVal>
            <c:numRef>
              <c:f>'DATOS ¬'!$H$96:$H$98</c:f>
              <c:numCache>
                <c:formatCode>0.0</c:formatCode>
                <c:ptCount val="3"/>
                <c:pt idx="0">
                  <c:v>0</c:v>
                </c:pt>
                <c:pt idx="1">
                  <c:v>0.1</c:v>
                </c:pt>
                <c:pt idx="2" formatCode="General">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24526576"/>
        <c:axId val="424530888"/>
      </c:scatterChart>
      <c:valAx>
        <c:axId val="424526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0888"/>
        <c:crosses val="autoZero"/>
        <c:crossBetween val="midCat"/>
      </c:valAx>
      <c:valAx>
        <c:axId val="4245308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26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General</c:formatCode>
                <c:ptCount val="3"/>
                <c:pt idx="0" formatCode="0.0">
                  <c:v>33.299999999999997</c:v>
                </c:pt>
                <c:pt idx="1">
                  <c:v>51.3</c:v>
                </c:pt>
                <c:pt idx="2">
                  <c:v>77.5</c:v>
                </c:pt>
              </c:numCache>
            </c:numRef>
          </c:xVal>
          <c:yVal>
            <c:numRef>
              <c:f>'DATOS ¬'!$H$99:$H$101</c:f>
              <c:numCache>
                <c:formatCode>General</c:formatCode>
                <c:ptCount val="3"/>
                <c:pt idx="0">
                  <c:v>-3.3</c:v>
                </c:pt>
                <c:pt idx="1">
                  <c:v>-1.4</c:v>
                </c:pt>
                <c:pt idx="2">
                  <c:v>2.5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24533632"/>
        <c:axId val="424534024"/>
      </c:scatterChart>
      <c:valAx>
        <c:axId val="424533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4024"/>
        <c:crosses val="autoZero"/>
        <c:crossBetween val="midCat"/>
      </c:valAx>
      <c:valAx>
        <c:axId val="424534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3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General</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24526968"/>
        <c:axId val="424531672"/>
      </c:scatterChart>
      <c:valAx>
        <c:axId val="4245269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1672"/>
        <c:crosses val="autoZero"/>
        <c:crossBetween val="midCat"/>
      </c:valAx>
      <c:valAx>
        <c:axId val="424531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269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0.0</c:formatCode>
                <c:ptCount val="3"/>
                <c:pt idx="0" formatCode="General">
                  <c:v>14.9</c:v>
                </c:pt>
                <c:pt idx="1">
                  <c:v>25</c:v>
                </c:pt>
                <c:pt idx="2">
                  <c:v>34.9</c:v>
                </c:pt>
              </c:numCache>
            </c:numRef>
          </c:xVal>
          <c:yVal>
            <c:numRef>
              <c:f>'DATOS ¬'!$H$107:$H$109</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24527360"/>
        <c:axId val="424531280"/>
      </c:scatterChart>
      <c:valAx>
        <c:axId val="424527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31280"/>
        <c:crosses val="autoZero"/>
        <c:crossBetween val="midCat"/>
      </c:valAx>
      <c:valAx>
        <c:axId val="4245312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24527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xmlns=""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xmlns=""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xmlns=""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xmlns=""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xmlns=""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xmlns=""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xmlns=""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xmlns=""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xmlns=""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xmlns=""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xmlns=""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xmlns=""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xmlns=""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xmlns=""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xmlns=""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xmlns=""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xmlns=""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xmlns=""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xmlns=""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3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3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3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3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3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3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3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3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3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3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3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3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3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3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3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3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3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3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3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3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3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3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3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3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3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3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xmlns="" id="{00000000-0008-0000-03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3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xmlns="" id="{00000000-0008-0000-03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xmlns="" id="{00000000-0008-0000-03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429101</xdr:colOff>
      <xdr:row>39</xdr:row>
      <xdr:rowOff>4396</xdr:rowOff>
    </xdr:to>
    <xdr:pic>
      <xdr:nvPicPr>
        <xdr:cNvPr id="2" name="Imagen 1">
          <a:extLst>
            <a:ext uri="{FF2B5EF4-FFF2-40B4-BE49-F238E27FC236}">
              <a16:creationId xmlns:a16="http://schemas.microsoft.com/office/drawing/2014/main" xmlns=""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xmlns=""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xmlns=""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xmlns=""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xmlns=""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xmlns=""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xmlns=""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xmlns=""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xmlns=""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xmlns=""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700-00000F000000}"/>
                </a:ext>
              </a:extLst>
            </xdr:cNvPr>
            <xdr:cNvSpPr txBox="1"/>
          </xdr:nvSpPr>
          <xdr:spPr>
            <a:xfrm>
              <a:off x="2410864" y="37638668"/>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410864" y="37638668"/>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429101</xdr:colOff>
      <xdr:row>39</xdr:row>
      <xdr:rowOff>4396</xdr:rowOff>
    </xdr:to>
    <xdr:pic>
      <xdr:nvPicPr>
        <xdr:cNvPr id="2" name="Imagen 1">
          <a:extLst>
            <a:ext uri="{FF2B5EF4-FFF2-40B4-BE49-F238E27FC236}">
              <a16:creationId xmlns:a16="http://schemas.microsoft.com/office/drawing/2014/main" xmlns=""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64383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82111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86649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xmlns=""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91176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xmlns=""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00049" y="196242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xmlns=""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200977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xmlns=""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5359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xmlns=""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10597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xmlns=""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5265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xmlns=""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76716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xmlns=""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29743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xmlns=""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19836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xmlns=""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24626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800-00000F000000}"/>
                </a:ext>
              </a:extLst>
            </xdr:cNvPr>
            <xdr:cNvSpPr txBox="1"/>
          </xdr:nvSpPr>
          <xdr:spPr>
            <a:xfrm>
              <a:off x="2314026" y="35389180"/>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700-00000F000000}"/>
                </a:ext>
              </a:extLst>
            </xdr:cNvPr>
            <xdr:cNvSpPr txBox="1"/>
          </xdr:nvSpPr>
          <xdr:spPr>
            <a:xfrm>
              <a:off x="2314026" y="35389180"/>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28"/>
  <sheetViews>
    <sheetView showGridLines="0" view="pageBreakPreview" topLeftCell="A7" zoomScale="60" zoomScaleNormal="50" workbookViewId="0">
      <selection activeCell="B22" sqref="B22"/>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219"/>
      <c r="B1" s="1220"/>
      <c r="C1" s="1220"/>
      <c r="D1" s="1221"/>
      <c r="E1" s="1231" t="s">
        <v>0</v>
      </c>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3"/>
      <c r="AJ1" s="136"/>
      <c r="AK1" s="136"/>
      <c r="AL1" s="136"/>
      <c r="AM1" s="136"/>
      <c r="AN1" s="136"/>
      <c r="AO1" s="136"/>
      <c r="AP1" s="136"/>
      <c r="AQ1" s="137"/>
      <c r="AR1" s="136"/>
      <c r="AS1" s="136"/>
      <c r="AT1" s="136"/>
      <c r="AU1" s="136"/>
      <c r="AV1" s="536"/>
      <c r="AW1" s="536"/>
      <c r="AX1" s="536"/>
      <c r="AY1" s="136"/>
      <c r="AZ1" s="136"/>
      <c r="BA1" s="136"/>
      <c r="BB1" s="136"/>
      <c r="BC1" s="136"/>
      <c r="BD1" s="136"/>
      <c r="BE1" s="136"/>
      <c r="BF1" s="136"/>
      <c r="BG1" s="136"/>
      <c r="BH1" s="136"/>
      <c r="BI1" s="136"/>
      <c r="BJ1" s="136"/>
      <c r="BK1" s="136"/>
      <c r="BL1" s="136"/>
      <c r="BM1" s="136"/>
      <c r="BN1" s="536"/>
      <c r="BO1" s="536"/>
      <c r="BP1" s="536"/>
      <c r="BQ1" s="536"/>
      <c r="BR1" s="536"/>
      <c r="BS1" s="536"/>
      <c r="BT1" s="536"/>
      <c r="BU1" s="536"/>
      <c r="BV1" s="536"/>
      <c r="BW1" s="536"/>
      <c r="BX1" s="536"/>
      <c r="BY1" s="536"/>
      <c r="BZ1" s="536"/>
      <c r="CA1" s="536"/>
      <c r="CB1" s="536"/>
      <c r="CC1" s="536"/>
      <c r="CD1" s="536"/>
      <c r="CE1" s="536"/>
      <c r="CF1" s="536"/>
      <c r="CG1" s="536"/>
      <c r="CH1" s="536"/>
      <c r="CI1" s="536"/>
      <c r="CJ1" s="536"/>
      <c r="CK1" s="536"/>
      <c r="CL1" s="536"/>
      <c r="CM1" s="536"/>
      <c r="CN1" s="536"/>
      <c r="CO1" s="536"/>
      <c r="CP1" s="536"/>
    </row>
    <row r="2" spans="1:94" ht="35.1" customHeight="1" x14ac:dyDescent="0.25">
      <c r="A2" s="536"/>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7"/>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row>
    <row r="3" spans="1:94" ht="35.1" customHeight="1" x14ac:dyDescent="0.25">
      <c r="A3" s="536"/>
      <c r="B3" s="536"/>
      <c r="C3" s="536"/>
      <c r="D3" s="536"/>
      <c r="E3" s="536"/>
      <c r="F3" s="536"/>
      <c r="G3" s="536"/>
      <c r="H3" s="536"/>
      <c r="I3" s="536"/>
      <c r="J3" s="536"/>
      <c r="K3" s="536"/>
      <c r="L3" s="536"/>
      <c r="M3" s="536"/>
      <c r="N3" s="536"/>
      <c r="O3" s="536"/>
      <c r="P3" s="536"/>
      <c r="Q3" s="536"/>
      <c r="R3" s="536"/>
      <c r="S3" s="536"/>
      <c r="T3" s="538"/>
      <c r="U3" s="536"/>
      <c r="V3" s="536"/>
      <c r="W3" s="536"/>
      <c r="X3" s="536"/>
      <c r="Y3" s="536"/>
      <c r="Z3" s="536"/>
      <c r="AA3" s="536"/>
      <c r="AB3" s="536"/>
      <c r="AC3" s="536"/>
      <c r="AD3" s="536"/>
      <c r="AE3" s="536"/>
      <c r="AF3" s="536"/>
      <c r="AG3" s="536"/>
      <c r="AH3" s="538"/>
      <c r="AI3" s="538"/>
      <c r="AJ3" s="538"/>
      <c r="AK3" s="538"/>
      <c r="AL3" s="538"/>
      <c r="AM3" s="538"/>
      <c r="AN3" s="538"/>
      <c r="AO3" s="538"/>
      <c r="AP3" s="538"/>
      <c r="AQ3" s="537"/>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row>
    <row r="4" spans="1:94" ht="30" customHeight="1" thickBot="1" x14ac:dyDescent="0.3">
      <c r="A4" s="536"/>
      <c r="B4" s="536"/>
      <c r="C4" s="536"/>
      <c r="D4" s="536"/>
      <c r="E4" s="536"/>
      <c r="F4" s="536"/>
      <c r="G4" s="536"/>
      <c r="H4" s="536"/>
      <c r="I4" s="536"/>
      <c r="J4" s="536"/>
      <c r="K4" s="536"/>
      <c r="L4" s="536"/>
      <c r="M4" s="536"/>
      <c r="N4" s="536"/>
      <c r="O4" s="536"/>
      <c r="P4" s="536"/>
      <c r="Q4" s="536"/>
      <c r="R4" s="536"/>
      <c r="S4" s="536"/>
      <c r="T4" s="538"/>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row>
    <row r="5" spans="1:94" ht="69.95" customHeight="1" thickBot="1" x14ac:dyDescent="0.25">
      <c r="A5" s="536"/>
      <c r="B5" s="536"/>
      <c r="C5" s="536"/>
      <c r="D5" s="1205" t="s">
        <v>1</v>
      </c>
      <c r="E5" s="1206"/>
      <c r="F5" s="1206"/>
      <c r="G5" s="1206"/>
      <c r="H5" s="1206"/>
      <c r="I5" s="1206"/>
      <c r="J5" s="1206"/>
      <c r="K5" s="1206"/>
      <c r="L5" s="1206"/>
      <c r="M5" s="1206"/>
      <c r="N5" s="1207"/>
      <c r="O5" s="536"/>
      <c r="P5" s="536"/>
      <c r="Q5" s="536"/>
      <c r="R5" s="536"/>
      <c r="S5" s="536"/>
      <c r="T5" s="538"/>
      <c r="U5" s="536"/>
      <c r="V5" s="536"/>
      <c r="W5" s="536"/>
      <c r="X5" s="536"/>
      <c r="Y5" s="536"/>
      <c r="Z5" s="536"/>
      <c r="AA5" s="536"/>
      <c r="AB5" s="536"/>
      <c r="AC5" s="536"/>
      <c r="AD5" s="539"/>
      <c r="AE5" s="536"/>
      <c r="AF5" s="536"/>
      <c r="AG5" s="536"/>
      <c r="AH5" s="536"/>
      <c r="AI5" s="536"/>
      <c r="AJ5" s="536"/>
      <c r="AK5" s="536"/>
      <c r="AL5" s="536"/>
      <c r="AM5" s="536"/>
      <c r="AN5" s="536"/>
      <c r="AO5" s="536"/>
      <c r="AP5" s="536"/>
      <c r="AQ5" s="537"/>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row>
    <row r="6" spans="1:94" ht="77.25" customHeight="1" thickBot="1" x14ac:dyDescent="0.3">
      <c r="A6" s="536"/>
      <c r="B6" s="536"/>
      <c r="C6" s="536"/>
      <c r="D6" s="140" t="s">
        <v>2</v>
      </c>
      <c r="E6" s="141" t="s">
        <v>634</v>
      </c>
      <c r="F6" s="142" t="s">
        <v>635</v>
      </c>
      <c r="G6" s="142" t="s">
        <v>4</v>
      </c>
      <c r="H6" s="142"/>
      <c r="I6" s="142" t="s">
        <v>5</v>
      </c>
      <c r="J6" s="142" t="s">
        <v>633</v>
      </c>
      <c r="K6" s="143" t="s">
        <v>6</v>
      </c>
      <c r="L6" s="143" t="s">
        <v>7</v>
      </c>
      <c r="M6" s="144" t="s">
        <v>8</v>
      </c>
      <c r="N6" s="144" t="s">
        <v>636</v>
      </c>
      <c r="O6" s="536"/>
      <c r="P6" s="536"/>
      <c r="Q6" s="536"/>
      <c r="R6" s="536"/>
      <c r="S6" s="536"/>
      <c r="T6" s="538"/>
      <c r="U6" s="538"/>
      <c r="V6" s="538"/>
      <c r="W6" s="538"/>
      <c r="X6" s="538"/>
      <c r="Y6" s="538"/>
      <c r="Z6" s="538"/>
      <c r="AA6" s="538"/>
      <c r="AB6" s="538"/>
      <c r="AC6" s="536"/>
      <c r="AD6" s="536"/>
      <c r="AE6" s="536"/>
      <c r="AF6" s="536"/>
      <c r="AG6" s="536"/>
      <c r="AH6" s="536"/>
      <c r="AI6" s="536"/>
      <c r="AJ6" s="536"/>
      <c r="AK6" s="536"/>
      <c r="AL6" s="536"/>
      <c r="AM6" s="536"/>
      <c r="AN6" s="536"/>
      <c r="AO6" s="536"/>
      <c r="AP6" s="536"/>
      <c r="AQ6" s="537"/>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145"/>
      <c r="BZ6" s="536"/>
      <c r="CA6" s="536"/>
      <c r="CB6" s="536"/>
      <c r="CC6" s="536"/>
      <c r="CD6" s="536"/>
      <c r="CE6" s="536"/>
      <c r="CF6" s="536"/>
      <c r="CG6" s="536"/>
      <c r="CH6" s="536"/>
      <c r="CI6" s="536"/>
      <c r="CJ6" s="536"/>
      <c r="CK6" s="536"/>
      <c r="CL6" s="536"/>
      <c r="CM6" s="536"/>
      <c r="CN6" s="536"/>
      <c r="CO6" s="536"/>
      <c r="CP6" s="536"/>
    </row>
    <row r="7" spans="1:94" ht="30" customHeight="1" thickBot="1" x14ac:dyDescent="0.25">
      <c r="A7" s="536"/>
      <c r="B7" s="536"/>
      <c r="C7" s="536"/>
      <c r="D7" s="540"/>
      <c r="E7" s="541"/>
      <c r="F7" s="541"/>
      <c r="G7" s="541"/>
      <c r="H7" s="542"/>
      <c r="I7" s="541"/>
      <c r="J7" s="541"/>
      <c r="K7" s="541"/>
      <c r="L7" s="541"/>
      <c r="M7" s="543"/>
      <c r="N7" s="544"/>
      <c r="O7" s="536"/>
      <c r="P7" s="1243" t="s">
        <v>9</v>
      </c>
      <c r="Q7" s="1244"/>
      <c r="R7" s="1244"/>
      <c r="S7" s="1244"/>
      <c r="T7" s="1244"/>
      <c r="U7" s="1245"/>
      <c r="V7" s="538"/>
      <c r="W7" s="538"/>
      <c r="X7" s="538"/>
      <c r="Y7" s="538"/>
      <c r="Z7" s="538"/>
      <c r="AA7" s="538"/>
      <c r="AB7" s="538"/>
      <c r="AC7" s="536"/>
      <c r="AD7" s="536"/>
      <c r="AE7" s="536"/>
      <c r="AF7" s="536"/>
      <c r="AG7" s="536"/>
      <c r="AH7" s="536"/>
      <c r="AI7" s="536"/>
      <c r="AJ7" s="536"/>
      <c r="AK7" s="536"/>
      <c r="AL7" s="536"/>
      <c r="AM7" s="536"/>
      <c r="AN7" s="536"/>
      <c r="AO7" s="536"/>
      <c r="AP7" s="536"/>
      <c r="AQ7" s="537"/>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c r="CH7" s="536"/>
      <c r="CI7" s="536"/>
      <c r="CJ7" s="536"/>
      <c r="CK7" s="536"/>
      <c r="CL7" s="536"/>
      <c r="CM7" s="536"/>
      <c r="CN7" s="536"/>
      <c r="CO7" s="536"/>
      <c r="CP7" s="536"/>
    </row>
    <row r="8" spans="1:94" ht="30" customHeight="1" thickBot="1" x14ac:dyDescent="0.25">
      <c r="A8" s="536"/>
      <c r="B8" s="536"/>
      <c r="C8" s="536"/>
      <c r="D8" s="403">
        <v>1</v>
      </c>
      <c r="E8" s="415"/>
      <c r="F8" s="488"/>
      <c r="G8" s="415" t="s">
        <v>664</v>
      </c>
      <c r="H8" s="415"/>
      <c r="I8" s="488"/>
      <c r="J8" s="489"/>
      <c r="K8" s="489"/>
      <c r="L8" s="489"/>
      <c r="M8" s="489">
        <f>E8</f>
        <v>0</v>
      </c>
      <c r="N8" s="490"/>
      <c r="O8" s="536"/>
      <c r="P8" s="146" t="s">
        <v>2</v>
      </c>
      <c r="Q8" s="1237" t="s">
        <v>11</v>
      </c>
      <c r="R8" s="1238"/>
      <c r="S8" s="1238"/>
      <c r="T8" s="1238"/>
      <c r="U8" s="1239"/>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36"/>
      <c r="BO8" s="536"/>
      <c r="BP8" s="536"/>
      <c r="BQ8" s="536"/>
      <c r="BR8" s="536"/>
      <c r="BS8" s="536"/>
      <c r="BT8" s="536"/>
      <c r="BU8" s="536"/>
      <c r="BV8" s="536"/>
      <c r="BW8" s="536"/>
      <c r="BX8" s="536"/>
      <c r="BY8" s="536"/>
      <c r="BZ8" s="536"/>
      <c r="CA8" s="536"/>
      <c r="CB8" s="536"/>
      <c r="CC8" s="536"/>
      <c r="CD8" s="536"/>
      <c r="CE8" s="536"/>
      <c r="CF8" s="536"/>
      <c r="CG8" s="536"/>
      <c r="CH8" s="536"/>
      <c r="CI8" s="536"/>
      <c r="CJ8" s="536"/>
      <c r="CK8" s="536"/>
      <c r="CL8" s="536"/>
      <c r="CM8" s="536"/>
      <c r="CN8" s="536"/>
      <c r="CO8" s="536"/>
      <c r="CP8" s="536"/>
    </row>
    <row r="9" spans="1:94" ht="30" customHeight="1" thickBot="1" x14ac:dyDescent="0.25">
      <c r="A9" s="536"/>
      <c r="B9" s="536"/>
      <c r="C9" s="536"/>
      <c r="D9" s="545"/>
      <c r="E9" s="387" t="s">
        <v>10</v>
      </c>
      <c r="F9" s="388"/>
      <c r="G9" s="387" t="s">
        <v>12</v>
      </c>
      <c r="H9" s="546"/>
      <c r="I9" s="547"/>
      <c r="J9" s="548"/>
      <c r="K9" s="549"/>
      <c r="L9" s="549"/>
      <c r="M9" s="548"/>
      <c r="N9" s="550"/>
      <c r="O9" s="536"/>
      <c r="P9" s="551"/>
      <c r="Q9" s="1246"/>
      <c r="R9" s="1247"/>
      <c r="S9" s="1240"/>
      <c r="T9" s="1241"/>
      <c r="U9" s="1242"/>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row>
    <row r="10" spans="1:94" ht="30" customHeight="1" thickBot="1" x14ac:dyDescent="0.25">
      <c r="A10" s="536"/>
      <c r="B10" s="536"/>
      <c r="C10" s="536"/>
      <c r="D10" s="552"/>
      <c r="E10" s="552"/>
      <c r="F10" s="553"/>
      <c r="G10" s="552"/>
      <c r="H10" s="553"/>
      <c r="I10" s="552"/>
      <c r="J10" s="552"/>
      <c r="K10" s="552"/>
      <c r="L10" s="552"/>
      <c r="M10" s="536"/>
      <c r="N10" s="536"/>
      <c r="O10" s="536"/>
      <c r="P10" s="554" t="s">
        <v>13</v>
      </c>
      <c r="Q10" s="555" t="s">
        <v>14</v>
      </c>
      <c r="R10" s="555"/>
      <c r="S10" s="555" t="s">
        <v>15</v>
      </c>
      <c r="T10" s="556"/>
      <c r="U10" s="557" t="s">
        <v>16</v>
      </c>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536"/>
      <c r="BN10" s="536"/>
      <c r="BO10" s="536"/>
      <c r="BP10" s="536"/>
      <c r="BQ10" s="536"/>
      <c r="BR10" s="536"/>
      <c r="BS10" s="536"/>
      <c r="BT10" s="536"/>
      <c r="BU10" s="536"/>
      <c r="BV10" s="536"/>
      <c r="BW10" s="536"/>
      <c r="BX10" s="536"/>
      <c r="BY10" s="536"/>
      <c r="BZ10" s="536"/>
      <c r="CA10" s="536"/>
      <c r="CB10" s="536"/>
      <c r="CC10" s="536"/>
      <c r="CD10" s="536"/>
      <c r="CE10" s="536"/>
      <c r="CF10" s="536"/>
      <c r="CG10" s="536"/>
      <c r="CH10" s="536"/>
      <c r="CI10" s="536"/>
      <c r="CJ10" s="536"/>
      <c r="CK10" s="536"/>
      <c r="CL10" s="536"/>
      <c r="CM10" s="536"/>
      <c r="CN10" s="536"/>
      <c r="CO10" s="536"/>
      <c r="CP10" s="536"/>
    </row>
    <row r="11" spans="1:94" ht="30" customHeight="1" x14ac:dyDescent="0.2">
      <c r="A11" s="536"/>
      <c r="B11" s="1208" t="s">
        <v>17</v>
      </c>
      <c r="C11" s="1209"/>
      <c r="D11" s="1209"/>
      <c r="E11" s="1209"/>
      <c r="F11" s="1209"/>
      <c r="G11" s="1209"/>
      <c r="H11" s="1209"/>
      <c r="I11" s="1209"/>
      <c r="J11" s="1209"/>
      <c r="K11" s="1209"/>
      <c r="L11" s="1209"/>
      <c r="M11" s="1209"/>
      <c r="N11" s="1210"/>
      <c r="O11" s="536"/>
      <c r="P11" s="558" t="s">
        <v>18</v>
      </c>
      <c r="Q11" s="559" t="s">
        <v>19</v>
      </c>
      <c r="R11" s="556"/>
      <c r="S11" s="555" t="s">
        <v>20</v>
      </c>
      <c r="T11" s="556"/>
      <c r="U11" s="557" t="s">
        <v>16</v>
      </c>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536"/>
      <c r="CM11" s="536"/>
      <c r="CN11" s="536"/>
      <c r="CO11" s="536"/>
      <c r="CP11" s="536"/>
    </row>
    <row r="12" spans="1:94" ht="30" customHeight="1" thickBot="1" x14ac:dyDescent="0.25">
      <c r="A12" s="536"/>
      <c r="B12" s="1211"/>
      <c r="C12" s="1212"/>
      <c r="D12" s="1212"/>
      <c r="E12" s="1212"/>
      <c r="F12" s="1212"/>
      <c r="G12" s="1212"/>
      <c r="H12" s="1212"/>
      <c r="I12" s="1212"/>
      <c r="J12" s="1212"/>
      <c r="K12" s="1212"/>
      <c r="L12" s="1212"/>
      <c r="M12" s="1212"/>
      <c r="N12" s="1213"/>
      <c r="O12" s="536"/>
      <c r="P12" s="560" t="s">
        <v>21</v>
      </c>
      <c r="Q12" s="561" t="s">
        <v>22</v>
      </c>
      <c r="R12" s="562"/>
      <c r="S12" s="563" t="s">
        <v>15</v>
      </c>
      <c r="T12" s="562"/>
      <c r="U12" s="564" t="s">
        <v>16</v>
      </c>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row>
    <row r="13" spans="1:94" ht="97.5" customHeight="1" thickBot="1" x14ac:dyDescent="0.25">
      <c r="A13" s="536"/>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636</v>
      </c>
      <c r="O13" s="538"/>
      <c r="P13" s="538"/>
      <c r="Q13" s="538"/>
      <c r="R13" s="538"/>
      <c r="S13" s="538"/>
      <c r="T13" s="538"/>
      <c r="U13" s="538"/>
      <c r="V13" s="538"/>
      <c r="W13" s="536"/>
      <c r="X13" s="536"/>
      <c r="Y13" s="536"/>
      <c r="Z13" s="538"/>
      <c r="AA13" s="538"/>
      <c r="AB13" s="538"/>
      <c r="AC13" s="536"/>
      <c r="AD13" s="536"/>
      <c r="AE13" s="536"/>
      <c r="AF13" s="536"/>
      <c r="AG13" s="536"/>
      <c r="AH13" s="536"/>
      <c r="AI13" s="536"/>
      <c r="AJ13" s="536"/>
      <c r="AK13" s="536"/>
      <c r="AL13" s="536"/>
      <c r="AM13" s="536"/>
      <c r="AN13" s="536"/>
      <c r="AO13" s="536"/>
      <c r="AP13" s="536"/>
      <c r="AQ13" s="537"/>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row>
    <row r="14" spans="1:94" ht="30" customHeight="1" thickBot="1" x14ac:dyDescent="0.3">
      <c r="A14" s="536"/>
      <c r="B14" s="540"/>
      <c r="C14" s="565"/>
      <c r="D14" s="565"/>
      <c r="E14" s="565"/>
      <c r="F14" s="565"/>
      <c r="G14" s="565"/>
      <c r="H14" s="218"/>
      <c r="I14" s="565"/>
      <c r="J14" s="89"/>
      <c r="K14" s="565"/>
      <c r="L14" s="565"/>
      <c r="M14" s="565"/>
      <c r="N14" s="566"/>
      <c r="O14" s="538"/>
      <c r="P14" s="538"/>
      <c r="Q14" s="538"/>
      <c r="R14" s="538"/>
      <c r="S14" s="539"/>
      <c r="T14" s="1234"/>
      <c r="U14" s="1234"/>
      <c r="V14" s="1234"/>
      <c r="W14" s="536"/>
      <c r="X14" s="536"/>
      <c r="Y14" s="536"/>
      <c r="Z14" s="538"/>
      <c r="AA14" s="538"/>
      <c r="AB14" s="538"/>
      <c r="AC14" s="536"/>
      <c r="AD14" s="536"/>
      <c r="AE14" s="536"/>
      <c r="AF14" s="536"/>
      <c r="AG14" s="536"/>
      <c r="AH14" s="536"/>
      <c r="AI14" s="536"/>
      <c r="AJ14" s="536"/>
      <c r="AK14" s="536"/>
      <c r="AL14" s="536"/>
      <c r="AM14" s="536"/>
      <c r="AN14" s="536"/>
      <c r="AO14" s="536"/>
      <c r="AP14" s="536"/>
      <c r="AQ14" s="537"/>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row>
    <row r="15" spans="1:94" ht="30" customHeight="1" thickBot="1" x14ac:dyDescent="0.3">
      <c r="A15" s="536"/>
      <c r="B15" s="558">
        <v>1</v>
      </c>
      <c r="C15" s="495"/>
      <c r="D15" s="496"/>
      <c r="E15" s="497"/>
      <c r="F15" s="567"/>
      <c r="G15" s="567"/>
      <c r="H15" s="568" t="e">
        <f>VLOOKUP(H14,'DATOS ¬'!Y59:AB64,4,FALSE)</f>
        <v>#N/A</v>
      </c>
      <c r="I15" s="568" t="e">
        <f>H15</f>
        <v>#N/A</v>
      </c>
      <c r="J15" s="569" t="e">
        <f>VLOOKUP(J14,'DATOS ¬'!AH59:AI62,2,FALSE)</f>
        <v>#N/A</v>
      </c>
      <c r="K15" s="570" t="e">
        <f>AVERAGE(K17:K19)</f>
        <v>#DIV/0!</v>
      </c>
      <c r="L15" s="571">
        <v>5.0000000000000001E-3</v>
      </c>
      <c r="M15" s="569">
        <v>9.9000000000000001E-6</v>
      </c>
      <c r="N15" s="572">
        <f>N8</f>
        <v>0</v>
      </c>
      <c r="O15" s="536"/>
      <c r="P15" s="538"/>
      <c r="Q15" s="538"/>
      <c r="R15" s="538"/>
      <c r="S15" s="536"/>
      <c r="T15" s="536"/>
      <c r="U15" s="538"/>
      <c r="V15" s="538"/>
      <c r="W15" s="538"/>
      <c r="X15" s="538"/>
      <c r="Y15" s="536"/>
      <c r="Z15" s="538"/>
      <c r="AA15" s="538"/>
      <c r="AB15" s="538"/>
      <c r="AC15" s="536"/>
      <c r="AD15" s="536"/>
      <c r="AE15" s="536"/>
      <c r="AF15" s="536"/>
      <c r="AG15" s="536"/>
      <c r="AH15" s="536"/>
      <c r="AI15" s="536"/>
      <c r="AJ15" s="536"/>
      <c r="AK15" s="536"/>
      <c r="AL15" s="536"/>
      <c r="AM15" s="536"/>
      <c r="AN15" s="536"/>
      <c r="AO15" s="536"/>
      <c r="AP15" s="536"/>
      <c r="AQ15" s="537"/>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row>
    <row r="16" spans="1:94" ht="30" customHeight="1" thickBot="1" x14ac:dyDescent="0.3">
      <c r="A16" s="536"/>
      <c r="B16" s="545"/>
      <c r="C16" s="548"/>
      <c r="D16" s="548"/>
      <c r="E16" s="548"/>
      <c r="F16" s="548"/>
      <c r="G16" s="548"/>
      <c r="H16" s="548"/>
      <c r="I16" s="548"/>
      <c r="J16" s="573"/>
      <c r="K16" s="574" t="s">
        <v>34</v>
      </c>
      <c r="L16" s="575"/>
      <c r="M16" s="548"/>
      <c r="N16" s="576"/>
      <c r="O16" s="538"/>
      <c r="P16" s="538"/>
      <c r="Q16" s="538"/>
      <c r="R16" s="538"/>
      <c r="S16" s="536"/>
      <c r="T16" s="536"/>
      <c r="U16" s="538"/>
      <c r="V16" s="538"/>
      <c r="W16" s="538"/>
      <c r="X16" s="538"/>
      <c r="Y16" s="536"/>
      <c r="Z16" s="538"/>
      <c r="AA16" s="538"/>
      <c r="AB16" s="538"/>
      <c r="AC16" s="536"/>
      <c r="AD16" s="536"/>
      <c r="AE16" s="536"/>
      <c r="AF16" s="536"/>
      <c r="AG16" s="536"/>
      <c r="AH16" s="536"/>
      <c r="AI16" s="536"/>
      <c r="AJ16" s="536"/>
      <c r="AK16" s="536"/>
      <c r="AL16" s="536"/>
      <c r="AM16" s="536"/>
      <c r="AN16" s="536"/>
      <c r="AO16" s="536"/>
      <c r="AP16" s="536"/>
      <c r="AQ16" s="537"/>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row>
    <row r="17" spans="1:58" ht="30" customHeight="1" thickBot="1" x14ac:dyDescent="0.3">
      <c r="A17" s="536"/>
      <c r="B17" s="536"/>
      <c r="C17" s="536"/>
      <c r="D17" s="552"/>
      <c r="E17" s="552"/>
      <c r="F17" s="553"/>
      <c r="G17" s="552"/>
      <c r="H17" s="553"/>
      <c r="I17" s="552"/>
      <c r="J17" s="552"/>
      <c r="K17" s="577"/>
      <c r="L17" s="552"/>
      <c r="M17" s="536"/>
      <c r="N17" s="536"/>
      <c r="O17" s="538"/>
      <c r="P17" s="538"/>
      <c r="Q17" s="538"/>
      <c r="R17" s="538"/>
      <c r="S17" s="536"/>
      <c r="T17" s="536"/>
      <c r="U17" s="538"/>
      <c r="V17" s="538"/>
      <c r="W17" s="538"/>
      <c r="X17" s="538"/>
      <c r="Y17" s="538"/>
      <c r="Z17" s="538"/>
      <c r="AA17" s="538"/>
      <c r="AB17" s="538"/>
      <c r="AC17" s="536"/>
      <c r="AD17" s="536"/>
      <c r="AE17" s="536"/>
      <c r="AF17" s="536"/>
      <c r="AG17" s="536"/>
      <c r="AH17" s="536"/>
      <c r="AI17" s="536"/>
      <c r="AJ17" s="536"/>
      <c r="AK17" s="536"/>
      <c r="AL17" s="536"/>
      <c r="AM17" s="536"/>
      <c r="AN17" s="536"/>
      <c r="AO17" s="536"/>
      <c r="AP17" s="536"/>
      <c r="AQ17" s="537"/>
      <c r="AR17" s="536"/>
      <c r="AS17" s="536"/>
      <c r="AT17" s="536"/>
      <c r="AU17" s="536"/>
      <c r="AV17" s="536"/>
      <c r="AW17" s="536"/>
      <c r="AX17" s="536"/>
      <c r="AY17" s="536"/>
      <c r="AZ17" s="536"/>
      <c r="BA17" s="536"/>
      <c r="BB17" s="536"/>
      <c r="BC17" s="536"/>
      <c r="BD17" s="536"/>
      <c r="BE17" s="536"/>
      <c r="BF17" s="536"/>
    </row>
    <row r="18" spans="1:58" ht="30" customHeight="1" thickBot="1" x14ac:dyDescent="0.3">
      <c r="A18" s="536"/>
      <c r="B18" s="536"/>
      <c r="C18" s="536"/>
      <c r="D18" s="552"/>
      <c r="E18" s="552"/>
      <c r="F18" s="553"/>
      <c r="G18" s="552"/>
      <c r="H18" s="553"/>
      <c r="I18" s="552"/>
      <c r="J18" s="552"/>
      <c r="K18" s="577"/>
      <c r="L18" s="552"/>
      <c r="M18" s="536"/>
      <c r="N18" s="536"/>
      <c r="O18" s="538"/>
      <c r="P18" s="538"/>
      <c r="Q18" s="538"/>
      <c r="R18" s="538"/>
      <c r="S18" s="536"/>
      <c r="T18" s="536"/>
      <c r="U18" s="538"/>
      <c r="V18" s="538"/>
      <c r="W18" s="538"/>
      <c r="X18" s="538"/>
      <c r="Y18" s="538"/>
      <c r="Z18" s="538"/>
      <c r="AA18" s="538"/>
      <c r="AB18" s="538"/>
      <c r="AC18" s="536"/>
      <c r="AD18" s="536"/>
      <c r="AE18" s="536"/>
      <c r="AF18" s="536"/>
      <c r="AG18" s="536"/>
      <c r="AH18" s="536"/>
      <c r="AI18" s="536"/>
      <c r="AJ18" s="536"/>
      <c r="AK18" s="536"/>
      <c r="AL18" s="536"/>
      <c r="AM18" s="536"/>
      <c r="AN18" s="536"/>
      <c r="AO18" s="536"/>
      <c r="AP18" s="536"/>
      <c r="AQ18" s="537"/>
      <c r="AR18" s="536"/>
      <c r="AS18" s="536"/>
      <c r="AT18" s="536"/>
      <c r="AU18" s="536"/>
      <c r="AV18" s="536"/>
      <c r="AW18" s="536"/>
      <c r="AX18" s="536"/>
      <c r="AY18" s="536"/>
      <c r="AZ18" s="536"/>
      <c r="BA18" s="536"/>
      <c r="BB18" s="536"/>
      <c r="BC18" s="536"/>
      <c r="BD18" s="536"/>
      <c r="BE18" s="536"/>
      <c r="BF18" s="536"/>
    </row>
    <row r="19" spans="1:58" ht="30" customHeight="1" thickBot="1" x14ac:dyDescent="0.3">
      <c r="A19" s="552"/>
      <c r="B19" s="552"/>
      <c r="C19" s="552"/>
      <c r="D19" s="552"/>
      <c r="E19" s="552"/>
      <c r="F19" s="552"/>
      <c r="G19" s="552"/>
      <c r="H19" s="552"/>
      <c r="I19" s="552"/>
      <c r="J19" s="552"/>
      <c r="K19" s="1070"/>
      <c r="L19" s="538"/>
      <c r="M19" s="538"/>
      <c r="N19" s="538"/>
      <c r="O19" s="538"/>
      <c r="P19" s="538"/>
      <c r="Q19" s="538"/>
      <c r="R19" s="538"/>
      <c r="S19" s="536"/>
      <c r="T19" s="536"/>
      <c r="U19" s="538"/>
      <c r="V19" s="538"/>
      <c r="W19" s="538"/>
      <c r="X19" s="538"/>
      <c r="Y19" s="538"/>
      <c r="Z19" s="538"/>
      <c r="AA19" s="538"/>
      <c r="AB19" s="538"/>
      <c r="AC19" s="536"/>
      <c r="AD19" s="536"/>
      <c r="AE19" s="536"/>
      <c r="AF19" s="536"/>
      <c r="AG19" s="536"/>
      <c r="AH19" s="536"/>
      <c r="AI19" s="536"/>
      <c r="AJ19" s="536"/>
      <c r="AK19" s="536"/>
      <c r="AL19" s="536"/>
      <c r="AM19" s="536"/>
      <c r="AN19" s="536"/>
      <c r="AO19" s="536"/>
      <c r="AP19" s="536"/>
      <c r="AQ19" s="537"/>
      <c r="AR19" s="536"/>
      <c r="AS19" s="536"/>
      <c r="AT19" s="536"/>
      <c r="AU19" s="536"/>
      <c r="AV19" s="536"/>
      <c r="AW19" s="536"/>
      <c r="AX19" s="536"/>
      <c r="AY19" s="536"/>
      <c r="AZ19" s="536"/>
      <c r="BA19" s="536"/>
      <c r="BB19" s="536"/>
      <c r="BC19" s="536"/>
      <c r="BD19" s="536"/>
      <c r="BE19" s="536"/>
      <c r="BF19" s="536"/>
    </row>
    <row r="20" spans="1:58" ht="30" customHeight="1" thickBot="1" x14ac:dyDescent="0.3">
      <c r="A20" s="536"/>
      <c r="B20" s="536"/>
      <c r="C20" s="536"/>
      <c r="D20" s="536"/>
      <c r="E20" s="536"/>
      <c r="F20" s="536"/>
      <c r="G20" s="536"/>
      <c r="H20" s="536"/>
      <c r="I20" s="536"/>
      <c r="J20" s="536"/>
      <c r="K20" s="537"/>
      <c r="L20" s="538"/>
      <c r="M20" s="538"/>
      <c r="N20" s="538"/>
      <c r="O20" s="538"/>
      <c r="P20" s="538"/>
      <c r="Q20" s="538"/>
      <c r="R20" s="538"/>
      <c r="S20" s="536"/>
      <c r="T20" s="536"/>
      <c r="U20" s="538"/>
      <c r="V20" s="538"/>
      <c r="W20" s="538"/>
      <c r="X20" s="538"/>
      <c r="Y20" s="538"/>
      <c r="Z20" s="538"/>
      <c r="AA20" s="538"/>
      <c r="AB20" s="538"/>
      <c r="AC20" s="536"/>
      <c r="AD20" s="536"/>
      <c r="AE20" s="536"/>
      <c r="AF20" s="536"/>
      <c r="AG20" s="536"/>
      <c r="AH20" s="536"/>
      <c r="AI20" s="536"/>
      <c r="AJ20" s="536"/>
      <c r="AK20" s="536"/>
      <c r="AL20" s="536"/>
      <c r="AM20" s="536"/>
      <c r="AN20" s="536"/>
      <c r="AO20" s="536"/>
      <c r="AP20" s="536"/>
      <c r="AQ20" s="537"/>
      <c r="AR20" s="536"/>
      <c r="AS20" s="536"/>
      <c r="AT20" s="536"/>
      <c r="AU20" s="536"/>
      <c r="AV20" s="536"/>
      <c r="AW20" s="536"/>
      <c r="AX20" s="536"/>
      <c r="AY20" s="536"/>
      <c r="AZ20" s="536"/>
      <c r="BA20" s="536"/>
      <c r="BB20" s="536"/>
      <c r="BC20" s="536"/>
      <c r="BD20" s="536"/>
      <c r="BE20" s="536"/>
      <c r="BF20" s="536"/>
    </row>
    <row r="21" spans="1:58" ht="30" customHeight="1" thickBot="1" x14ac:dyDescent="0.25">
      <c r="A21" s="578"/>
      <c r="B21" s="1214" t="s">
        <v>35</v>
      </c>
      <c r="C21" s="1217"/>
      <c r="D21" s="1217"/>
      <c r="E21" s="1217"/>
      <c r="F21" s="1217"/>
      <c r="G21" s="1217"/>
      <c r="H21" s="1217"/>
      <c r="I21" s="1217"/>
      <c r="J21" s="1217"/>
      <c r="K21" s="1217"/>
      <c r="L21" s="1217"/>
      <c r="M21" s="1217"/>
      <c r="N21" s="1217"/>
      <c r="O21" s="1218"/>
      <c r="P21" s="136"/>
      <c r="Q21" s="538"/>
      <c r="R21" s="538"/>
      <c r="S21" s="536"/>
      <c r="T21" s="536"/>
      <c r="U21" s="538"/>
      <c r="V21" s="538"/>
      <c r="W21" s="538"/>
      <c r="X21" s="538"/>
      <c r="Y21" s="538"/>
      <c r="Z21" s="538"/>
      <c r="AA21" s="538"/>
      <c r="AB21" s="538"/>
      <c r="AC21" s="536"/>
      <c r="AD21" s="536"/>
      <c r="AE21" s="536"/>
      <c r="AF21" s="536"/>
      <c r="AG21" s="536"/>
      <c r="AH21" s="536"/>
      <c r="AI21" s="536"/>
      <c r="AJ21" s="536"/>
      <c r="AK21" s="536"/>
      <c r="AL21" s="536"/>
      <c r="AM21" s="536"/>
      <c r="AN21" s="536"/>
      <c r="AO21" s="536"/>
      <c r="AP21" s="536"/>
      <c r="AQ21" s="537"/>
      <c r="AR21" s="536"/>
      <c r="AS21" s="536"/>
      <c r="AT21" s="536"/>
      <c r="AU21" s="536"/>
      <c r="AV21" s="536"/>
      <c r="AW21" s="536"/>
      <c r="AX21" s="536"/>
      <c r="AY21" s="536"/>
      <c r="AZ21" s="536"/>
      <c r="BA21" s="536"/>
      <c r="BB21" s="536"/>
      <c r="BC21" s="536"/>
      <c r="BD21" s="536"/>
      <c r="BE21" s="536"/>
      <c r="BF21" s="536"/>
    </row>
    <row r="22" spans="1:58" ht="30" customHeight="1" thickBot="1" x14ac:dyDescent="0.3">
      <c r="A22" s="578"/>
      <c r="B22" s="536"/>
      <c r="C22" s="536"/>
      <c r="D22" s="536"/>
      <c r="E22" s="536"/>
      <c r="F22" s="536"/>
      <c r="G22" s="536"/>
      <c r="H22" s="536"/>
      <c r="I22" s="536"/>
      <c r="J22" s="536"/>
      <c r="K22" s="537"/>
      <c r="L22" s="536"/>
      <c r="M22" s="536"/>
      <c r="N22" s="536"/>
      <c r="O22" s="538"/>
      <c r="P22" s="538"/>
      <c r="Q22" s="538"/>
      <c r="R22" s="538"/>
      <c r="S22" s="536"/>
      <c r="T22" s="536"/>
      <c r="U22" s="538"/>
      <c r="V22" s="538"/>
      <c r="W22" s="538"/>
      <c r="X22" s="538"/>
      <c r="Y22" s="538"/>
      <c r="Z22" s="538"/>
      <c r="AA22" s="538"/>
      <c r="AB22" s="538"/>
      <c r="AC22" s="536"/>
      <c r="AD22" s="536"/>
      <c r="AE22" s="536"/>
      <c r="AF22" s="536"/>
      <c r="AG22" s="536"/>
      <c r="AH22" s="536"/>
      <c r="AI22" s="536"/>
      <c r="AJ22" s="536"/>
      <c r="AK22" s="536"/>
      <c r="AL22" s="536"/>
      <c r="AM22" s="536"/>
      <c r="AN22" s="536"/>
      <c r="AO22" s="536"/>
      <c r="AP22" s="536"/>
      <c r="AQ22" s="537"/>
      <c r="AR22" s="536"/>
      <c r="AS22" s="536"/>
      <c r="AT22" s="536"/>
      <c r="AU22" s="536"/>
      <c r="AV22" s="536"/>
      <c r="AW22" s="536"/>
      <c r="AX22" s="536"/>
      <c r="AY22" s="536"/>
      <c r="AZ22" s="536"/>
      <c r="BA22" s="536"/>
      <c r="BB22" s="536"/>
      <c r="BC22" s="536"/>
      <c r="BD22" s="536"/>
      <c r="BE22" s="536"/>
      <c r="BF22" s="536"/>
    </row>
    <row r="23" spans="1:58" ht="80.25" customHeight="1" thickBot="1" x14ac:dyDescent="0.25">
      <c r="A23" s="578"/>
      <c r="B23" s="134" t="s">
        <v>36</v>
      </c>
      <c r="C23" s="263" t="s">
        <v>23</v>
      </c>
      <c r="D23" s="263" t="s">
        <v>24</v>
      </c>
      <c r="E23" s="263" t="s">
        <v>25</v>
      </c>
      <c r="F23" s="263" t="s">
        <v>37</v>
      </c>
      <c r="G23" s="263" t="s">
        <v>38</v>
      </c>
      <c r="H23" s="263" t="s">
        <v>39</v>
      </c>
      <c r="I23" s="263" t="s">
        <v>40</v>
      </c>
      <c r="J23" s="263" t="s">
        <v>41</v>
      </c>
      <c r="K23" s="264" t="s">
        <v>31</v>
      </c>
      <c r="L23" s="265" t="s">
        <v>42</v>
      </c>
      <c r="M23" s="194" t="s">
        <v>43</v>
      </c>
      <c r="N23" s="536"/>
      <c r="O23" s="536"/>
      <c r="P23" s="536"/>
      <c r="Q23" s="536"/>
      <c r="R23" s="538"/>
      <c r="S23" s="536"/>
      <c r="T23" s="536"/>
      <c r="U23" s="538"/>
      <c r="V23" s="538"/>
      <c r="W23" s="538"/>
      <c r="X23" s="538"/>
      <c r="Y23" s="538"/>
      <c r="Z23" s="538"/>
      <c r="AA23" s="538"/>
      <c r="AB23" s="538"/>
      <c r="AC23" s="536"/>
      <c r="AD23" s="536"/>
      <c r="AE23" s="536"/>
      <c r="AF23" s="536"/>
      <c r="AG23" s="536"/>
      <c r="AH23" s="536"/>
      <c r="AI23" s="536"/>
      <c r="AJ23" s="536"/>
      <c r="AK23" s="536"/>
      <c r="AL23" s="536"/>
      <c r="AM23" s="536"/>
      <c r="AN23" s="536"/>
      <c r="AO23" s="536"/>
      <c r="AP23" s="536"/>
      <c r="AQ23" s="537"/>
      <c r="AR23" s="536"/>
      <c r="AS23" s="536"/>
      <c r="AT23" s="536"/>
      <c r="AU23" s="536"/>
      <c r="AV23" s="536"/>
      <c r="AW23" s="536"/>
      <c r="AX23" s="536"/>
      <c r="AY23" s="536"/>
      <c r="AZ23" s="536"/>
      <c r="BA23" s="536"/>
      <c r="BB23" s="536"/>
      <c r="BC23" s="536"/>
      <c r="BD23" s="536"/>
      <c r="BE23" s="536"/>
      <c r="BF23" s="536"/>
    </row>
    <row r="24" spans="1:58" ht="30" customHeight="1" thickBot="1" x14ac:dyDescent="0.25">
      <c r="A24" s="578"/>
      <c r="B24" s="579"/>
      <c r="C24" s="580"/>
      <c r="D24" s="580"/>
      <c r="E24" s="580"/>
      <c r="F24" s="580"/>
      <c r="G24" s="580"/>
      <c r="H24" s="580"/>
      <c r="I24" s="580"/>
      <c r="J24" s="580"/>
      <c r="K24" s="581"/>
      <c r="L24" s="580"/>
      <c r="M24" s="582"/>
      <c r="N24" s="536"/>
      <c r="O24" s="536"/>
      <c r="P24" s="536"/>
      <c r="Q24" s="1222" t="s">
        <v>44</v>
      </c>
      <c r="R24" s="1223"/>
      <c r="S24" s="1223"/>
      <c r="T24" s="1223"/>
      <c r="U24" s="1223"/>
      <c r="V24" s="1223"/>
      <c r="W24" s="1224"/>
      <c r="X24" s="538"/>
      <c r="Y24" s="538"/>
      <c r="Z24" s="538"/>
      <c r="AA24" s="538"/>
      <c r="AB24" s="538"/>
      <c r="AC24" s="536"/>
      <c r="AD24" s="536"/>
      <c r="AE24" s="536"/>
      <c r="AF24" s="536"/>
      <c r="AG24" s="536"/>
      <c r="AH24" s="536"/>
      <c r="AI24" s="536"/>
      <c r="AJ24" s="536"/>
      <c r="AK24" s="536"/>
      <c r="AL24" s="536"/>
      <c r="AM24" s="536"/>
      <c r="AN24" s="536"/>
      <c r="AO24" s="536"/>
      <c r="AP24" s="536"/>
      <c r="AQ24" s="537"/>
      <c r="AR24" s="536"/>
      <c r="AS24" s="536"/>
      <c r="AT24" s="536"/>
      <c r="AU24" s="536"/>
      <c r="AV24" s="536"/>
      <c r="AW24" s="536"/>
      <c r="AX24" s="536"/>
      <c r="AY24" s="536"/>
      <c r="AZ24" s="536"/>
      <c r="BA24" s="536"/>
      <c r="BB24" s="536"/>
      <c r="BC24" s="536"/>
      <c r="BD24" s="536"/>
      <c r="BE24" s="536"/>
      <c r="BF24" s="536"/>
    </row>
    <row r="25" spans="1:58" ht="30" customHeight="1" thickBot="1" x14ac:dyDescent="0.25">
      <c r="A25" s="578"/>
      <c r="B25" s="150" t="s">
        <v>45</v>
      </c>
      <c r="C25" s="583" t="s">
        <v>46</v>
      </c>
      <c r="D25" s="583" t="s">
        <v>47</v>
      </c>
      <c r="E25" s="583" t="s">
        <v>48</v>
      </c>
      <c r="F25" s="584">
        <v>15.56</v>
      </c>
      <c r="G25" s="585">
        <v>5</v>
      </c>
      <c r="H25" s="586">
        <v>4.0967700000000002</v>
      </c>
      <c r="I25" s="586">
        <f>H25</f>
        <v>4.0967700000000002</v>
      </c>
      <c r="J25" s="583">
        <v>4.7700000000000001E-5</v>
      </c>
      <c r="K25" s="584">
        <f>(5.49+5.5+5.51)/3</f>
        <v>5.5</v>
      </c>
      <c r="L25" s="587">
        <v>5.0000000000000001E-3</v>
      </c>
      <c r="M25" s="588">
        <v>9.9000000000000001E-6</v>
      </c>
      <c r="N25" s="536"/>
      <c r="O25" s="536"/>
      <c r="P25" s="536"/>
      <c r="Q25" s="1225"/>
      <c r="R25" s="1226"/>
      <c r="S25" s="1226"/>
      <c r="T25" s="1226"/>
      <c r="U25" s="1226"/>
      <c r="V25" s="1226"/>
      <c r="W25" s="1227"/>
      <c r="X25" s="536"/>
      <c r="Y25" s="552"/>
      <c r="Z25" s="552"/>
      <c r="AA25" s="552"/>
      <c r="AB25" s="552"/>
      <c r="AC25" s="552"/>
      <c r="AD25" s="536"/>
      <c r="AE25" s="536"/>
      <c r="AF25" s="536"/>
      <c r="AG25" s="536"/>
      <c r="AH25" s="536"/>
      <c r="AI25" s="536"/>
      <c r="AJ25" s="536"/>
      <c r="AK25" s="536"/>
      <c r="AL25" s="536"/>
      <c r="AM25" s="536"/>
      <c r="AN25" s="536"/>
      <c r="AO25" s="536"/>
      <c r="AP25" s="536"/>
      <c r="AQ25" s="537"/>
      <c r="AR25" s="536"/>
      <c r="AS25" s="536"/>
      <c r="AT25" s="536"/>
      <c r="AU25" s="536"/>
      <c r="AV25" s="536"/>
      <c r="AW25" s="536"/>
      <c r="AX25" s="536"/>
      <c r="AY25" s="536"/>
      <c r="AZ25" s="536"/>
      <c r="BA25" s="536"/>
      <c r="BB25" s="536"/>
      <c r="BC25" s="536"/>
      <c r="BD25" s="536"/>
      <c r="BE25" s="536"/>
      <c r="BF25" s="536"/>
    </row>
    <row r="26" spans="1:58" ht="30" customHeight="1" thickBot="1" x14ac:dyDescent="0.25">
      <c r="A26" s="578"/>
      <c r="B26" s="151" t="s">
        <v>49</v>
      </c>
      <c r="C26" s="589" t="s">
        <v>46</v>
      </c>
      <c r="D26" s="590" t="s">
        <v>50</v>
      </c>
      <c r="E26" s="589" t="s">
        <v>51</v>
      </c>
      <c r="F26" s="591">
        <v>15.56</v>
      </c>
      <c r="G26" s="592">
        <v>5</v>
      </c>
      <c r="H26" s="593">
        <v>8.1935000000000002</v>
      </c>
      <c r="I26" s="589">
        <f>H26</f>
        <v>8.1935000000000002</v>
      </c>
      <c r="J26" s="589">
        <v>4.7700000000000001E-5</v>
      </c>
      <c r="K26" s="591">
        <f>(7.29+7.26+7.25)/3</f>
        <v>7.2666666666666666</v>
      </c>
      <c r="L26" s="594">
        <v>5.0000000000000001E-3</v>
      </c>
      <c r="M26" s="595">
        <f>M25</f>
        <v>9.9000000000000001E-6</v>
      </c>
      <c r="N26" s="536"/>
      <c r="O26" s="536"/>
      <c r="P26" s="536"/>
      <c r="Q26" s="596"/>
      <c r="R26" s="597" t="s">
        <v>52</v>
      </c>
      <c r="S26" s="597" t="s">
        <v>53</v>
      </c>
      <c r="T26" s="597" t="s">
        <v>54</v>
      </c>
      <c r="U26" s="597" t="s">
        <v>55</v>
      </c>
      <c r="V26" s="597" t="s">
        <v>56</v>
      </c>
      <c r="W26" s="598" t="s">
        <v>57</v>
      </c>
      <c r="X26" s="536"/>
      <c r="Y26" s="552"/>
      <c r="Z26" s="552"/>
      <c r="AA26" s="552"/>
      <c r="AB26" s="552"/>
      <c r="AC26" s="552"/>
      <c r="AD26" s="536"/>
      <c r="AE26" s="536"/>
      <c r="AF26" s="536"/>
      <c r="AG26" s="536"/>
      <c r="AH26" s="536"/>
      <c r="AI26" s="536"/>
      <c r="AJ26" s="536"/>
      <c r="AK26" s="536"/>
      <c r="AL26" s="536"/>
      <c r="AM26" s="536"/>
      <c r="AN26" s="536"/>
      <c r="AO26" s="536"/>
      <c r="AP26" s="536"/>
      <c r="AQ26" s="537"/>
      <c r="AR26" s="536"/>
      <c r="AS26" s="536"/>
      <c r="AT26" s="536"/>
      <c r="AU26" s="536"/>
      <c r="AV26" s="536"/>
      <c r="AW26" s="536"/>
      <c r="AX26" s="536"/>
      <c r="AY26" s="536"/>
      <c r="AZ26" s="536"/>
      <c r="BA26" s="536"/>
      <c r="BB26" s="536"/>
      <c r="BC26" s="536"/>
      <c r="BD26" s="536"/>
      <c r="BE26" s="536"/>
      <c r="BF26" s="536"/>
    </row>
    <row r="27" spans="1:58" ht="38.1" customHeight="1" thickBot="1" x14ac:dyDescent="0.3">
      <c r="A27" s="578"/>
      <c r="B27" s="536"/>
      <c r="C27" s="536"/>
      <c r="D27" s="536"/>
      <c r="E27" s="536"/>
      <c r="F27" s="536"/>
      <c r="G27" s="536"/>
      <c r="H27" s="536"/>
      <c r="I27" s="536"/>
      <c r="J27" s="536"/>
      <c r="K27" s="537"/>
      <c r="L27" s="536"/>
      <c r="M27" s="536"/>
      <c r="N27" s="536"/>
      <c r="O27" s="538"/>
      <c r="P27" s="538"/>
      <c r="Q27" s="213" t="s">
        <v>58</v>
      </c>
      <c r="R27" s="599" t="e">
        <f>'Máx. y Mín ¬'!D11</f>
        <v>#N/A</v>
      </c>
      <c r="S27" s="599" t="e">
        <f>'Máx. y Mín ¬'!D12</f>
        <v>#N/A</v>
      </c>
      <c r="T27" s="599" t="e">
        <f>'Máx. y Mín ¬'!E11</f>
        <v>#N/A</v>
      </c>
      <c r="U27" s="599" t="e">
        <f>'Máx. y Mín ¬'!E12</f>
        <v>#N/A</v>
      </c>
      <c r="V27" s="599" t="e">
        <f>'Máx. y Mín ¬'!F11</f>
        <v>#N/A</v>
      </c>
      <c r="W27" s="600" t="e">
        <f>'Máx. y Mín ¬'!F12</f>
        <v>#N/A</v>
      </c>
      <c r="X27" s="536"/>
      <c r="Y27" s="538"/>
      <c r="Z27" s="538"/>
      <c r="AA27" s="538"/>
      <c r="AB27" s="552"/>
      <c r="AC27" s="552"/>
      <c r="AD27" s="536"/>
      <c r="AE27" s="536"/>
      <c r="AF27" s="536"/>
      <c r="AG27" s="536"/>
      <c r="AH27" s="536"/>
      <c r="AI27" s="536"/>
      <c r="AJ27" s="536"/>
      <c r="AK27" s="536"/>
      <c r="AL27" s="536"/>
      <c r="AM27" s="536"/>
      <c r="AN27" s="536"/>
      <c r="AO27" s="536"/>
      <c r="AP27" s="536"/>
      <c r="AQ27" s="537"/>
      <c r="AR27" s="536"/>
      <c r="AS27" s="536"/>
      <c r="AT27" s="536"/>
      <c r="AU27" s="536"/>
      <c r="AV27" s="536"/>
      <c r="AW27" s="536"/>
      <c r="AX27" s="536"/>
      <c r="AY27" s="536"/>
      <c r="AZ27" s="536"/>
      <c r="BA27" s="536"/>
      <c r="BB27" s="536"/>
      <c r="BC27" s="536"/>
      <c r="BD27" s="536"/>
      <c r="BE27" s="536"/>
      <c r="BF27" s="536"/>
    </row>
    <row r="28" spans="1:58" ht="50.45" customHeight="1" thickBot="1" x14ac:dyDescent="0.25">
      <c r="A28" s="578"/>
      <c r="B28" s="1214" t="s">
        <v>59</v>
      </c>
      <c r="C28" s="1215"/>
      <c r="D28" s="1215"/>
      <c r="E28" s="1215"/>
      <c r="F28" s="1215"/>
      <c r="G28" s="1215"/>
      <c r="H28" s="1215"/>
      <c r="I28" s="1215"/>
      <c r="J28" s="1215"/>
      <c r="K28" s="1215"/>
      <c r="L28" s="1215"/>
      <c r="M28" s="1215"/>
      <c r="N28" s="1215"/>
      <c r="O28" s="1216"/>
      <c r="P28" s="536"/>
      <c r="Q28" s="214" t="s">
        <v>60</v>
      </c>
      <c r="R28" s="601" t="e">
        <f>'Máx. y Mín ¬'!J11</f>
        <v>#N/A</v>
      </c>
      <c r="S28" s="601" t="e">
        <f>'Máx. y Mín ¬'!J12</f>
        <v>#N/A</v>
      </c>
      <c r="T28" s="602" t="e">
        <f>'Máx. y Mín ¬'!K11</f>
        <v>#N/A</v>
      </c>
      <c r="U28" s="602" t="e">
        <f>'Máx. y Mín ¬'!K12</f>
        <v>#N/A</v>
      </c>
      <c r="V28" s="602" t="e">
        <f>'Máx. y Mín ¬'!L11</f>
        <v>#N/A</v>
      </c>
      <c r="W28" s="603" t="e">
        <f>'Máx. y Mín ¬'!L12</f>
        <v>#N/A</v>
      </c>
      <c r="X28" s="536"/>
      <c r="Y28" s="538"/>
      <c r="Z28" s="538"/>
      <c r="AA28" s="538"/>
      <c r="AB28" s="552"/>
      <c r="AC28" s="552"/>
      <c r="AD28" s="536"/>
      <c r="AE28" s="536"/>
      <c r="AF28" s="536"/>
      <c r="AG28" s="536"/>
      <c r="AH28" s="536"/>
      <c r="AI28" s="536"/>
      <c r="AJ28" s="536"/>
      <c r="AK28" s="536"/>
      <c r="AL28" s="536"/>
      <c r="AM28" s="536"/>
      <c r="AN28" s="536"/>
      <c r="AO28" s="536"/>
      <c r="AP28" s="536"/>
      <c r="AQ28" s="537"/>
      <c r="AR28" s="536"/>
      <c r="AS28" s="536"/>
      <c r="AT28" s="536"/>
      <c r="AU28" s="536"/>
      <c r="AV28" s="536"/>
      <c r="AW28" s="536"/>
      <c r="AX28" s="536"/>
      <c r="AY28" s="536"/>
      <c r="AZ28" s="536"/>
      <c r="BA28" s="536"/>
      <c r="BB28" s="536"/>
      <c r="BC28" s="536"/>
      <c r="BD28" s="536"/>
      <c r="BE28" s="536"/>
      <c r="BF28" s="536"/>
    </row>
    <row r="29" spans="1:58" ht="60" customHeight="1" thickBot="1" x14ac:dyDescent="0.25">
      <c r="A29" s="578"/>
      <c r="B29" s="1228" t="s">
        <v>61</v>
      </c>
      <c r="C29" s="57" t="s">
        <v>36</v>
      </c>
      <c r="D29" s="37" t="s">
        <v>23</v>
      </c>
      <c r="E29" s="37" t="s">
        <v>62</v>
      </c>
      <c r="F29" s="1128" t="s">
        <v>63</v>
      </c>
      <c r="G29" s="37" t="s">
        <v>64</v>
      </c>
      <c r="H29" s="37" t="s">
        <v>65</v>
      </c>
      <c r="I29" s="37" t="s">
        <v>66</v>
      </c>
      <c r="J29" s="37" t="s">
        <v>67</v>
      </c>
      <c r="K29" s="152" t="s">
        <v>68</v>
      </c>
      <c r="L29" s="37" t="s">
        <v>69</v>
      </c>
      <c r="M29" s="37" t="s">
        <v>70</v>
      </c>
      <c r="N29" s="37" t="s">
        <v>71</v>
      </c>
      <c r="O29" s="153" t="s">
        <v>72</v>
      </c>
      <c r="P29" s="536"/>
      <c r="Q29" s="536"/>
      <c r="R29" s="538"/>
      <c r="S29" s="154"/>
      <c r="T29" s="154"/>
      <c r="U29" s="154"/>
      <c r="V29" s="538"/>
      <c r="W29" s="538"/>
      <c r="X29" s="536"/>
      <c r="Y29" s="538"/>
      <c r="Z29" s="538"/>
      <c r="AA29" s="538"/>
      <c r="AB29" s="552"/>
      <c r="AC29" s="552"/>
      <c r="AD29" s="536"/>
      <c r="AE29" s="536"/>
      <c r="AF29" s="536"/>
      <c r="AG29" s="536"/>
      <c r="AH29" s="536"/>
      <c r="AI29" s="536"/>
      <c r="AJ29" s="536"/>
      <c r="AK29" s="536"/>
      <c r="AL29" s="536"/>
      <c r="AM29" s="536"/>
      <c r="AN29" s="536"/>
      <c r="AO29" s="536"/>
      <c r="AP29" s="536"/>
      <c r="AQ29" s="537"/>
      <c r="AR29" s="536"/>
      <c r="AS29" s="536"/>
      <c r="AT29" s="536"/>
      <c r="AU29" s="536"/>
      <c r="AV29" s="536"/>
      <c r="AW29" s="536"/>
      <c r="AX29" s="536"/>
      <c r="AY29" s="536"/>
      <c r="AZ29" s="536"/>
      <c r="BA29" s="536"/>
      <c r="BB29" s="536"/>
      <c r="BC29" s="536"/>
      <c r="BD29" s="536"/>
      <c r="BE29" s="536"/>
      <c r="BF29" s="536"/>
    </row>
    <row r="30" spans="1:58" ht="30" customHeight="1" thickBot="1" x14ac:dyDescent="0.25">
      <c r="A30" s="578"/>
      <c r="B30" s="1229"/>
      <c r="C30" s="579"/>
      <c r="D30" s="580"/>
      <c r="E30" s="604"/>
      <c r="F30" s="604"/>
      <c r="G30" s="604"/>
      <c r="H30" s="604"/>
      <c r="I30" s="604"/>
      <c r="J30" s="604"/>
      <c r="K30" s="581"/>
      <c r="L30" s="580"/>
      <c r="M30" s="580"/>
      <c r="N30" s="580"/>
      <c r="O30" s="605"/>
      <c r="P30" s="536"/>
      <c r="Q30" s="538"/>
      <c r="R30" s="538"/>
      <c r="S30" s="1236"/>
      <c r="T30" s="1234"/>
      <c r="U30" s="606"/>
      <c r="V30" s="1235"/>
      <c r="W30" s="538"/>
      <c r="X30" s="536"/>
      <c r="Y30" s="538"/>
      <c r="Z30" s="538"/>
      <c r="AA30" s="538"/>
      <c r="AB30" s="538"/>
      <c r="AC30" s="536"/>
      <c r="AD30" s="536"/>
      <c r="AE30" s="536"/>
      <c r="AF30" s="536"/>
      <c r="AG30" s="536"/>
      <c r="AH30" s="536"/>
      <c r="AI30" s="536"/>
      <c r="AJ30" s="536"/>
      <c r="AK30" s="536"/>
      <c r="AL30" s="536"/>
      <c r="AM30" s="536"/>
      <c r="AN30" s="536"/>
      <c r="AO30" s="536"/>
      <c r="AP30" s="536"/>
      <c r="AQ30" s="537"/>
      <c r="AR30" s="536"/>
      <c r="AS30" s="536"/>
      <c r="AT30" s="536"/>
      <c r="AU30" s="536"/>
      <c r="AV30" s="536"/>
      <c r="AW30" s="536"/>
      <c r="AX30" s="536"/>
      <c r="AY30" s="536"/>
      <c r="AZ30" s="536"/>
      <c r="BA30" s="536"/>
      <c r="BB30" s="536"/>
      <c r="BC30" s="536"/>
      <c r="BD30" s="536"/>
      <c r="BE30" s="536"/>
      <c r="BF30" s="536"/>
    </row>
    <row r="31" spans="1:58" ht="30" customHeight="1" x14ac:dyDescent="0.2">
      <c r="A31" s="578"/>
      <c r="B31" s="1230"/>
      <c r="C31" s="155" t="str">
        <f>B25</f>
        <v>V-005</v>
      </c>
      <c r="D31" s="583" t="str">
        <f>C25</f>
        <v>Serhapin test Measure</v>
      </c>
      <c r="E31" s="583" t="str">
        <f>E25</f>
        <v xml:space="preserve">16-5935702    C-I V-005         </v>
      </c>
      <c r="F31" s="1089">
        <v>18926.8</v>
      </c>
      <c r="G31" s="586">
        <f>H25</f>
        <v>4.0967700000000002</v>
      </c>
      <c r="H31" s="1091">
        <f>'RT03-F11 ¬'!M30-'DATOS ¬'!F31</f>
        <v>0.25500000000101863</v>
      </c>
      <c r="I31" s="1089">
        <v>2.1</v>
      </c>
      <c r="J31" s="1091">
        <v>2.12</v>
      </c>
      <c r="K31" s="1092">
        <v>44997</v>
      </c>
      <c r="L31" s="1093" t="s">
        <v>641</v>
      </c>
      <c r="M31" s="1094">
        <f>F31/1000</f>
        <v>18.9268</v>
      </c>
      <c r="N31" s="1095">
        <v>18.9255</v>
      </c>
      <c r="O31" s="1096">
        <f>ABS((M31-N31)*1000)</f>
        <v>1.300000000000523</v>
      </c>
      <c r="P31" s="536"/>
      <c r="Q31" s="538"/>
      <c r="R31" s="538"/>
      <c r="S31" s="1236"/>
      <c r="T31" s="1234"/>
      <c r="U31" s="607"/>
      <c r="V31" s="1235"/>
      <c r="W31" s="538"/>
      <c r="X31" s="538"/>
      <c r="Y31" s="538"/>
      <c r="Z31" s="538"/>
      <c r="AA31" s="538"/>
      <c r="AB31" s="538"/>
      <c r="AC31" s="536"/>
      <c r="AD31" s="536"/>
      <c r="AE31" s="536"/>
      <c r="AF31" s="536"/>
      <c r="AG31" s="536"/>
      <c r="AH31" s="536"/>
      <c r="AI31" s="536"/>
      <c r="AJ31" s="536"/>
      <c r="AK31" s="536"/>
      <c r="AL31" s="536"/>
      <c r="AM31" s="536"/>
      <c r="AN31" s="536"/>
      <c r="AO31" s="536"/>
      <c r="AP31" s="536"/>
      <c r="AQ31" s="537"/>
      <c r="AR31" s="536"/>
      <c r="AS31" s="536"/>
      <c r="AT31" s="536"/>
      <c r="AU31" s="536"/>
      <c r="AV31" s="536"/>
      <c r="AW31" s="536"/>
      <c r="AX31" s="536"/>
      <c r="AY31" s="536"/>
      <c r="AZ31" s="536"/>
      <c r="BA31" s="536"/>
      <c r="BB31" s="536"/>
      <c r="BC31" s="536"/>
      <c r="BD31" s="536"/>
      <c r="BE31" s="536"/>
      <c r="BF31" s="156"/>
    </row>
    <row r="32" spans="1:58" ht="30" customHeight="1" thickBot="1" x14ac:dyDescent="0.25">
      <c r="A32" s="578"/>
      <c r="B32" s="1230"/>
      <c r="C32" s="157" t="str">
        <f>B26</f>
        <v>V-001</v>
      </c>
      <c r="D32" s="589" t="str">
        <f>C26</f>
        <v>Serhapin test Measure</v>
      </c>
      <c r="E32" s="589" t="str">
        <f>E26</f>
        <v>14-92812 C-I V-001</v>
      </c>
      <c r="F32" s="1090">
        <v>18932</v>
      </c>
      <c r="G32" s="593">
        <f>H26</f>
        <v>8.1935000000000002</v>
      </c>
      <c r="H32" s="1090">
        <f>'RT03-F11 ¬'!M31-'DATOS ¬'!F32</f>
        <v>-4.944999999999709</v>
      </c>
      <c r="I32" s="1090">
        <v>2.7</v>
      </c>
      <c r="J32" s="1097">
        <v>2.0169999999999999</v>
      </c>
      <c r="K32" s="1098">
        <v>44888</v>
      </c>
      <c r="L32" s="1099" t="s">
        <v>640</v>
      </c>
      <c r="M32" s="1100">
        <f>F32/1000</f>
        <v>18.931999999999999</v>
      </c>
      <c r="N32" s="1101">
        <v>18.933039999999998</v>
      </c>
      <c r="O32" s="1102">
        <f>ABS((M32-N32)*1000)</f>
        <v>1.0399999999997078</v>
      </c>
      <c r="P32" s="536"/>
      <c r="Q32" s="538"/>
      <c r="R32" s="538"/>
      <c r="S32" s="1234"/>
      <c r="T32" s="1234"/>
      <c r="U32" s="1234"/>
      <c r="V32" s="1234"/>
      <c r="W32" s="538"/>
      <c r="X32" s="538"/>
      <c r="Y32" s="538"/>
      <c r="Z32" s="538"/>
      <c r="AA32" s="538"/>
      <c r="AB32" s="538"/>
      <c r="AC32" s="536"/>
      <c r="AD32" s="536"/>
      <c r="AE32" s="536"/>
      <c r="AF32" s="536"/>
      <c r="AG32" s="536"/>
      <c r="AH32" s="536"/>
      <c r="AI32" s="536"/>
      <c r="AJ32" s="536"/>
      <c r="AK32" s="536"/>
      <c r="AL32" s="536"/>
      <c r="AM32" s="536"/>
      <c r="AN32" s="536"/>
      <c r="AO32" s="536"/>
      <c r="AP32" s="536"/>
      <c r="AQ32" s="537"/>
      <c r="AR32" s="536"/>
      <c r="AS32" s="536"/>
      <c r="AT32" s="536"/>
      <c r="AU32" s="536"/>
      <c r="AV32" s="536"/>
      <c r="AW32" s="536"/>
      <c r="AX32" s="536"/>
      <c r="AY32" s="536"/>
      <c r="AZ32" s="536"/>
      <c r="BA32" s="536"/>
      <c r="BB32" s="536"/>
      <c r="BC32" s="536"/>
      <c r="BD32" s="536"/>
      <c r="BE32" s="536"/>
      <c r="BF32" s="536"/>
    </row>
    <row r="33" spans="1:58" ht="30" customHeight="1" x14ac:dyDescent="0.2">
      <c r="A33" s="578"/>
      <c r="B33" s="608"/>
      <c r="C33" s="538"/>
      <c r="D33" s="536"/>
      <c r="E33" s="538"/>
      <c r="F33" s="609"/>
      <c r="G33" s="538"/>
      <c r="H33" s="609"/>
      <c r="I33" s="538"/>
      <c r="J33" s="538"/>
      <c r="K33" s="610"/>
      <c r="L33" s="536"/>
      <c r="M33" s="536"/>
      <c r="N33" s="536"/>
      <c r="O33" s="536"/>
      <c r="P33" s="536"/>
      <c r="Q33" s="538"/>
      <c r="R33" s="538"/>
      <c r="S33" s="538"/>
      <c r="T33" s="158"/>
      <c r="U33" s="538"/>
      <c r="V33" s="538"/>
      <c r="W33" s="538"/>
      <c r="X33" s="538"/>
      <c r="Y33" s="538"/>
      <c r="Z33" s="538"/>
      <c r="AA33" s="538"/>
      <c r="AB33" s="538"/>
      <c r="AC33" s="536"/>
      <c r="AD33" s="536"/>
      <c r="AE33" s="536"/>
      <c r="AF33" s="536"/>
      <c r="AG33" s="536"/>
      <c r="AH33" s="536"/>
      <c r="AI33" s="536"/>
      <c r="AJ33" s="536"/>
      <c r="AK33" s="536"/>
      <c r="AL33" s="536"/>
      <c r="AM33" s="536"/>
      <c r="AN33" s="536"/>
      <c r="AO33" s="536"/>
      <c r="AP33" s="536"/>
      <c r="AQ33" s="537"/>
      <c r="AR33" s="536"/>
      <c r="AS33" s="536"/>
      <c r="AT33" s="536"/>
      <c r="AU33" s="536"/>
      <c r="AV33" s="536"/>
      <c r="AW33" s="536"/>
      <c r="AX33" s="536"/>
      <c r="AY33" s="536"/>
      <c r="AZ33" s="536"/>
      <c r="BA33" s="536"/>
      <c r="BB33" s="536"/>
      <c r="BC33" s="536"/>
      <c r="BD33" s="536"/>
      <c r="BE33" s="536"/>
      <c r="BF33" s="536"/>
    </row>
    <row r="34" spans="1:58" ht="30" customHeight="1" thickBot="1" x14ac:dyDescent="0.25">
      <c r="A34" s="578"/>
      <c r="B34" s="536"/>
      <c r="C34" s="536"/>
      <c r="D34" s="536"/>
      <c r="E34" s="536"/>
      <c r="F34" s="611"/>
      <c r="G34" s="536"/>
      <c r="H34" s="536"/>
      <c r="I34" s="536"/>
      <c r="J34" s="612"/>
      <c r="K34" s="537"/>
      <c r="L34" s="536"/>
      <c r="M34" s="536"/>
      <c r="N34" s="536"/>
      <c r="O34" s="536"/>
      <c r="P34" s="536"/>
      <c r="Q34" s="538"/>
      <c r="R34" s="538"/>
      <c r="S34" s="538"/>
      <c r="T34" s="538"/>
      <c r="U34" s="538"/>
      <c r="V34" s="538"/>
      <c r="W34" s="538"/>
      <c r="X34" s="538"/>
      <c r="Y34" s="538"/>
      <c r="Z34" s="538"/>
      <c r="AA34" s="538"/>
      <c r="AB34" s="538"/>
      <c r="AC34" s="536"/>
      <c r="AD34" s="536"/>
      <c r="AE34" s="536"/>
      <c r="AF34" s="536"/>
      <c r="AG34" s="536"/>
      <c r="AH34" s="536"/>
      <c r="AI34" s="536"/>
      <c r="AJ34" s="536"/>
      <c r="AK34" s="536"/>
      <c r="AL34" s="536"/>
      <c r="AM34" s="536"/>
      <c r="AN34" s="536"/>
      <c r="AO34" s="536"/>
      <c r="AP34" s="536"/>
      <c r="AQ34" s="537"/>
      <c r="AR34" s="536"/>
      <c r="AS34" s="536"/>
      <c r="AT34" s="536"/>
      <c r="AU34" s="536"/>
      <c r="AV34" s="536"/>
      <c r="AW34" s="536"/>
      <c r="AX34" s="536"/>
      <c r="AY34" s="536"/>
      <c r="AZ34" s="536"/>
      <c r="BA34" s="536"/>
      <c r="BB34" s="536"/>
      <c r="BC34" s="536"/>
      <c r="BD34" s="536"/>
      <c r="BE34" s="536"/>
      <c r="BF34" s="536"/>
    </row>
    <row r="35" spans="1:58" ht="30" customHeight="1" thickBot="1" x14ac:dyDescent="0.25">
      <c r="A35" s="578"/>
      <c r="B35" s="1214" t="s">
        <v>73</v>
      </c>
      <c r="C35" s="1217"/>
      <c r="D35" s="1217"/>
      <c r="E35" s="1217"/>
      <c r="F35" s="1217"/>
      <c r="G35" s="1217"/>
      <c r="H35" s="1217"/>
      <c r="I35" s="1217"/>
      <c r="J35" s="1217"/>
      <c r="K35" s="1217"/>
      <c r="L35" s="1217"/>
      <c r="M35" s="1217"/>
      <c r="N35" s="1217"/>
      <c r="O35" s="1217"/>
      <c r="P35" s="1217"/>
      <c r="Q35" s="1217"/>
      <c r="R35" s="1218"/>
      <c r="S35" s="536"/>
      <c r="T35" s="538"/>
      <c r="U35" s="538"/>
      <c r="V35" s="538"/>
      <c r="W35" s="538"/>
      <c r="X35" s="538"/>
      <c r="Y35" s="538"/>
      <c r="Z35" s="538"/>
      <c r="AA35" s="538"/>
      <c r="AB35" s="538"/>
      <c r="AC35" s="536"/>
      <c r="AD35" s="536"/>
      <c r="AE35" s="536"/>
      <c r="AF35" s="536"/>
      <c r="AG35" s="536"/>
      <c r="AH35" s="536"/>
      <c r="AI35" s="536"/>
      <c r="AJ35" s="536"/>
      <c r="AK35" s="536"/>
      <c r="AL35" s="536"/>
      <c r="AM35" s="536"/>
      <c r="AN35" s="536"/>
      <c r="AO35" s="536"/>
      <c r="AP35" s="536"/>
      <c r="AQ35" s="537"/>
      <c r="AR35" s="536"/>
      <c r="AS35" s="536"/>
      <c r="AT35" s="536"/>
      <c r="AU35" s="536"/>
      <c r="AV35" s="536"/>
      <c r="AW35" s="536"/>
      <c r="AX35" s="536"/>
      <c r="AY35" s="536"/>
      <c r="AZ35" s="536"/>
      <c r="BA35" s="536"/>
      <c r="BB35" s="536"/>
      <c r="BC35" s="536"/>
      <c r="BD35" s="536"/>
      <c r="BE35" s="536"/>
      <c r="BF35" s="536"/>
    </row>
    <row r="36" spans="1:58" ht="60" customHeight="1" thickBot="1" x14ac:dyDescent="0.25">
      <c r="A36" s="578"/>
      <c r="B36" s="536"/>
      <c r="C36" s="538"/>
      <c r="D36" s="159" t="s">
        <v>23</v>
      </c>
      <c r="E36" s="133" t="s">
        <v>62</v>
      </c>
      <c r="F36" s="133" t="s">
        <v>74</v>
      </c>
      <c r="G36" s="133" t="s">
        <v>64</v>
      </c>
      <c r="H36" s="133" t="s">
        <v>65</v>
      </c>
      <c r="I36" s="133" t="s">
        <v>66</v>
      </c>
      <c r="J36" s="133" t="s">
        <v>67</v>
      </c>
      <c r="K36" s="160" t="s">
        <v>68</v>
      </c>
      <c r="L36" s="133" t="s">
        <v>69</v>
      </c>
      <c r="M36" s="133" t="s">
        <v>75</v>
      </c>
      <c r="N36" s="133" t="s">
        <v>76</v>
      </c>
      <c r="O36" s="133" t="s">
        <v>77</v>
      </c>
      <c r="P36" s="133" t="s">
        <v>78</v>
      </c>
      <c r="Q36" s="133" t="s">
        <v>79</v>
      </c>
      <c r="R36" s="613" t="s">
        <v>80</v>
      </c>
      <c r="S36" s="536"/>
      <c r="T36" s="538"/>
      <c r="U36" s="538"/>
      <c r="V36" s="538"/>
      <c r="W36" s="538"/>
      <c r="X36" s="538"/>
      <c r="Y36" s="538"/>
      <c r="Z36" s="538"/>
      <c r="AA36" s="538"/>
      <c r="AB36" s="538"/>
      <c r="AC36" s="536"/>
      <c r="AD36" s="536"/>
      <c r="AE36" s="536"/>
      <c r="AF36" s="536"/>
      <c r="AG36" s="536"/>
      <c r="AH36" s="536"/>
      <c r="AI36" s="536"/>
      <c r="AJ36" s="536"/>
      <c r="AK36" s="536"/>
      <c r="AL36" s="536"/>
      <c r="AM36" s="536"/>
      <c r="AN36" s="536"/>
      <c r="AO36" s="536"/>
      <c r="AP36" s="536"/>
      <c r="AQ36" s="537"/>
      <c r="AR36" s="536"/>
      <c r="AS36" s="536"/>
      <c r="AT36" s="536"/>
      <c r="AU36" s="536"/>
      <c r="AV36" s="536"/>
      <c r="AW36" s="536"/>
      <c r="AX36" s="536"/>
      <c r="AY36" s="536"/>
      <c r="AZ36" s="536"/>
      <c r="BA36" s="536"/>
      <c r="BB36" s="536"/>
      <c r="BC36" s="536"/>
      <c r="BD36" s="536"/>
      <c r="BE36" s="536"/>
      <c r="BF36" s="536"/>
    </row>
    <row r="37" spans="1:58" ht="45" customHeight="1" thickBot="1" x14ac:dyDescent="0.25">
      <c r="A37" s="578"/>
      <c r="B37" s="536"/>
      <c r="C37" s="536"/>
      <c r="D37" s="538"/>
      <c r="E37" s="538"/>
      <c r="F37" s="538"/>
      <c r="G37" s="538"/>
      <c r="H37" s="538"/>
      <c r="I37" s="538"/>
      <c r="J37" s="538"/>
      <c r="K37" s="614"/>
      <c r="L37" s="536"/>
      <c r="M37" s="536"/>
      <c r="N37" s="536"/>
      <c r="O37" s="536"/>
      <c r="P37" s="536"/>
      <c r="Q37" s="536"/>
      <c r="R37" s="536"/>
      <c r="S37" s="536"/>
      <c r="T37" s="538"/>
      <c r="U37" s="538"/>
      <c r="V37" s="538"/>
      <c r="W37" s="538"/>
      <c r="X37" s="538"/>
      <c r="Y37" s="538"/>
      <c r="Z37" s="538"/>
      <c r="AA37" s="538"/>
      <c r="AB37" s="538"/>
      <c r="AC37" s="536"/>
      <c r="AD37" s="536"/>
      <c r="AE37" s="536"/>
      <c r="AF37" s="536"/>
      <c r="AG37" s="536"/>
      <c r="AH37" s="536"/>
      <c r="AI37" s="536"/>
      <c r="AJ37" s="536"/>
      <c r="AK37" s="536"/>
      <c r="AL37" s="536"/>
      <c r="AM37" s="536"/>
      <c r="AN37" s="536"/>
      <c r="AO37" s="536"/>
      <c r="AP37" s="536"/>
      <c r="AQ37" s="537"/>
      <c r="AR37" s="536"/>
      <c r="AS37" s="536"/>
      <c r="AT37" s="536"/>
      <c r="AU37" s="536"/>
      <c r="AV37" s="536"/>
      <c r="AW37" s="536"/>
      <c r="AX37" s="536"/>
      <c r="AY37" s="536"/>
      <c r="AZ37" s="536"/>
      <c r="BA37" s="536"/>
      <c r="BB37" s="536"/>
      <c r="BC37" s="536"/>
      <c r="BD37" s="536"/>
      <c r="BE37" s="536"/>
      <c r="BF37" s="536"/>
    </row>
    <row r="38" spans="1:58" ht="33.950000000000003" customHeight="1" x14ac:dyDescent="0.2">
      <c r="A38" s="578"/>
      <c r="B38" s="1265" t="s">
        <v>81</v>
      </c>
      <c r="C38" s="615" t="s">
        <v>82</v>
      </c>
      <c r="D38" s="1284" t="s">
        <v>83</v>
      </c>
      <c r="E38" s="616" t="s">
        <v>84</v>
      </c>
      <c r="F38" s="1103">
        <v>14.003</v>
      </c>
      <c r="G38" s="389">
        <v>1E-3</v>
      </c>
      <c r="H38" s="1112">
        <v>-0.02</v>
      </c>
      <c r="I38" s="1107">
        <v>4.3999999999999997E-2</v>
      </c>
      <c r="J38" s="1118">
        <v>1.96</v>
      </c>
      <c r="K38" s="1092">
        <v>45000</v>
      </c>
      <c r="L38" s="1315" t="s">
        <v>642</v>
      </c>
      <c r="M38" s="617">
        <f>SLOPE($H$38:$H$42,$F$38:$F$42)</f>
        <v>-1.4024671063630936E-3</v>
      </c>
      <c r="N38" s="617">
        <f>INTERCEPT($H$38:$H$42,$F$38:$F$42)</f>
        <v>2.3181847310890791E-4</v>
      </c>
      <c r="O38" s="583">
        <v>14</v>
      </c>
      <c r="P38" s="1112">
        <f>F38</f>
        <v>14.003</v>
      </c>
      <c r="Q38" s="1112">
        <v>13.984</v>
      </c>
      <c r="R38" s="1113">
        <f>ABS(P38-Q38)</f>
        <v>1.9000000000000128E-2</v>
      </c>
      <c r="S38" s="536"/>
      <c r="T38" s="538"/>
      <c r="U38" s="538"/>
      <c r="V38" s="538"/>
      <c r="W38" s="538"/>
      <c r="X38" s="538"/>
      <c r="Y38" s="538"/>
      <c r="Z38" s="538"/>
      <c r="AA38" s="538"/>
      <c r="AB38" s="538"/>
      <c r="AC38" s="536"/>
      <c r="AD38" s="536"/>
      <c r="AE38" s="536"/>
      <c r="AF38" s="536"/>
      <c r="AG38" s="536"/>
      <c r="AH38" s="536"/>
      <c r="AI38" s="536"/>
      <c r="AJ38" s="536"/>
      <c r="AK38" s="536"/>
      <c r="AL38" s="536"/>
      <c r="AM38" s="536"/>
      <c r="AN38" s="536"/>
      <c r="AO38" s="536"/>
      <c r="AP38" s="536"/>
      <c r="AQ38" s="537"/>
      <c r="AR38" s="536"/>
      <c r="AS38" s="536"/>
      <c r="AT38" s="536"/>
      <c r="AU38" s="536"/>
      <c r="AV38" s="536"/>
      <c r="AW38" s="536"/>
      <c r="AX38" s="536"/>
      <c r="AY38" s="536"/>
      <c r="AZ38" s="536"/>
      <c r="BA38" s="536"/>
      <c r="BB38" s="536"/>
      <c r="BC38" s="536"/>
      <c r="BD38" s="536"/>
      <c r="BE38" s="536"/>
      <c r="BF38" s="536"/>
    </row>
    <row r="39" spans="1:58" ht="33.950000000000003" customHeight="1" thickBot="1" x14ac:dyDescent="0.25">
      <c r="A39" s="578"/>
      <c r="B39" s="1266"/>
      <c r="C39" s="620" t="s">
        <v>85</v>
      </c>
      <c r="D39" s="1285"/>
      <c r="E39" s="621" t="s">
        <v>84</v>
      </c>
      <c r="F39" s="1104">
        <v>16.012</v>
      </c>
      <c r="G39" s="393">
        <v>1E-3</v>
      </c>
      <c r="H39" s="1108">
        <v>-2.1999999999999999E-2</v>
      </c>
      <c r="I39" s="1109">
        <v>4.3999999999999997E-2</v>
      </c>
      <c r="J39" s="1119">
        <v>1.96</v>
      </c>
      <c r="K39" s="1111">
        <v>45000</v>
      </c>
      <c r="L39" s="1316"/>
      <c r="M39" s="622">
        <f>SLOPE($H$38:$H$42,$F$38:$F$42)</f>
        <v>-1.4024671063630936E-3</v>
      </c>
      <c r="N39" s="622">
        <f>INTERCEPT($H$38:$H$42,$F$38:$F$42)</f>
        <v>2.3181847310890791E-4</v>
      </c>
      <c r="O39" s="623">
        <v>16</v>
      </c>
      <c r="P39" s="1108">
        <f>F39</f>
        <v>16.012</v>
      </c>
      <c r="Q39" s="1108">
        <v>15.983000000000001</v>
      </c>
      <c r="R39" s="1114">
        <f t="shared" ref="R39:R42" si="0">ABS(P39-Q39)</f>
        <v>2.8999999999999915E-2</v>
      </c>
      <c r="S39" s="536"/>
      <c r="T39" s="538"/>
      <c r="U39" s="538"/>
      <c r="V39" s="538"/>
      <c r="W39" s="538"/>
      <c r="X39" s="538"/>
      <c r="Y39" s="538"/>
      <c r="Z39" s="538"/>
      <c r="AA39" s="538"/>
      <c r="AB39" s="538"/>
      <c r="AC39" s="536"/>
      <c r="AD39" s="536"/>
      <c r="AE39" s="536"/>
      <c r="AF39" s="536"/>
      <c r="AG39" s="536"/>
      <c r="AH39" s="536"/>
      <c r="AI39" s="536"/>
      <c r="AJ39" s="536"/>
      <c r="AK39" s="536"/>
      <c r="AL39" s="536"/>
      <c r="AM39" s="536"/>
      <c r="AN39" s="536"/>
      <c r="AO39" s="536"/>
      <c r="AP39" s="536"/>
      <c r="AQ39" s="537"/>
      <c r="AR39" s="536"/>
      <c r="AS39" s="536"/>
      <c r="AT39" s="536"/>
      <c r="AU39" s="536"/>
      <c r="AV39" s="536"/>
      <c r="AW39" s="536"/>
      <c r="AX39" s="536"/>
      <c r="AY39" s="536"/>
      <c r="AZ39" s="536"/>
      <c r="BA39" s="536"/>
      <c r="BB39" s="536"/>
      <c r="BC39" s="536"/>
      <c r="BD39" s="536"/>
      <c r="BE39" s="536"/>
      <c r="BF39" s="536"/>
    </row>
    <row r="40" spans="1:58" ht="33.950000000000003" customHeight="1" thickBot="1" x14ac:dyDescent="0.25">
      <c r="A40" s="169" t="s">
        <v>86</v>
      </c>
      <c r="B40" s="1266"/>
      <c r="C40" s="620" t="s">
        <v>87</v>
      </c>
      <c r="D40" s="1285"/>
      <c r="E40" s="621" t="s">
        <v>84</v>
      </c>
      <c r="F40" s="1104">
        <v>17.021999999999998</v>
      </c>
      <c r="G40" s="393">
        <v>1E-3</v>
      </c>
      <c r="H40" s="1108">
        <v>-2.3E-2</v>
      </c>
      <c r="I40" s="1109">
        <v>4.3999999999999997E-2</v>
      </c>
      <c r="J40" s="1119">
        <v>1.96</v>
      </c>
      <c r="K40" s="1111">
        <v>45000</v>
      </c>
      <c r="L40" s="1316"/>
      <c r="M40" s="167">
        <f>SLOPE($H$38:$H$42,$F$38:$F$42)</f>
        <v>-1.4024671063630936E-3</v>
      </c>
      <c r="N40" s="167">
        <f>INTERCEPT($H$38:$H$42,$F$38:$F$42)</f>
        <v>2.3181847310890791E-4</v>
      </c>
      <c r="O40" s="568">
        <v>17</v>
      </c>
      <c r="P40" s="1108">
        <f>F40</f>
        <v>17.021999999999998</v>
      </c>
      <c r="Q40" s="1108">
        <v>17.021000000000001</v>
      </c>
      <c r="R40" s="1114">
        <f t="shared" si="0"/>
        <v>9.9999999999766942E-4</v>
      </c>
      <c r="S40" s="536"/>
      <c r="T40" s="538"/>
      <c r="U40" s="538"/>
      <c r="V40" s="538"/>
      <c r="W40" s="538"/>
      <c r="X40" s="538"/>
      <c r="Y40" s="538"/>
      <c r="Z40" s="538"/>
      <c r="AA40" s="538"/>
      <c r="AB40" s="538"/>
      <c r="AC40" s="536"/>
      <c r="AD40" s="536"/>
      <c r="AE40" s="536"/>
      <c r="AF40" s="536"/>
      <c r="AG40" s="536"/>
      <c r="AH40" s="536"/>
      <c r="AI40" s="536"/>
      <c r="AJ40" s="536"/>
      <c r="AK40" s="536"/>
      <c r="AL40" s="536"/>
      <c r="AM40" s="536"/>
      <c r="AN40" s="536"/>
      <c r="AO40" s="536"/>
      <c r="AP40" s="536"/>
      <c r="AQ40" s="537"/>
      <c r="AR40" s="536"/>
      <c r="AS40" s="536"/>
      <c r="AT40" s="536"/>
      <c r="AU40" s="536"/>
      <c r="AV40" s="536"/>
      <c r="AW40" s="536"/>
      <c r="AX40" s="536"/>
      <c r="AY40" s="536"/>
      <c r="AZ40" s="536"/>
      <c r="BA40" s="536"/>
      <c r="BB40" s="536"/>
      <c r="BC40" s="536"/>
      <c r="BD40" s="536"/>
      <c r="BE40" s="536"/>
      <c r="BF40" s="536"/>
    </row>
    <row r="41" spans="1:58" ht="33.950000000000003" customHeight="1" x14ac:dyDescent="0.2">
      <c r="A41" s="578"/>
      <c r="B41" s="1266"/>
      <c r="C41" s="620" t="s">
        <v>88</v>
      </c>
      <c r="D41" s="1285"/>
      <c r="E41" s="621" t="s">
        <v>89</v>
      </c>
      <c r="F41" s="1105">
        <v>18.026</v>
      </c>
      <c r="G41" s="393">
        <v>1E-3</v>
      </c>
      <c r="H41" s="1109">
        <v>-2.5000000000000001E-2</v>
      </c>
      <c r="I41" s="1109">
        <v>4.3999999999999997E-2</v>
      </c>
      <c r="J41" s="1119">
        <v>1.96</v>
      </c>
      <c r="K41" s="1111">
        <v>45000</v>
      </c>
      <c r="L41" s="1316"/>
      <c r="M41" s="622">
        <f>SLOPE($H$38:$H$42,$F$38:$F$42)</f>
        <v>-1.4024671063630936E-3</v>
      </c>
      <c r="N41" s="622">
        <f>INTERCEPT($H$38:$H$42,$F$38:$F$42)</f>
        <v>2.3181847310890791E-4</v>
      </c>
      <c r="O41" s="568">
        <v>18</v>
      </c>
      <c r="P41" s="1108">
        <f>F41</f>
        <v>18.026</v>
      </c>
      <c r="Q41" s="1109">
        <v>18.021000000000001</v>
      </c>
      <c r="R41" s="1114">
        <f t="shared" si="0"/>
        <v>4.9999999999990052E-3</v>
      </c>
      <c r="S41" s="536"/>
      <c r="T41" s="538"/>
      <c r="U41" s="538"/>
      <c r="V41" s="538"/>
      <c r="W41" s="538"/>
      <c r="X41" s="538"/>
      <c r="Y41" s="538"/>
      <c r="Z41" s="538"/>
      <c r="AA41" s="538"/>
      <c r="AB41" s="552"/>
      <c r="AC41" s="552"/>
      <c r="AD41" s="536"/>
      <c r="AE41" s="536"/>
      <c r="AF41" s="536"/>
      <c r="AG41" s="536"/>
      <c r="AH41" s="536"/>
      <c r="AI41" s="536"/>
      <c r="AJ41" s="536"/>
      <c r="AK41" s="536"/>
      <c r="AL41" s="536"/>
      <c r="AM41" s="536"/>
      <c r="AN41" s="536"/>
      <c r="AO41" s="536"/>
      <c r="AP41" s="536"/>
      <c r="AQ41" s="537"/>
      <c r="AR41" s="536"/>
      <c r="AS41" s="536"/>
      <c r="AT41" s="536"/>
      <c r="AU41" s="536"/>
      <c r="AV41" s="536"/>
      <c r="AW41" s="536"/>
      <c r="AX41" s="536"/>
      <c r="AY41" s="536"/>
      <c r="AZ41" s="536"/>
      <c r="BA41" s="536"/>
      <c r="BB41" s="536"/>
      <c r="BC41" s="536"/>
      <c r="BD41" s="536"/>
      <c r="BE41" s="536"/>
      <c r="BF41" s="536"/>
    </row>
    <row r="42" spans="1:58" ht="33.950000000000003" customHeight="1" thickBot="1" x14ac:dyDescent="0.25">
      <c r="A42" s="578"/>
      <c r="B42" s="1267"/>
      <c r="C42" s="627" t="s">
        <v>90</v>
      </c>
      <c r="D42" s="1286"/>
      <c r="E42" s="628" t="s">
        <v>84</v>
      </c>
      <c r="F42" s="1117">
        <v>22.04</v>
      </c>
      <c r="G42" s="397">
        <v>1E-3</v>
      </c>
      <c r="H42" s="1110">
        <v>-3.1E-2</v>
      </c>
      <c r="I42" s="1110">
        <v>4.3999999999999997E-2</v>
      </c>
      <c r="J42" s="1120">
        <v>1.96</v>
      </c>
      <c r="K42" s="1098">
        <v>45000</v>
      </c>
      <c r="L42" s="1317"/>
      <c r="M42" s="629">
        <f>SLOPE($H$38:$H$42,$F$38:$F$42)</f>
        <v>-1.4024671063630936E-3</v>
      </c>
      <c r="N42" s="629">
        <f>INTERCEPT($H$38:$H$42,$F$38:$F$42)</f>
        <v>2.3181847310890791E-4</v>
      </c>
      <c r="O42" s="593">
        <v>22</v>
      </c>
      <c r="P42" s="1115">
        <f>F42</f>
        <v>22.04</v>
      </c>
      <c r="Q42" s="1110">
        <v>22.027000000000001</v>
      </c>
      <c r="R42" s="1116">
        <f t="shared" si="0"/>
        <v>1.2999999999998124E-2</v>
      </c>
      <c r="S42" s="536"/>
      <c r="T42" s="633"/>
      <c r="U42" s="633"/>
      <c r="V42" s="633"/>
      <c r="W42" s="538"/>
      <c r="X42" s="538"/>
      <c r="Y42" s="538"/>
      <c r="Z42" s="538"/>
      <c r="AA42" s="538"/>
      <c r="AB42" s="552"/>
      <c r="AC42" s="552"/>
      <c r="AD42" s="536"/>
      <c r="AE42" s="536"/>
      <c r="AF42" s="536"/>
      <c r="AG42" s="536"/>
      <c r="AH42" s="536"/>
      <c r="AI42" s="536"/>
      <c r="AJ42" s="536"/>
      <c r="AK42" s="536"/>
      <c r="AL42" s="536"/>
      <c r="AM42" s="536"/>
      <c r="AN42" s="536"/>
      <c r="AO42" s="536"/>
      <c r="AP42" s="536"/>
      <c r="AQ42" s="537"/>
      <c r="AR42" s="536"/>
      <c r="AS42" s="536"/>
      <c r="AT42" s="536"/>
      <c r="AU42" s="536"/>
      <c r="AV42" s="536"/>
      <c r="AW42" s="536"/>
      <c r="AX42" s="536"/>
      <c r="AY42" s="536"/>
      <c r="AZ42" s="536"/>
      <c r="BA42" s="536"/>
      <c r="BB42" s="536"/>
      <c r="BC42" s="536"/>
      <c r="BD42" s="536"/>
      <c r="BE42" s="536"/>
      <c r="BF42" s="536"/>
    </row>
    <row r="43" spans="1:58" ht="30" customHeight="1" thickBot="1" x14ac:dyDescent="0.25">
      <c r="A43" s="538"/>
      <c r="B43" s="538"/>
      <c r="C43" s="538"/>
      <c r="D43" s="536"/>
      <c r="E43" s="634"/>
      <c r="F43" s="635"/>
      <c r="G43" s="538"/>
      <c r="H43" s="538"/>
      <c r="I43" s="538"/>
      <c r="J43" s="538"/>
      <c r="K43" s="614"/>
      <c r="L43" s="538"/>
      <c r="M43" s="538"/>
      <c r="N43" s="538"/>
      <c r="O43" s="536"/>
      <c r="P43" s="536"/>
      <c r="Q43" s="536"/>
      <c r="R43" s="154"/>
      <c r="S43" s="154"/>
      <c r="T43" s="154"/>
      <c r="U43" s="154"/>
      <c r="V43" s="538"/>
      <c r="W43" s="536"/>
      <c r="X43" s="538"/>
      <c r="Y43" s="538"/>
      <c r="Z43" s="538"/>
      <c r="AA43" s="538"/>
      <c r="AB43" s="552"/>
      <c r="AC43" s="552"/>
      <c r="AD43" s="536"/>
      <c r="AE43" s="536"/>
      <c r="AF43" s="536"/>
      <c r="AG43" s="536"/>
      <c r="AH43" s="536"/>
      <c r="AI43" s="536"/>
      <c r="AJ43" s="536"/>
      <c r="AK43" s="536"/>
      <c r="AL43" s="536"/>
      <c r="AM43" s="536"/>
      <c r="AN43" s="536"/>
      <c r="AO43" s="536"/>
      <c r="AP43" s="536"/>
      <c r="AQ43" s="537"/>
      <c r="AR43" s="536"/>
      <c r="AS43" s="536"/>
      <c r="AT43" s="536"/>
      <c r="AU43" s="536"/>
      <c r="AV43" s="536"/>
      <c r="AW43" s="536"/>
      <c r="AX43" s="536"/>
      <c r="AY43" s="536"/>
      <c r="AZ43" s="536"/>
      <c r="BA43" s="536"/>
      <c r="BB43" s="536"/>
      <c r="BC43" s="536"/>
      <c r="BD43" s="536"/>
      <c r="BE43" s="536"/>
      <c r="BF43" s="536"/>
    </row>
    <row r="44" spans="1:58" ht="39.950000000000003" customHeight="1" x14ac:dyDescent="0.2">
      <c r="A44" s="578"/>
      <c r="B44" s="1336" t="s">
        <v>91</v>
      </c>
      <c r="C44" s="426" t="s">
        <v>92</v>
      </c>
      <c r="D44" s="1309" t="s">
        <v>93</v>
      </c>
      <c r="E44" s="405" t="s">
        <v>94</v>
      </c>
      <c r="F44" s="406">
        <v>13.94</v>
      </c>
      <c r="G44" s="389">
        <v>0.01</v>
      </c>
      <c r="H44" s="390">
        <v>0.03</v>
      </c>
      <c r="I44" s="390">
        <v>0.05</v>
      </c>
      <c r="J44" s="391">
        <v>1.96</v>
      </c>
      <c r="K44" s="392">
        <v>44671</v>
      </c>
      <c r="L44" s="1312" t="s">
        <v>95</v>
      </c>
      <c r="M44" s="617">
        <f>SLOPE($H$44:$H$48,$F$44:$F$48)</f>
        <v>-2.4283654611540013E-3</v>
      </c>
      <c r="N44" s="636">
        <f>INTERCEPT($H$44:$H$48,$F$44:$F$48)</f>
        <v>6.017099459840039E-2</v>
      </c>
      <c r="O44" s="583">
        <v>14</v>
      </c>
      <c r="P44" s="618">
        <f>F44</f>
        <v>13.94</v>
      </c>
      <c r="Q44" s="637">
        <v>13.97</v>
      </c>
      <c r="R44" s="619">
        <f>ABS(P44-Q44)</f>
        <v>3.0000000000001137E-2</v>
      </c>
      <c r="S44" s="536"/>
      <c r="T44" s="538"/>
      <c r="U44" s="538"/>
      <c r="V44" s="538"/>
      <c r="W44" s="536"/>
      <c r="X44" s="538"/>
      <c r="Y44" s="538"/>
      <c r="Z44" s="538"/>
      <c r="AA44" s="538"/>
      <c r="AB44" s="552"/>
      <c r="AC44" s="536"/>
      <c r="AD44" s="536"/>
      <c r="AE44" s="536"/>
      <c r="AF44" s="536"/>
      <c r="AG44" s="536"/>
      <c r="AH44" s="536"/>
      <c r="AI44" s="536"/>
      <c r="AJ44" s="536"/>
      <c r="AK44" s="536"/>
      <c r="AL44" s="536"/>
      <c r="AM44" s="536"/>
      <c r="AN44" s="536"/>
      <c r="AO44" s="536"/>
      <c r="AP44" s="536"/>
      <c r="AQ44" s="537"/>
      <c r="AR44" s="536"/>
      <c r="AS44" s="536"/>
      <c r="AT44" s="536"/>
      <c r="AU44" s="536"/>
      <c r="AV44" s="536"/>
      <c r="AW44" s="536"/>
      <c r="AX44" s="536"/>
      <c r="AY44" s="536"/>
      <c r="AZ44" s="536"/>
      <c r="BA44" s="536"/>
      <c r="BB44" s="536"/>
      <c r="BC44" s="536"/>
      <c r="BD44" s="536"/>
      <c r="BE44" s="536"/>
      <c r="BF44" s="536"/>
    </row>
    <row r="45" spans="1:58" ht="39.950000000000003" customHeight="1" thickBot="1" x14ac:dyDescent="0.25">
      <c r="A45" s="578"/>
      <c r="B45" s="1337"/>
      <c r="C45" s="427" t="s">
        <v>96</v>
      </c>
      <c r="D45" s="1310"/>
      <c r="E45" s="407" t="s">
        <v>94</v>
      </c>
      <c r="F45" s="408">
        <v>15.94</v>
      </c>
      <c r="G45" s="393">
        <v>0.01</v>
      </c>
      <c r="H45" s="394">
        <v>0.02</v>
      </c>
      <c r="I45" s="394">
        <v>0.05</v>
      </c>
      <c r="J45" s="395">
        <v>1.96</v>
      </c>
      <c r="K45" s="396">
        <v>44671</v>
      </c>
      <c r="L45" s="1313"/>
      <c r="M45" s="622">
        <f>SLOPE($H$44:$H$48,$F$44:$F$48)</f>
        <v>-2.4283654611540013E-3</v>
      </c>
      <c r="N45" s="638">
        <f>INTERCEPT($H$44:$H$48,$F$44:$F$48)</f>
        <v>6.017099459840039E-2</v>
      </c>
      <c r="O45" s="623">
        <v>16</v>
      </c>
      <c r="P45" s="624">
        <f>F45</f>
        <v>15.94</v>
      </c>
      <c r="Q45" s="624">
        <v>15.97</v>
      </c>
      <c r="R45" s="625">
        <f t="shared" ref="R45:R48" si="1">ABS(P45-Q45)</f>
        <v>3.0000000000001137E-2</v>
      </c>
      <c r="S45" s="536"/>
      <c r="T45" s="538"/>
      <c r="U45" s="538"/>
      <c r="V45" s="538"/>
      <c r="W45" s="536"/>
      <c r="X45" s="538"/>
      <c r="Y45" s="538"/>
      <c r="Z45" s="538"/>
      <c r="AA45" s="538"/>
      <c r="AB45" s="552"/>
      <c r="AC45" s="536"/>
      <c r="AD45" s="536"/>
      <c r="AE45" s="536"/>
      <c r="AF45" s="536"/>
      <c r="AG45" s="536"/>
      <c r="AH45" s="536"/>
      <c r="AI45" s="536"/>
      <c r="AJ45" s="536"/>
      <c r="AK45" s="536"/>
      <c r="AL45" s="536"/>
      <c r="AM45" s="536"/>
      <c r="AN45" s="536"/>
      <c r="AO45" s="536"/>
      <c r="AP45" s="536"/>
      <c r="AQ45" s="537"/>
      <c r="AR45" s="536"/>
      <c r="AS45" s="536"/>
      <c r="AT45" s="536"/>
      <c r="AU45" s="536"/>
      <c r="AV45" s="536"/>
      <c r="AW45" s="536"/>
      <c r="AX45" s="536"/>
      <c r="AY45" s="536"/>
      <c r="AZ45" s="536"/>
      <c r="BA45" s="536"/>
      <c r="BB45" s="536"/>
      <c r="BC45" s="536"/>
      <c r="BD45" s="536"/>
      <c r="BE45" s="536"/>
      <c r="BF45" s="536"/>
    </row>
    <row r="46" spans="1:58" ht="39.950000000000003" customHeight="1" thickBot="1" x14ac:dyDescent="0.25">
      <c r="A46" s="401" t="s">
        <v>97</v>
      </c>
      <c r="B46" s="1337"/>
      <c r="C46" s="427" t="s">
        <v>98</v>
      </c>
      <c r="D46" s="1310"/>
      <c r="E46" s="407" t="s">
        <v>94</v>
      </c>
      <c r="F46" s="408">
        <v>16.98</v>
      </c>
      <c r="G46" s="393">
        <v>0.01</v>
      </c>
      <c r="H46" s="394">
        <v>0.02</v>
      </c>
      <c r="I46" s="394">
        <v>0.05</v>
      </c>
      <c r="J46" s="395">
        <v>1.96</v>
      </c>
      <c r="K46" s="396">
        <v>44671</v>
      </c>
      <c r="L46" s="1313"/>
      <c r="M46" s="167">
        <f>SLOPE($H$44:$H$48,$F$44:$F$48)</f>
        <v>-2.4283654611540013E-3</v>
      </c>
      <c r="N46" s="168">
        <f>INTERCEPT($H$44:$H$48,$F$44:$F$48)</f>
        <v>6.017099459840039E-2</v>
      </c>
      <c r="O46" s="568">
        <v>17</v>
      </c>
      <c r="P46" s="624">
        <f>F46</f>
        <v>16.98</v>
      </c>
      <c r="Q46" s="626">
        <v>16.97</v>
      </c>
      <c r="R46" s="625">
        <f t="shared" si="1"/>
        <v>1.0000000000001563E-2</v>
      </c>
      <c r="S46" s="536"/>
      <c r="T46" s="538"/>
      <c r="U46" s="538"/>
      <c r="V46" s="538"/>
      <c r="W46" s="536"/>
      <c r="X46" s="538"/>
      <c r="Y46" s="538"/>
      <c r="Z46" s="538"/>
      <c r="AA46" s="538"/>
      <c r="AB46" s="552"/>
      <c r="AC46" s="536"/>
      <c r="AD46" s="536"/>
      <c r="AE46" s="536"/>
      <c r="AF46" s="536"/>
      <c r="AG46" s="536"/>
      <c r="AH46" s="536"/>
      <c r="AI46" s="536"/>
      <c r="AJ46" s="536"/>
      <c r="AK46" s="536"/>
      <c r="AL46" s="536"/>
      <c r="AM46" s="536"/>
      <c r="AN46" s="536"/>
      <c r="AO46" s="536"/>
      <c r="AP46" s="536"/>
      <c r="AQ46" s="537"/>
      <c r="AR46" s="536"/>
      <c r="AS46" s="536"/>
      <c r="AT46" s="536"/>
      <c r="AU46" s="536"/>
      <c r="AV46" s="536"/>
      <c r="AW46" s="536"/>
      <c r="AX46" s="536"/>
      <c r="AY46" s="536"/>
      <c r="AZ46" s="536"/>
      <c r="BA46" s="536"/>
      <c r="BB46" s="536"/>
      <c r="BC46" s="536"/>
      <c r="BD46" s="536"/>
      <c r="BE46" s="536"/>
      <c r="BF46" s="536"/>
    </row>
    <row r="47" spans="1:58" ht="39.950000000000003" customHeight="1" x14ac:dyDescent="0.2">
      <c r="A47" s="578"/>
      <c r="B47" s="1337"/>
      <c r="C47" s="427" t="s">
        <v>99</v>
      </c>
      <c r="D47" s="1310"/>
      <c r="E47" s="407" t="s">
        <v>94</v>
      </c>
      <c r="F47" s="408">
        <v>17.98</v>
      </c>
      <c r="G47" s="393">
        <v>0.01</v>
      </c>
      <c r="H47" s="394">
        <v>0.01</v>
      </c>
      <c r="I47" s="394">
        <v>0.05</v>
      </c>
      <c r="J47" s="395">
        <v>1.96</v>
      </c>
      <c r="K47" s="396">
        <v>44671</v>
      </c>
      <c r="L47" s="1313"/>
      <c r="M47" s="622">
        <f>SLOPE($H$44:$H$48,$F$44:$F$48)</f>
        <v>-2.4283654611540013E-3</v>
      </c>
      <c r="N47" s="638">
        <f>INTERCEPT($H$44:$H$48,$F$44:$F$48)</f>
        <v>6.017099459840039E-2</v>
      </c>
      <c r="O47" s="568">
        <v>18</v>
      </c>
      <c r="P47" s="624">
        <f>F47</f>
        <v>17.98</v>
      </c>
      <c r="Q47" s="626">
        <v>17.98</v>
      </c>
      <c r="R47" s="625">
        <f t="shared" si="1"/>
        <v>0</v>
      </c>
      <c r="S47" s="536"/>
      <c r="T47" s="538"/>
      <c r="U47" s="538"/>
      <c r="V47" s="538"/>
      <c r="W47" s="536"/>
      <c r="X47" s="538"/>
      <c r="Y47" s="538"/>
      <c r="Z47" s="538"/>
      <c r="AA47" s="538"/>
      <c r="AB47" s="552"/>
      <c r="AC47" s="536"/>
      <c r="AD47" s="536"/>
      <c r="AE47" s="536"/>
      <c r="AF47" s="536"/>
      <c r="AG47" s="536"/>
      <c r="AH47" s="536"/>
      <c r="AI47" s="536"/>
      <c r="AJ47" s="536"/>
      <c r="AK47" s="536"/>
      <c r="AL47" s="536"/>
      <c r="AM47" s="536"/>
      <c r="AN47" s="536"/>
      <c r="AO47" s="536"/>
      <c r="AP47" s="536"/>
      <c r="AQ47" s="537"/>
      <c r="AR47" s="536"/>
      <c r="AS47" s="536"/>
      <c r="AT47" s="536"/>
      <c r="AU47" s="536"/>
      <c r="AV47" s="536"/>
      <c r="AW47" s="536"/>
      <c r="AX47" s="536"/>
      <c r="AY47" s="536"/>
      <c r="AZ47" s="536"/>
      <c r="BA47" s="536"/>
      <c r="BB47" s="536"/>
      <c r="BC47" s="536"/>
      <c r="BD47" s="536"/>
      <c r="BE47" s="536"/>
      <c r="BF47" s="536"/>
    </row>
    <row r="48" spans="1:58" ht="39.950000000000003" customHeight="1" thickBot="1" x14ac:dyDescent="0.25">
      <c r="A48" s="578"/>
      <c r="B48" s="1338"/>
      <c r="C48" s="428" t="s">
        <v>100</v>
      </c>
      <c r="D48" s="1311"/>
      <c r="E48" s="409" t="s">
        <v>94</v>
      </c>
      <c r="F48" s="410">
        <v>21.99</v>
      </c>
      <c r="G48" s="397">
        <v>0.01</v>
      </c>
      <c r="H48" s="398">
        <v>0.01</v>
      </c>
      <c r="I48" s="398">
        <v>0.05</v>
      </c>
      <c r="J48" s="399">
        <v>1.96</v>
      </c>
      <c r="K48" s="400">
        <v>44671</v>
      </c>
      <c r="L48" s="1314"/>
      <c r="M48" s="629">
        <f>SLOPE($H$44:$H$48,$F$44:$F$48)</f>
        <v>-2.4283654611540013E-3</v>
      </c>
      <c r="N48" s="639">
        <f>INTERCEPT($H$44:$H$48,$F$44:$F$48)</f>
        <v>6.017099459840039E-2</v>
      </c>
      <c r="O48" s="593">
        <v>22</v>
      </c>
      <c r="P48" s="630">
        <f>F48</f>
        <v>21.99</v>
      </c>
      <c r="Q48" s="630">
        <v>21.98</v>
      </c>
      <c r="R48" s="632">
        <f t="shared" si="1"/>
        <v>9.9999999999980105E-3</v>
      </c>
      <c r="S48" s="536"/>
      <c r="T48" s="538"/>
      <c r="U48" s="538"/>
      <c r="V48" s="538"/>
      <c r="W48" s="552"/>
      <c r="X48" s="536"/>
      <c r="Y48" s="536"/>
      <c r="Z48" s="536"/>
      <c r="AA48" s="538"/>
      <c r="AB48" s="552"/>
      <c r="AC48" s="536"/>
      <c r="AD48" s="536"/>
      <c r="AE48" s="536"/>
      <c r="AF48" s="536"/>
      <c r="AG48" s="536"/>
      <c r="AH48" s="536"/>
      <c r="AI48" s="536"/>
      <c r="AJ48" s="536"/>
      <c r="AK48" s="536"/>
      <c r="AL48" s="536"/>
      <c r="AM48" s="536"/>
      <c r="AN48" s="536"/>
      <c r="AO48" s="536"/>
      <c r="AP48" s="536"/>
      <c r="AQ48" s="537"/>
      <c r="AR48" s="536"/>
      <c r="AS48" s="536"/>
      <c r="AT48" s="536"/>
      <c r="AU48" s="536"/>
      <c r="AV48" s="536"/>
      <c r="AW48" s="536"/>
      <c r="AX48" s="536"/>
      <c r="AY48" s="536"/>
      <c r="AZ48" s="536"/>
      <c r="BA48" s="536"/>
      <c r="BB48" s="536"/>
      <c r="BC48" s="536"/>
      <c r="BD48" s="536"/>
      <c r="BE48" s="536"/>
      <c r="BF48" s="536"/>
    </row>
    <row r="49" spans="1:58" ht="39.950000000000003" customHeight="1" thickBot="1" x14ac:dyDescent="0.25">
      <c r="A49" s="578"/>
      <c r="B49" s="536"/>
      <c r="C49" s="536"/>
      <c r="D49" s="536"/>
      <c r="E49" s="536"/>
      <c r="F49" s="536"/>
      <c r="G49" s="536"/>
      <c r="H49" s="640"/>
      <c r="I49" s="536"/>
      <c r="J49" s="536"/>
      <c r="K49" s="536"/>
      <c r="L49" s="536"/>
      <c r="M49" s="536"/>
      <c r="N49" s="536"/>
      <c r="O49" s="536"/>
      <c r="P49" s="536"/>
      <c r="Q49" s="552"/>
      <c r="R49" s="552"/>
      <c r="S49" s="536"/>
      <c r="T49" s="633"/>
      <c r="U49" s="538"/>
      <c r="V49" s="538"/>
      <c r="W49" s="552"/>
      <c r="X49" s="536"/>
      <c r="Y49" s="536"/>
      <c r="Z49" s="536"/>
      <c r="AA49" s="538"/>
      <c r="AB49" s="552"/>
      <c r="AC49" s="552"/>
      <c r="AD49" s="536"/>
      <c r="AE49" s="536"/>
      <c r="AF49" s="536"/>
      <c r="AG49" s="536"/>
      <c r="AH49" s="536"/>
      <c r="AI49" s="536"/>
      <c r="AJ49" s="536"/>
      <c r="AK49" s="536"/>
      <c r="AL49" s="536"/>
      <c r="AM49" s="536"/>
      <c r="AN49" s="536"/>
      <c r="AO49" s="536"/>
      <c r="AP49" s="536"/>
      <c r="AQ49" s="537"/>
      <c r="AR49" s="536"/>
      <c r="AS49" s="536"/>
      <c r="AT49" s="536"/>
      <c r="AU49" s="536"/>
      <c r="AV49" s="536"/>
      <c r="AW49" s="536"/>
      <c r="AX49" s="536"/>
      <c r="AY49" s="536"/>
      <c r="AZ49" s="536"/>
      <c r="BA49" s="536"/>
      <c r="BB49" s="536"/>
      <c r="BC49" s="536"/>
      <c r="BD49" s="536"/>
      <c r="BE49" s="536"/>
      <c r="BF49" s="536"/>
    </row>
    <row r="50" spans="1:58" ht="39.950000000000003" customHeight="1" x14ac:dyDescent="0.2">
      <c r="A50" s="411"/>
      <c r="B50" s="1294" t="s">
        <v>91</v>
      </c>
      <c r="C50" s="429" t="s">
        <v>101</v>
      </c>
      <c r="D50" s="1297" t="s">
        <v>93</v>
      </c>
      <c r="E50" s="405" t="s">
        <v>102</v>
      </c>
      <c r="F50" s="406">
        <v>13.92</v>
      </c>
      <c r="G50" s="389">
        <v>0.01</v>
      </c>
      <c r="H50" s="390">
        <v>0.04</v>
      </c>
      <c r="I50" s="390">
        <v>0.05</v>
      </c>
      <c r="J50" s="391">
        <v>1.96</v>
      </c>
      <c r="K50" s="392">
        <v>44671</v>
      </c>
      <c r="L50" s="1300" t="s">
        <v>103</v>
      </c>
      <c r="M50" s="617">
        <f>SLOPE($H$50:$H$54,$F$50:$F$54)</f>
        <v>0</v>
      </c>
      <c r="N50" s="617">
        <f>INTERCEPT($H$50:$H$54,$F$50:$F$54)</f>
        <v>0.04</v>
      </c>
      <c r="O50" s="583">
        <v>14</v>
      </c>
      <c r="P50" s="618">
        <f>F50</f>
        <v>13.92</v>
      </c>
      <c r="Q50" s="618">
        <v>13.94</v>
      </c>
      <c r="R50" s="619">
        <f>ABS(P50-Q50)</f>
        <v>1.9999999999999574E-2</v>
      </c>
      <c r="S50" s="536"/>
      <c r="T50" s="536"/>
      <c r="U50" s="536"/>
      <c r="V50" s="536"/>
      <c r="W50" s="552"/>
      <c r="X50" s="536"/>
      <c r="Y50" s="536"/>
      <c r="Z50" s="536"/>
      <c r="AA50" s="552"/>
      <c r="AB50" s="552"/>
      <c r="AC50" s="552"/>
      <c r="AD50" s="536"/>
      <c r="AE50" s="536"/>
      <c r="AF50" s="536"/>
      <c r="AG50" s="536"/>
      <c r="AH50" s="536"/>
      <c r="AI50" s="536"/>
      <c r="AJ50" s="536"/>
      <c r="AK50" s="536"/>
      <c r="AL50" s="536"/>
      <c r="AM50" s="536"/>
      <c r="AN50" s="536"/>
      <c r="AO50" s="536"/>
      <c r="AP50" s="536"/>
      <c r="AQ50" s="537"/>
      <c r="AR50" s="536"/>
      <c r="AS50" s="536"/>
      <c r="AT50" s="536"/>
      <c r="AU50" s="536"/>
      <c r="AV50" s="536"/>
      <c r="AW50" s="536"/>
      <c r="AX50" s="536"/>
      <c r="AY50" s="536"/>
      <c r="AZ50" s="536"/>
      <c r="BA50" s="536"/>
      <c r="BB50" s="536"/>
      <c r="BC50" s="536"/>
      <c r="BD50" s="536"/>
      <c r="BE50" s="536"/>
      <c r="BF50" s="536"/>
    </row>
    <row r="51" spans="1:58" ht="39.950000000000003" customHeight="1" thickBot="1" x14ac:dyDescent="0.25">
      <c r="A51" s="411"/>
      <c r="B51" s="1295"/>
      <c r="C51" s="430" t="s">
        <v>104</v>
      </c>
      <c r="D51" s="1298"/>
      <c r="E51" s="407" t="s">
        <v>102</v>
      </c>
      <c r="F51" s="408">
        <v>15.92</v>
      </c>
      <c r="G51" s="393">
        <v>0.01</v>
      </c>
      <c r="H51" s="394">
        <v>0.04</v>
      </c>
      <c r="I51" s="394">
        <v>0.05</v>
      </c>
      <c r="J51" s="395">
        <v>1.96</v>
      </c>
      <c r="K51" s="396">
        <v>44671</v>
      </c>
      <c r="L51" s="1301"/>
      <c r="M51" s="622">
        <f>SLOPE($H$50:$H$54,$F$50:$F$54)</f>
        <v>0</v>
      </c>
      <c r="N51" s="622">
        <f>INTERCEPT($H$50:$H$54,$F$50:$F$54)</f>
        <v>0.04</v>
      </c>
      <c r="O51" s="623">
        <v>16</v>
      </c>
      <c r="P51" s="624">
        <f>F51</f>
        <v>15.92</v>
      </c>
      <c r="Q51" s="624">
        <v>15.95</v>
      </c>
      <c r="R51" s="625">
        <f t="shared" ref="R51:R54" si="2">ABS(P51-Q51)</f>
        <v>2.9999999999999361E-2</v>
      </c>
      <c r="S51" s="536"/>
      <c r="T51" s="538"/>
      <c r="U51" s="552"/>
      <c r="V51" s="552"/>
      <c r="W51" s="552"/>
      <c r="X51" s="552"/>
      <c r="Y51" s="552"/>
      <c r="Z51" s="552"/>
      <c r="AA51" s="552"/>
      <c r="AB51" s="552"/>
      <c r="AC51" s="552"/>
      <c r="AD51" s="536"/>
      <c r="AE51" s="536"/>
      <c r="AF51" s="536"/>
      <c r="AG51" s="536"/>
      <c r="AH51" s="536"/>
      <c r="AI51" s="536"/>
      <c r="AJ51" s="536"/>
      <c r="AK51" s="536"/>
      <c r="AL51" s="536"/>
      <c r="AM51" s="536"/>
      <c r="AN51" s="536"/>
      <c r="AO51" s="536"/>
      <c r="AP51" s="536"/>
      <c r="AQ51" s="537"/>
      <c r="AR51" s="536"/>
      <c r="AS51" s="536"/>
      <c r="AT51" s="536"/>
      <c r="AU51" s="536"/>
      <c r="AV51" s="536"/>
      <c r="AW51" s="536"/>
      <c r="AX51" s="536"/>
      <c r="AY51" s="536"/>
      <c r="AZ51" s="536"/>
      <c r="BA51" s="536"/>
      <c r="BB51" s="536"/>
      <c r="BC51" s="536"/>
      <c r="BD51" s="536"/>
      <c r="BE51" s="536"/>
      <c r="BF51" s="536"/>
    </row>
    <row r="52" spans="1:58" ht="39.950000000000003" customHeight="1" thickBot="1" x14ac:dyDescent="0.25">
      <c r="A52" s="418" t="s">
        <v>105</v>
      </c>
      <c r="B52" s="1295"/>
      <c r="C52" s="430" t="s">
        <v>106</v>
      </c>
      <c r="D52" s="1298"/>
      <c r="E52" s="407" t="s">
        <v>102</v>
      </c>
      <c r="F52" s="408">
        <v>16.96</v>
      </c>
      <c r="G52" s="393">
        <v>0.01</v>
      </c>
      <c r="H52" s="394">
        <v>0.04</v>
      </c>
      <c r="I52" s="394">
        <v>0.05</v>
      </c>
      <c r="J52" s="395">
        <v>1.96</v>
      </c>
      <c r="K52" s="396">
        <v>44671</v>
      </c>
      <c r="L52" s="1301"/>
      <c r="M52" s="167">
        <f>SLOPE($H$50:$H$54,$F$50:$F$54)</f>
        <v>0</v>
      </c>
      <c r="N52" s="622">
        <f>INTERCEPT($H$50:$H$54,$F$50:$F$54)</f>
        <v>0.04</v>
      </c>
      <c r="O52" s="568">
        <v>17</v>
      </c>
      <c r="P52" s="624">
        <f>F52</f>
        <v>16.96</v>
      </c>
      <c r="Q52" s="624">
        <v>16.95</v>
      </c>
      <c r="R52" s="625">
        <f t="shared" si="2"/>
        <v>1.0000000000001563E-2</v>
      </c>
      <c r="S52" s="536"/>
      <c r="T52" s="538"/>
      <c r="U52" s="552"/>
      <c r="V52" s="552"/>
      <c r="W52" s="538"/>
      <c r="X52" s="538"/>
      <c r="Y52" s="538"/>
      <c r="Z52" s="538"/>
      <c r="AA52" s="538"/>
      <c r="AB52" s="538"/>
      <c r="AC52" s="536"/>
      <c r="AD52" s="536"/>
      <c r="AE52" s="536"/>
      <c r="AF52" s="536"/>
      <c r="AG52" s="536"/>
      <c r="AH52" s="536"/>
      <c r="AI52" s="536"/>
      <c r="AJ52" s="536"/>
      <c r="AK52" s="536"/>
      <c r="AL52" s="536"/>
      <c r="AM52" s="536"/>
      <c r="AN52" s="536"/>
      <c r="AO52" s="536"/>
      <c r="AP52" s="536"/>
      <c r="AQ52" s="537"/>
      <c r="AR52" s="536"/>
      <c r="AS52" s="536"/>
      <c r="AT52" s="536"/>
      <c r="AU52" s="536"/>
      <c r="AV52" s="536"/>
      <c r="AW52" s="536"/>
      <c r="AX52" s="536"/>
      <c r="AY52" s="536"/>
      <c r="AZ52" s="536"/>
      <c r="BA52" s="536"/>
      <c r="BB52" s="536"/>
      <c r="BC52" s="536"/>
      <c r="BD52" s="536"/>
      <c r="BE52" s="536"/>
      <c r="BF52" s="536"/>
    </row>
    <row r="53" spans="1:58" ht="39.950000000000003" customHeight="1" x14ac:dyDescent="0.2">
      <c r="A53" s="411"/>
      <c r="B53" s="1295"/>
      <c r="C53" s="430" t="s">
        <v>107</v>
      </c>
      <c r="D53" s="1298"/>
      <c r="E53" s="407" t="s">
        <v>102</v>
      </c>
      <c r="F53" s="408">
        <v>17.96</v>
      </c>
      <c r="G53" s="393">
        <v>0.01</v>
      </c>
      <c r="H53" s="394">
        <v>0.04</v>
      </c>
      <c r="I53" s="394">
        <v>0.05</v>
      </c>
      <c r="J53" s="395">
        <v>1.96</v>
      </c>
      <c r="K53" s="396">
        <v>44671</v>
      </c>
      <c r="L53" s="1301"/>
      <c r="M53" s="622">
        <f>SLOPE($H$50:$H$54,$F$50:$F$54)</f>
        <v>0</v>
      </c>
      <c r="N53" s="622">
        <f>INTERCEPT($H$50:$H$54,$F$50:$F$54)</f>
        <v>0.04</v>
      </c>
      <c r="O53" s="568">
        <v>18</v>
      </c>
      <c r="P53" s="624">
        <f>F53</f>
        <v>17.96</v>
      </c>
      <c r="Q53" s="626">
        <v>17.96</v>
      </c>
      <c r="R53" s="625">
        <f t="shared" si="2"/>
        <v>0</v>
      </c>
      <c r="S53" s="536"/>
      <c r="T53" s="538"/>
      <c r="U53" s="552"/>
      <c r="V53" s="552"/>
      <c r="W53" s="538"/>
      <c r="X53" s="538"/>
      <c r="Y53" s="538"/>
      <c r="Z53" s="538"/>
      <c r="AA53" s="538"/>
      <c r="AB53" s="538"/>
      <c r="AC53" s="536"/>
      <c r="AD53" s="536"/>
      <c r="AE53" s="536"/>
      <c r="AF53" s="536"/>
      <c r="AG53" s="536"/>
      <c r="AH53" s="536"/>
      <c r="AI53" s="536"/>
      <c r="AJ53" s="536"/>
      <c r="AK53" s="536"/>
      <c r="AL53" s="536"/>
      <c r="AM53" s="536"/>
      <c r="AN53" s="536"/>
      <c r="AO53" s="536"/>
      <c r="AP53" s="536"/>
      <c r="AQ53" s="537"/>
      <c r="AR53" s="536"/>
      <c r="AS53" s="536"/>
      <c r="AT53" s="536"/>
      <c r="AU53" s="536"/>
      <c r="AV53" s="536"/>
      <c r="AW53" s="536"/>
      <c r="AX53" s="536"/>
      <c r="AY53" s="536"/>
      <c r="AZ53" s="536"/>
      <c r="BA53" s="536"/>
      <c r="BB53" s="536"/>
      <c r="BC53" s="536"/>
      <c r="BD53" s="536"/>
      <c r="BE53" s="536"/>
      <c r="BF53" s="536"/>
    </row>
    <row r="54" spans="1:58" ht="39.950000000000003" customHeight="1" thickBot="1" x14ac:dyDescent="0.25">
      <c r="A54" s="411"/>
      <c r="B54" s="1296"/>
      <c r="C54" s="431" t="s">
        <v>108</v>
      </c>
      <c r="D54" s="1299"/>
      <c r="E54" s="409" t="s">
        <v>102</v>
      </c>
      <c r="F54" s="410">
        <v>21.96</v>
      </c>
      <c r="G54" s="397">
        <v>0.01</v>
      </c>
      <c r="H54" s="398">
        <v>0.04</v>
      </c>
      <c r="I54" s="398">
        <v>0.05</v>
      </c>
      <c r="J54" s="399">
        <v>1.96</v>
      </c>
      <c r="K54" s="400">
        <v>44671</v>
      </c>
      <c r="L54" s="1302"/>
      <c r="M54" s="629">
        <f>SLOPE($H$50:$H$54,$F$50:$F$54)</f>
        <v>0</v>
      </c>
      <c r="N54" s="629">
        <f>INTERCEPT($H$50:$H$54,$F$50:$F$54)</f>
        <v>0.04</v>
      </c>
      <c r="O54" s="593">
        <v>22</v>
      </c>
      <c r="P54" s="630">
        <f>F54</f>
        <v>21.96</v>
      </c>
      <c r="Q54" s="631">
        <v>21.96</v>
      </c>
      <c r="R54" s="632">
        <f t="shared" si="2"/>
        <v>0</v>
      </c>
      <c r="S54" s="536"/>
      <c r="T54" s="538"/>
      <c r="U54" s="552"/>
      <c r="V54" s="552"/>
      <c r="W54" s="538"/>
      <c r="X54" s="538"/>
      <c r="Y54" s="538"/>
      <c r="Z54" s="538"/>
      <c r="AA54" s="538"/>
      <c r="AB54" s="538"/>
      <c r="AC54" s="536"/>
      <c r="AD54" s="536"/>
      <c r="AE54" s="536"/>
      <c r="AF54" s="536"/>
      <c r="AG54" s="536"/>
      <c r="AH54" s="536"/>
      <c r="AI54" s="536"/>
      <c r="AJ54" s="536"/>
      <c r="AK54" s="536"/>
      <c r="AL54" s="536"/>
      <c r="AM54" s="536"/>
      <c r="AN54" s="536"/>
      <c r="AO54" s="536"/>
      <c r="AP54" s="536"/>
      <c r="AQ54" s="537"/>
      <c r="AR54" s="536"/>
      <c r="AS54" s="536"/>
      <c r="AT54" s="536"/>
      <c r="AU54" s="536"/>
      <c r="AV54" s="536"/>
      <c r="AW54" s="536"/>
      <c r="AX54" s="536"/>
      <c r="AY54" s="536"/>
      <c r="AZ54" s="536"/>
      <c r="BA54" s="536"/>
      <c r="BB54" s="536"/>
      <c r="BC54" s="536"/>
      <c r="BD54" s="536"/>
      <c r="BE54" s="536"/>
      <c r="BF54" s="536"/>
    </row>
    <row r="55" spans="1:58" ht="39.950000000000003" customHeight="1" thickBot="1" x14ac:dyDescent="0.25">
      <c r="A55" s="536"/>
      <c r="B55" s="536"/>
      <c r="C55" s="536"/>
      <c r="D55" s="536"/>
      <c r="E55" s="536"/>
      <c r="F55" s="536"/>
      <c r="G55" s="536"/>
      <c r="H55" s="536"/>
      <c r="I55" s="536"/>
      <c r="J55" s="536"/>
      <c r="K55" s="536"/>
      <c r="L55" s="536"/>
      <c r="M55" s="536"/>
      <c r="N55" s="536"/>
      <c r="O55" s="536"/>
      <c r="P55" s="536"/>
      <c r="Q55" s="536"/>
      <c r="R55" s="536"/>
      <c r="S55" s="536"/>
      <c r="T55" s="538"/>
      <c r="U55" s="552"/>
      <c r="V55" s="552"/>
      <c r="W55" s="538"/>
      <c r="X55" s="538"/>
      <c r="Y55" s="552"/>
      <c r="Z55" s="552"/>
      <c r="AA55" s="552"/>
      <c r="AB55" s="552"/>
      <c r="AC55" s="536"/>
      <c r="AD55" s="536"/>
      <c r="AE55" s="536"/>
      <c r="AF55" s="536"/>
      <c r="AG55" s="536"/>
      <c r="AH55" s="536"/>
      <c r="AI55" s="536"/>
      <c r="AJ55" s="536"/>
      <c r="AK55" s="536"/>
      <c r="AL55" s="536"/>
      <c r="AM55" s="536"/>
      <c r="AN55" s="536"/>
      <c r="AO55" s="536"/>
      <c r="AP55" s="536"/>
      <c r="AQ55" s="537"/>
      <c r="AR55" s="536"/>
      <c r="AS55" s="536"/>
      <c r="AT55" s="536"/>
      <c r="AU55" s="536"/>
      <c r="AV55" s="536"/>
      <c r="AW55" s="536"/>
      <c r="AX55" s="536"/>
      <c r="AY55" s="536"/>
      <c r="AZ55" s="536"/>
      <c r="BA55" s="536"/>
      <c r="BB55" s="536"/>
      <c r="BC55" s="536"/>
      <c r="BD55" s="536"/>
      <c r="BE55" s="536"/>
      <c r="BF55" s="536"/>
    </row>
    <row r="56" spans="1:58" ht="39.950000000000003" customHeight="1" thickBot="1" x14ac:dyDescent="0.25">
      <c r="A56" s="411"/>
      <c r="B56" s="1306" t="s">
        <v>91</v>
      </c>
      <c r="C56" s="429" t="s">
        <v>109</v>
      </c>
      <c r="D56" s="1309" t="s">
        <v>93</v>
      </c>
      <c r="E56" s="413" t="s">
        <v>110</v>
      </c>
      <c r="F56" s="414">
        <v>13.8</v>
      </c>
      <c r="G56" s="389">
        <v>0.01</v>
      </c>
      <c r="H56" s="390">
        <v>0.16</v>
      </c>
      <c r="I56" s="390">
        <v>0.05</v>
      </c>
      <c r="J56" s="391">
        <v>1.96</v>
      </c>
      <c r="K56" s="392">
        <v>44671</v>
      </c>
      <c r="L56" s="1312" t="s">
        <v>111</v>
      </c>
      <c r="M56" s="617">
        <f>SLOPE($H$56:$H$60,$F$56:$F$60)</f>
        <v>-9.6257188437469919E-4</v>
      </c>
      <c r="N56" s="617">
        <f>INTERCEPT($H$56:$H$60,$F$56:$F$60)</f>
        <v>0.16858703871154482</v>
      </c>
      <c r="O56" s="583">
        <v>14</v>
      </c>
      <c r="P56" s="618">
        <f>F56</f>
        <v>13.8</v>
      </c>
      <c r="Q56" s="618">
        <v>13.82</v>
      </c>
      <c r="R56" s="619">
        <f>ABS(P56-Q56)</f>
        <v>1.9999999999999574E-2</v>
      </c>
      <c r="S56" s="536"/>
      <c r="T56" s="538"/>
      <c r="U56" s="552"/>
      <c r="V56" s="552"/>
      <c r="W56" s="538"/>
      <c r="X56" s="538"/>
      <c r="Y56" s="1214" t="s">
        <v>112</v>
      </c>
      <c r="Z56" s="1217"/>
      <c r="AA56" s="1217"/>
      <c r="AB56" s="1218"/>
      <c r="AC56" s="536"/>
      <c r="AD56" s="536"/>
      <c r="AE56" s="536"/>
      <c r="AF56" s="536"/>
      <c r="AG56" s="536"/>
      <c r="AH56" s="1205" t="s">
        <v>113</v>
      </c>
      <c r="AI56" s="1207"/>
      <c r="AJ56" s="536"/>
      <c r="AK56" s="536"/>
      <c r="AL56" s="536"/>
      <c r="AM56" s="536"/>
      <c r="AN56" s="536"/>
      <c r="AO56" s="536"/>
      <c r="AP56" s="536"/>
      <c r="AQ56" s="537"/>
      <c r="AR56" s="536"/>
      <c r="AS56" s="536"/>
      <c r="AT56" s="536"/>
      <c r="AU56" s="536"/>
      <c r="AV56" s="536"/>
      <c r="AW56" s="536"/>
      <c r="AX56" s="536"/>
      <c r="AY56" s="536"/>
      <c r="AZ56" s="536"/>
      <c r="BA56" s="536"/>
      <c r="BB56" s="536"/>
      <c r="BC56" s="536"/>
      <c r="BD56" s="536"/>
      <c r="BE56" s="536"/>
      <c r="BF56" s="536"/>
    </row>
    <row r="57" spans="1:58" ht="39.950000000000003" customHeight="1" thickBot="1" x14ac:dyDescent="0.25">
      <c r="A57" s="411"/>
      <c r="B57" s="1307"/>
      <c r="C57" s="430" t="s">
        <v>114</v>
      </c>
      <c r="D57" s="1310"/>
      <c r="E57" s="416" t="s">
        <v>110</v>
      </c>
      <c r="F57" s="417">
        <v>15.81</v>
      </c>
      <c r="G57" s="393">
        <v>0.01</v>
      </c>
      <c r="H57" s="422">
        <v>0.15</v>
      </c>
      <c r="I57" s="394">
        <v>0.05</v>
      </c>
      <c r="J57" s="395">
        <v>1.96</v>
      </c>
      <c r="K57" s="396">
        <v>44671</v>
      </c>
      <c r="L57" s="1313"/>
      <c r="M57" s="622">
        <f>SLOPE($H$56:$H$60,$F$56:$F$60)</f>
        <v>-9.6257188437469919E-4</v>
      </c>
      <c r="N57" s="622">
        <f>INTERCEPT($H$56:$H$60,$F$56:$F$60)</f>
        <v>0.16858703871154482</v>
      </c>
      <c r="O57" s="623">
        <v>16</v>
      </c>
      <c r="P57" s="624">
        <f>F57</f>
        <v>15.81</v>
      </c>
      <c r="Q57" s="624">
        <v>15.82</v>
      </c>
      <c r="R57" s="625">
        <f>ABS(P57-Q57)</f>
        <v>9.9999999999997868E-3</v>
      </c>
      <c r="S57" s="536"/>
      <c r="T57" s="538"/>
      <c r="U57" s="552"/>
      <c r="V57" s="552"/>
      <c r="W57" s="552"/>
      <c r="X57" s="552"/>
      <c r="Y57" s="1413" t="s">
        <v>115</v>
      </c>
      <c r="Z57" s="1414"/>
      <c r="AA57" s="1414"/>
      <c r="AB57" s="1415"/>
      <c r="AC57" s="536"/>
      <c r="AD57" s="536"/>
      <c r="AE57" s="536"/>
      <c r="AF57" s="536"/>
      <c r="AG57" s="536"/>
      <c r="AH57" s="641"/>
      <c r="AI57" s="642"/>
      <c r="AJ57" s="536"/>
      <c r="AK57" s="536"/>
      <c r="AL57" s="536"/>
      <c r="AM57" s="536"/>
      <c r="AN57" s="536"/>
      <c r="AO57" s="536"/>
      <c r="AP57" s="536"/>
      <c r="AQ57" s="537"/>
      <c r="AR57" s="536"/>
      <c r="AS57" s="536"/>
      <c r="AT57" s="536"/>
      <c r="AU57" s="536"/>
      <c r="AV57" s="536"/>
      <c r="AW57" s="536"/>
      <c r="AX57" s="536"/>
      <c r="AY57" s="536"/>
      <c r="AZ57" s="536"/>
      <c r="BA57" s="536"/>
      <c r="BB57" s="536"/>
      <c r="BC57" s="536"/>
      <c r="BD57" s="536"/>
      <c r="BE57" s="536"/>
      <c r="BF57" s="536"/>
    </row>
    <row r="58" spans="1:58" ht="39.950000000000003" customHeight="1" thickBot="1" x14ac:dyDescent="0.25">
      <c r="A58" s="418" t="s">
        <v>116</v>
      </c>
      <c r="B58" s="1307"/>
      <c r="C58" s="430" t="s">
        <v>117</v>
      </c>
      <c r="D58" s="1310"/>
      <c r="E58" s="416" t="s">
        <v>110</v>
      </c>
      <c r="F58" s="417">
        <v>16.850000000000001</v>
      </c>
      <c r="G58" s="393">
        <v>0.01</v>
      </c>
      <c r="H58" s="422">
        <v>0.15</v>
      </c>
      <c r="I58" s="394">
        <v>0.05</v>
      </c>
      <c r="J58" s="395">
        <v>1.96</v>
      </c>
      <c r="K58" s="396">
        <v>44671</v>
      </c>
      <c r="L58" s="1313"/>
      <c r="M58" s="622">
        <f>SLOPE($H$56:$H$60,$F$56:$F$60)</f>
        <v>-9.6257188437469919E-4</v>
      </c>
      <c r="N58" s="622">
        <f>INTERCEPT($H$56:$H$60,$F$56:$F$60)</f>
        <v>0.16858703871154482</v>
      </c>
      <c r="O58" s="568">
        <v>17</v>
      </c>
      <c r="P58" s="624">
        <f>F58</f>
        <v>16.850000000000001</v>
      </c>
      <c r="Q58" s="624">
        <v>16.82</v>
      </c>
      <c r="R58" s="625">
        <f>ABS(P58-Q58)</f>
        <v>3.0000000000001137E-2</v>
      </c>
      <c r="S58" s="536"/>
      <c r="T58" s="538"/>
      <c r="U58" s="552"/>
      <c r="V58" s="552"/>
      <c r="W58" s="552"/>
      <c r="X58" s="552"/>
      <c r="Y58" s="643" t="s">
        <v>2</v>
      </c>
      <c r="Z58" s="644" t="s">
        <v>118</v>
      </c>
      <c r="AA58" s="645" t="s">
        <v>119</v>
      </c>
      <c r="AB58" s="646" t="s">
        <v>120</v>
      </c>
      <c r="AC58" s="536"/>
      <c r="AD58" s="536"/>
      <c r="AE58" s="536"/>
      <c r="AF58" s="536"/>
      <c r="AG58" s="536"/>
      <c r="AH58" s="134" t="s">
        <v>121</v>
      </c>
      <c r="AI58" s="194" t="s">
        <v>122</v>
      </c>
      <c r="AJ58" s="536"/>
      <c r="AK58" s="536"/>
      <c r="AL58" s="536"/>
      <c r="AM58" s="536"/>
      <c r="AN58" s="536"/>
      <c r="AO58" s="536"/>
      <c r="AP58" s="536"/>
      <c r="AQ58" s="537"/>
      <c r="AR58" s="536"/>
      <c r="AS58" s="536"/>
      <c r="AT58" s="536"/>
      <c r="AU58" s="536"/>
      <c r="AV58" s="536"/>
      <c r="AW58" s="536"/>
      <c r="AX58" s="536"/>
      <c r="AY58" s="536"/>
      <c r="AZ58" s="536"/>
      <c r="BA58" s="536"/>
      <c r="BB58" s="536"/>
      <c r="BC58" s="536"/>
      <c r="BD58" s="536"/>
      <c r="BE58" s="536"/>
      <c r="BF58" s="536"/>
    </row>
    <row r="59" spans="1:58" ht="39.950000000000003" customHeight="1" x14ac:dyDescent="0.2">
      <c r="A59" s="411"/>
      <c r="B59" s="1307"/>
      <c r="C59" s="430" t="s">
        <v>123</v>
      </c>
      <c r="D59" s="1310"/>
      <c r="E59" s="416" t="s">
        <v>110</v>
      </c>
      <c r="F59" s="417">
        <v>17.850000000000001</v>
      </c>
      <c r="G59" s="393">
        <v>0.01</v>
      </c>
      <c r="H59" s="394">
        <v>0.15</v>
      </c>
      <c r="I59" s="394">
        <v>0.05</v>
      </c>
      <c r="J59" s="395">
        <v>1.96</v>
      </c>
      <c r="K59" s="396">
        <v>44671</v>
      </c>
      <c r="L59" s="1313"/>
      <c r="M59" s="622">
        <f>SLOPE($H$56:$H$60,$F$56:$F$60)</f>
        <v>-9.6257188437469919E-4</v>
      </c>
      <c r="N59" s="622">
        <f>INTERCEPT($H$56:$H$60,$F$56:$F$60)</f>
        <v>0.16858703871154482</v>
      </c>
      <c r="O59" s="568">
        <v>18</v>
      </c>
      <c r="P59" s="624">
        <f>F59</f>
        <v>17.850000000000001</v>
      </c>
      <c r="Q59" s="626">
        <v>17.829999999999998</v>
      </c>
      <c r="R59" s="625">
        <f>ABS(P59-Q59)</f>
        <v>2.0000000000003126E-2</v>
      </c>
      <c r="S59" s="536"/>
      <c r="T59" s="538"/>
      <c r="U59" s="552"/>
      <c r="V59" s="552"/>
      <c r="W59" s="552"/>
      <c r="X59" s="552"/>
      <c r="Y59" s="647"/>
      <c r="Z59" s="648"/>
      <c r="AA59" s="648"/>
      <c r="AB59" s="649"/>
      <c r="AC59" s="536"/>
      <c r="AD59" s="536"/>
      <c r="AE59" s="536"/>
      <c r="AF59" s="536"/>
      <c r="AG59" s="536"/>
      <c r="AH59" s="650" t="s">
        <v>124</v>
      </c>
      <c r="AI59" s="651"/>
      <c r="AJ59" s="536"/>
      <c r="AK59" s="536"/>
      <c r="AL59" s="536"/>
      <c r="AM59" s="536"/>
      <c r="AN59" s="536"/>
      <c r="AO59" s="536"/>
      <c r="AP59" s="536"/>
      <c r="AQ59" s="537"/>
      <c r="AR59" s="536"/>
      <c r="AS59" s="536"/>
      <c r="AT59" s="536"/>
      <c r="AU59" s="536"/>
      <c r="AV59" s="536"/>
      <c r="AW59" s="536"/>
      <c r="AX59" s="536"/>
      <c r="AY59" s="536"/>
      <c r="AZ59" s="536"/>
      <c r="BA59" s="536"/>
      <c r="BB59" s="536"/>
      <c r="BC59" s="536"/>
      <c r="BD59" s="536"/>
      <c r="BE59" s="536"/>
      <c r="BF59" s="536"/>
    </row>
    <row r="60" spans="1:58" ht="39.950000000000003" customHeight="1" thickBot="1" x14ac:dyDescent="0.25">
      <c r="A60" s="411"/>
      <c r="B60" s="1308"/>
      <c r="C60" s="431" t="s">
        <v>125</v>
      </c>
      <c r="D60" s="1311"/>
      <c r="E60" s="420" t="s">
        <v>110</v>
      </c>
      <c r="F60" s="421">
        <v>21.85</v>
      </c>
      <c r="G60" s="397">
        <v>0.01</v>
      </c>
      <c r="H60" s="398">
        <v>0.15</v>
      </c>
      <c r="I60" s="398">
        <v>0.05</v>
      </c>
      <c r="J60" s="399">
        <v>1.96</v>
      </c>
      <c r="K60" s="400">
        <v>44671</v>
      </c>
      <c r="L60" s="1314"/>
      <c r="M60" s="629">
        <f>SLOPE($H$56:$H$60,$F$56:$F$60)</f>
        <v>-9.6257188437469919E-4</v>
      </c>
      <c r="N60" s="629">
        <f>INTERCEPT($H$56:$H$60,$F$56:$F$60)</f>
        <v>0.16858703871154482</v>
      </c>
      <c r="O60" s="593">
        <v>22</v>
      </c>
      <c r="P60" s="630">
        <f>F60</f>
        <v>21.85</v>
      </c>
      <c r="Q60" s="631">
        <v>21.83</v>
      </c>
      <c r="R60" s="632">
        <f>ABS(P60-Q60)</f>
        <v>2.0000000000003126E-2</v>
      </c>
      <c r="S60" s="536"/>
      <c r="T60" s="538"/>
      <c r="U60" s="552"/>
      <c r="V60" s="552"/>
      <c r="W60" s="552"/>
      <c r="X60" s="552"/>
      <c r="Y60" s="652" t="s">
        <v>126</v>
      </c>
      <c r="Z60" s="623">
        <v>0.25</v>
      </c>
      <c r="AA60" s="623">
        <v>80</v>
      </c>
      <c r="AB60" s="653">
        <f>AB61/2</f>
        <v>4.0967649999999995</v>
      </c>
      <c r="AC60" s="536"/>
      <c r="AD60" s="536"/>
      <c r="AE60" s="536"/>
      <c r="AF60" s="536"/>
      <c r="AG60" s="536"/>
      <c r="AH60" s="652">
        <v>316</v>
      </c>
      <c r="AI60" s="651">
        <v>4.7700000000000001E-5</v>
      </c>
      <c r="AJ60" s="536"/>
      <c r="AK60" s="536"/>
      <c r="AL60" s="536"/>
      <c r="AM60" s="536"/>
      <c r="AN60" s="536"/>
      <c r="AO60" s="536"/>
      <c r="AP60" s="536"/>
      <c r="AQ60" s="537"/>
      <c r="AR60" s="536"/>
      <c r="AS60" s="536"/>
      <c r="AT60" s="536"/>
      <c r="AU60" s="536"/>
      <c r="AV60" s="536"/>
      <c r="AW60" s="536"/>
      <c r="AX60" s="536"/>
      <c r="AY60" s="536"/>
      <c r="AZ60" s="536"/>
      <c r="BA60" s="536"/>
      <c r="BB60" s="536"/>
      <c r="BC60" s="536"/>
      <c r="BD60" s="536"/>
      <c r="BE60" s="536"/>
      <c r="BF60" s="536"/>
    </row>
    <row r="61" spans="1:58" ht="30" customHeight="1" x14ac:dyDescent="0.2">
      <c r="A61" s="536"/>
      <c r="B61" s="536"/>
      <c r="C61" s="536"/>
      <c r="D61" s="536"/>
      <c r="E61" s="536"/>
      <c r="F61" s="536"/>
      <c r="G61" s="536"/>
      <c r="H61" s="536"/>
      <c r="I61" s="536"/>
      <c r="J61" s="536"/>
      <c r="K61" s="536"/>
      <c r="L61" s="536"/>
      <c r="M61" s="536"/>
      <c r="N61" s="536"/>
      <c r="O61" s="536"/>
      <c r="P61" s="536"/>
      <c r="Q61" s="536"/>
      <c r="R61" s="536"/>
      <c r="S61" s="536"/>
      <c r="T61" s="538"/>
      <c r="U61" s="552"/>
      <c r="V61" s="552"/>
      <c r="W61" s="552"/>
      <c r="X61" s="552"/>
      <c r="Y61" s="652" t="s">
        <v>127</v>
      </c>
      <c r="Z61" s="623">
        <v>0.5</v>
      </c>
      <c r="AA61" s="623">
        <v>40</v>
      </c>
      <c r="AB61" s="653">
        <f>AB62/2</f>
        <v>8.1935299999999991</v>
      </c>
      <c r="AC61" s="552"/>
      <c r="AD61" s="536"/>
      <c r="AE61" s="536"/>
      <c r="AF61" s="536"/>
      <c r="AG61" s="536"/>
      <c r="AH61" s="652">
        <v>304</v>
      </c>
      <c r="AI61" s="651">
        <v>5.1799999999999999E-5</v>
      </c>
      <c r="AJ61" s="536"/>
      <c r="AK61" s="536"/>
      <c r="AL61" s="536"/>
      <c r="AM61" s="536"/>
      <c r="AN61" s="536"/>
      <c r="AO61" s="536"/>
      <c r="AP61" s="536"/>
      <c r="AQ61" s="537"/>
      <c r="AR61" s="536"/>
      <c r="AS61" s="536"/>
      <c r="AT61" s="536"/>
      <c r="AU61" s="536"/>
      <c r="AV61" s="536"/>
      <c r="AW61" s="536"/>
      <c r="AX61" s="536"/>
      <c r="AY61" s="536"/>
      <c r="AZ61" s="536"/>
      <c r="BA61" s="536"/>
      <c r="BB61" s="536"/>
      <c r="BC61" s="536"/>
      <c r="BD61" s="536"/>
      <c r="BE61" s="536"/>
      <c r="BF61" s="536"/>
    </row>
    <row r="62" spans="1:58" ht="30" customHeight="1" x14ac:dyDescent="0.2">
      <c r="A62" s="536"/>
      <c r="B62" s="536"/>
      <c r="C62" s="536"/>
      <c r="D62" s="536"/>
      <c r="E62" s="536"/>
      <c r="F62" s="536"/>
      <c r="G62" s="536"/>
      <c r="H62" s="536"/>
      <c r="I62" s="536"/>
      <c r="J62" s="536"/>
      <c r="K62" s="536"/>
      <c r="L62" s="536"/>
      <c r="M62" s="536"/>
      <c r="N62" s="536"/>
      <c r="O62" s="536"/>
      <c r="P62" s="536"/>
      <c r="Q62" s="536"/>
      <c r="R62" s="536"/>
      <c r="S62" s="536"/>
      <c r="T62" s="538"/>
      <c r="U62" s="552"/>
      <c r="V62" s="552"/>
      <c r="W62" s="552"/>
      <c r="X62" s="552"/>
      <c r="Y62" s="652" t="s">
        <v>128</v>
      </c>
      <c r="Z62" s="623">
        <v>1</v>
      </c>
      <c r="AA62" s="623">
        <v>20</v>
      </c>
      <c r="AB62" s="653">
        <f>'RT03-F11 ¬'!L30</f>
        <v>16.387059999999998</v>
      </c>
      <c r="AC62" s="552"/>
      <c r="AD62" s="536"/>
      <c r="AE62" s="536"/>
      <c r="AF62" s="536"/>
      <c r="AG62" s="536"/>
      <c r="AH62" s="652"/>
      <c r="AI62" s="651"/>
      <c r="AJ62" s="536"/>
      <c r="AK62" s="536"/>
      <c r="AL62" s="536"/>
      <c r="AM62" s="536"/>
      <c r="AN62" s="536"/>
      <c r="AO62" s="536"/>
      <c r="AP62" s="536"/>
      <c r="AQ62" s="537"/>
      <c r="AR62" s="536"/>
      <c r="AS62" s="536"/>
      <c r="AT62" s="536"/>
      <c r="AU62" s="536"/>
      <c r="AV62" s="536"/>
      <c r="AW62" s="536"/>
      <c r="AX62" s="536"/>
      <c r="AY62" s="536"/>
      <c r="AZ62" s="536"/>
      <c r="BA62" s="536"/>
      <c r="BB62" s="536"/>
      <c r="BC62" s="536"/>
      <c r="BD62" s="536"/>
      <c r="BE62" s="536"/>
      <c r="BF62" s="536"/>
    </row>
    <row r="63" spans="1:58" ht="30" customHeight="1" thickBot="1" x14ac:dyDescent="0.25">
      <c r="A63" s="536"/>
      <c r="B63" s="536"/>
      <c r="C63" s="536"/>
      <c r="D63" s="536"/>
      <c r="E63" s="536"/>
      <c r="F63" s="536"/>
      <c r="G63" s="536"/>
      <c r="H63" s="536"/>
      <c r="I63" s="536"/>
      <c r="J63" s="536"/>
      <c r="K63" s="536"/>
      <c r="L63" s="536"/>
      <c r="M63" s="536"/>
      <c r="N63" s="536"/>
      <c r="O63" s="536"/>
      <c r="P63" s="536"/>
      <c r="Q63" s="536"/>
      <c r="R63" s="536"/>
      <c r="S63" s="536"/>
      <c r="T63" s="538"/>
      <c r="U63" s="552"/>
      <c r="V63" s="552"/>
      <c r="W63" s="552"/>
      <c r="X63" s="552"/>
      <c r="Y63" s="1071">
        <v>5.0000000000000001E-4</v>
      </c>
      <c r="Z63" s="654">
        <v>0.57728000000000002</v>
      </c>
      <c r="AA63" s="623">
        <v>40</v>
      </c>
      <c r="AB63" s="655">
        <f>('RT03-F11 ¬'!M30*0.05)/100</f>
        <v>9.4635274999999996</v>
      </c>
      <c r="AC63" s="552"/>
      <c r="AD63" s="536"/>
      <c r="AE63" s="536"/>
      <c r="AF63" s="536"/>
      <c r="AG63" s="536"/>
      <c r="AH63" s="656"/>
      <c r="AI63" s="657"/>
      <c r="AJ63" s="536"/>
      <c r="AK63" s="536"/>
      <c r="AL63" s="536"/>
      <c r="AM63" s="536"/>
      <c r="AN63" s="536"/>
      <c r="AO63" s="536"/>
      <c r="AP63" s="536"/>
      <c r="AQ63" s="537"/>
      <c r="AR63" s="536"/>
      <c r="AS63" s="536"/>
      <c r="AT63" s="536"/>
      <c r="AU63" s="536"/>
      <c r="AV63" s="536"/>
      <c r="AW63" s="536"/>
      <c r="AX63" s="536"/>
      <c r="AY63" s="536"/>
      <c r="AZ63" s="536"/>
      <c r="BA63" s="536"/>
      <c r="BB63" s="536"/>
      <c r="BC63" s="536"/>
      <c r="BD63" s="536"/>
      <c r="BE63" s="536"/>
      <c r="BF63" s="536"/>
    </row>
    <row r="64" spans="1:58" ht="30" customHeight="1" thickBot="1" x14ac:dyDescent="0.25">
      <c r="A64" s="536"/>
      <c r="B64" s="536"/>
      <c r="C64" s="536"/>
      <c r="D64" s="536"/>
      <c r="E64" s="536"/>
      <c r="F64" s="536"/>
      <c r="G64" s="536"/>
      <c r="H64" s="536"/>
      <c r="I64" s="536"/>
      <c r="J64" s="536"/>
      <c r="K64" s="536"/>
      <c r="L64" s="536"/>
      <c r="M64" s="536"/>
      <c r="N64" s="536"/>
      <c r="O64" s="536"/>
      <c r="P64" s="536"/>
      <c r="Q64" s="536"/>
      <c r="R64" s="536"/>
      <c r="S64" s="536"/>
      <c r="T64" s="538"/>
      <c r="U64" s="552"/>
      <c r="V64" s="552"/>
      <c r="W64" s="552"/>
      <c r="X64" s="552"/>
      <c r="Y64" s="658"/>
      <c r="Z64" s="589"/>
      <c r="AA64" s="589"/>
      <c r="AB64" s="659"/>
      <c r="AC64" s="552"/>
      <c r="AD64" s="536"/>
      <c r="AE64" s="536"/>
      <c r="AF64" s="536"/>
      <c r="AG64" s="536"/>
      <c r="AH64" s="536"/>
      <c r="AI64" s="536"/>
      <c r="AJ64" s="536"/>
      <c r="AK64" s="536"/>
      <c r="AL64" s="536"/>
      <c r="AM64" s="536"/>
      <c r="AN64" s="536"/>
      <c r="AO64" s="536"/>
      <c r="AP64" s="536"/>
      <c r="AQ64" s="537"/>
      <c r="AR64" s="536"/>
      <c r="AS64" s="536"/>
      <c r="AT64" s="536"/>
      <c r="AU64" s="536"/>
      <c r="AV64" s="536"/>
      <c r="AW64" s="536"/>
      <c r="AX64" s="536"/>
      <c r="AY64" s="536"/>
      <c r="AZ64" s="536"/>
      <c r="BA64" s="536"/>
      <c r="BB64" s="536"/>
      <c r="BC64" s="536"/>
      <c r="BD64" s="536"/>
      <c r="BE64" s="536"/>
      <c r="BF64" s="536"/>
    </row>
    <row r="65" spans="1:58" ht="30" customHeight="1" x14ac:dyDescent="0.2">
      <c r="A65" s="536"/>
      <c r="B65" s="536"/>
      <c r="C65" s="536"/>
      <c r="D65" s="536"/>
      <c r="E65" s="536"/>
      <c r="F65" s="536"/>
      <c r="G65" s="536"/>
      <c r="H65" s="536"/>
      <c r="I65" s="536"/>
      <c r="J65" s="536"/>
      <c r="K65" s="536"/>
      <c r="L65" s="536"/>
      <c r="M65" s="536"/>
      <c r="N65" s="536"/>
      <c r="O65" s="536"/>
      <c r="P65" s="536"/>
      <c r="Q65" s="536"/>
      <c r="R65" s="536"/>
      <c r="S65" s="536"/>
      <c r="T65" s="538"/>
      <c r="U65" s="552"/>
      <c r="V65" s="552"/>
      <c r="W65" s="552"/>
      <c r="X65" s="552"/>
      <c r="Y65" s="552"/>
      <c r="Z65" s="552"/>
      <c r="AA65" s="552"/>
      <c r="AB65" s="552"/>
      <c r="AC65" s="552"/>
      <c r="AD65" s="536"/>
      <c r="AE65" s="536"/>
      <c r="AF65" s="536"/>
      <c r="AG65" s="536"/>
      <c r="AH65" s="536"/>
      <c r="AI65" s="536"/>
      <c r="AJ65" s="536"/>
      <c r="AK65" s="536"/>
      <c r="AL65" s="536"/>
      <c r="AM65" s="536"/>
      <c r="AN65" s="536"/>
      <c r="AO65" s="536"/>
      <c r="AP65" s="536"/>
      <c r="AQ65" s="537"/>
      <c r="AR65" s="536"/>
      <c r="AS65" s="536"/>
      <c r="AT65" s="536"/>
      <c r="AU65" s="536"/>
      <c r="AV65" s="536"/>
      <c r="AW65" s="536"/>
      <c r="AX65" s="536"/>
      <c r="AY65" s="536"/>
      <c r="AZ65" s="536"/>
      <c r="BA65" s="536"/>
      <c r="BB65" s="536"/>
      <c r="BC65" s="536"/>
      <c r="BD65" s="536"/>
      <c r="BE65" s="536"/>
      <c r="BF65" s="536"/>
    </row>
    <row r="66" spans="1:58" ht="30" customHeight="1" x14ac:dyDescent="0.2">
      <c r="A66" s="536"/>
      <c r="B66" s="536"/>
      <c r="C66" s="536"/>
      <c r="D66" s="536"/>
      <c r="E66" s="536"/>
      <c r="F66" s="536"/>
      <c r="G66" s="536"/>
      <c r="H66" s="536"/>
      <c r="I66" s="536"/>
      <c r="J66" s="536"/>
      <c r="K66" s="536"/>
      <c r="L66" s="536"/>
      <c r="M66" s="536"/>
      <c r="N66" s="536"/>
      <c r="O66" s="536"/>
      <c r="P66" s="536"/>
      <c r="Q66" s="536"/>
      <c r="R66" s="536"/>
      <c r="S66" s="536"/>
      <c r="T66" s="538"/>
      <c r="U66" s="552"/>
      <c r="V66" s="552"/>
      <c r="W66" s="552"/>
      <c r="X66" s="552"/>
      <c r="Y66" s="552"/>
      <c r="Z66" s="552"/>
      <c r="AA66" s="552"/>
      <c r="AB66" s="552"/>
      <c r="AC66" s="552"/>
      <c r="AD66" s="536"/>
      <c r="AE66" s="536"/>
      <c r="AF66" s="536"/>
      <c r="AG66" s="536"/>
      <c r="AH66" s="536"/>
      <c r="AI66" s="536"/>
      <c r="AJ66" s="536"/>
      <c r="AK66" s="536"/>
      <c r="AL66" s="536"/>
      <c r="AM66" s="536"/>
      <c r="AN66" s="536"/>
      <c r="AO66" s="536"/>
      <c r="AP66" s="536"/>
      <c r="AQ66" s="537"/>
      <c r="AR66" s="536"/>
      <c r="AS66" s="536"/>
      <c r="AT66" s="536"/>
      <c r="AU66" s="536"/>
      <c r="AV66" s="536"/>
      <c r="AW66" s="536"/>
      <c r="AX66" s="536"/>
      <c r="AY66" s="536"/>
      <c r="AZ66" s="536"/>
      <c r="BA66" s="536"/>
      <c r="BB66" s="536"/>
      <c r="BC66" s="536"/>
      <c r="BD66" s="536"/>
      <c r="BE66" s="536"/>
      <c r="BF66" s="536"/>
    </row>
    <row r="67" spans="1:58" ht="30" customHeight="1" thickBot="1" x14ac:dyDescent="0.25">
      <c r="A67" s="536"/>
      <c r="B67" s="536"/>
      <c r="C67" s="536"/>
      <c r="D67" s="536"/>
      <c r="E67" s="536"/>
      <c r="F67" s="536"/>
      <c r="G67" s="536"/>
      <c r="H67" s="536"/>
      <c r="I67" s="536"/>
      <c r="J67" s="536"/>
      <c r="K67" s="536"/>
      <c r="L67" s="536"/>
      <c r="M67" s="536"/>
      <c r="N67" s="536"/>
      <c r="O67" s="536"/>
      <c r="P67" s="536"/>
      <c r="Q67" s="536"/>
      <c r="R67" s="536"/>
      <c r="S67" s="536"/>
      <c r="T67" s="538"/>
      <c r="U67" s="552"/>
      <c r="V67" s="552"/>
      <c r="W67" s="552"/>
      <c r="X67" s="552"/>
      <c r="Y67" s="552"/>
      <c r="Z67" s="552"/>
      <c r="AA67" s="552"/>
      <c r="AB67" s="552"/>
      <c r="AC67" s="552"/>
      <c r="AD67" s="536"/>
      <c r="AE67" s="536"/>
      <c r="AF67" s="536"/>
      <c r="AG67" s="536"/>
      <c r="AH67" s="536"/>
      <c r="AI67" s="536"/>
      <c r="AJ67" s="536"/>
      <c r="AK67" s="536"/>
      <c r="AL67" s="536"/>
      <c r="AM67" s="536"/>
      <c r="AN67" s="536"/>
      <c r="AO67" s="536"/>
      <c r="AP67" s="536"/>
      <c r="AQ67" s="537"/>
      <c r="AR67" s="536"/>
      <c r="AS67" s="536"/>
      <c r="AT67" s="536"/>
      <c r="AU67" s="536"/>
      <c r="AV67" s="536"/>
      <c r="AW67" s="536"/>
      <c r="AX67" s="536"/>
      <c r="AY67" s="536"/>
      <c r="AZ67" s="536"/>
      <c r="BA67" s="536"/>
      <c r="BB67" s="536"/>
      <c r="BC67" s="536"/>
      <c r="BD67" s="536"/>
      <c r="BE67" s="536"/>
      <c r="BF67" s="536"/>
    </row>
    <row r="68" spans="1:58" ht="30" customHeight="1" thickBot="1" x14ac:dyDescent="0.25">
      <c r="A68" s="1326" t="s">
        <v>129</v>
      </c>
      <c r="B68" s="1215"/>
      <c r="C68" s="1215"/>
      <c r="D68" s="1215"/>
      <c r="E68" s="1215"/>
      <c r="F68" s="1215"/>
      <c r="G68" s="1215"/>
      <c r="H68" s="1215"/>
      <c r="I68" s="1215"/>
      <c r="J68" s="1215"/>
      <c r="K68" s="1215"/>
      <c r="L68" s="1215"/>
      <c r="M68" s="1215"/>
      <c r="N68" s="1215"/>
      <c r="O68" s="1215"/>
      <c r="P68" s="1215"/>
      <c r="Q68" s="1216"/>
      <c r="R68" s="536"/>
      <c r="S68" s="536"/>
      <c r="T68" s="538"/>
      <c r="U68" s="552"/>
      <c r="V68" s="552"/>
      <c r="W68" s="552"/>
      <c r="X68" s="538"/>
      <c r="Y68" s="538"/>
      <c r="Z68" s="538"/>
      <c r="AA68" s="538"/>
      <c r="AB68" s="552"/>
      <c r="AC68" s="552"/>
      <c r="AD68" s="536"/>
      <c r="AE68" s="536"/>
      <c r="AF68" s="536"/>
      <c r="AG68" s="536"/>
      <c r="AH68" s="536"/>
      <c r="AI68" s="536"/>
      <c r="AJ68" s="536"/>
      <c r="AK68" s="536"/>
      <c r="AL68" s="536"/>
      <c r="AM68" s="536"/>
      <c r="AN68" s="536"/>
      <c r="AO68" s="536"/>
      <c r="AP68" s="536"/>
      <c r="AQ68" s="537"/>
      <c r="AR68" s="536"/>
      <c r="AS68" s="536"/>
      <c r="AT68" s="536"/>
      <c r="AU68" s="536"/>
      <c r="AV68" s="536"/>
      <c r="AW68" s="536"/>
      <c r="AX68" s="536"/>
      <c r="AY68" s="536"/>
      <c r="AZ68" s="536"/>
      <c r="BA68" s="536"/>
      <c r="BB68" s="536"/>
      <c r="BC68" s="536"/>
      <c r="BD68" s="536"/>
      <c r="BE68" s="536"/>
      <c r="BF68" s="536"/>
    </row>
    <row r="69" spans="1:58" ht="30" customHeight="1" thickBot="1" x14ac:dyDescent="0.25">
      <c r="A69" s="1327"/>
      <c r="B69" s="1328"/>
      <c r="C69" s="1328"/>
      <c r="D69" s="1328"/>
      <c r="E69" s="1328"/>
      <c r="F69" s="1328"/>
      <c r="G69" s="1328"/>
      <c r="H69" s="1328"/>
      <c r="I69" s="1328"/>
      <c r="J69" s="1328"/>
      <c r="K69" s="1328"/>
      <c r="L69" s="1328"/>
      <c r="M69" s="1328"/>
      <c r="N69" s="1328"/>
      <c r="O69" s="1328"/>
      <c r="P69" s="1328"/>
      <c r="Q69" s="1329"/>
      <c r="R69" s="536"/>
      <c r="S69" s="536"/>
      <c r="T69" s="538"/>
      <c r="U69" s="552"/>
      <c r="V69" s="552"/>
      <c r="W69" s="552"/>
      <c r="X69" s="538"/>
      <c r="Y69" s="538"/>
      <c r="Z69" s="538"/>
      <c r="AA69" s="538"/>
      <c r="AB69" s="1274" t="s">
        <v>130</v>
      </c>
      <c r="AC69" s="1276" t="s">
        <v>66</v>
      </c>
      <c r="AD69" s="1277"/>
      <c r="AE69" s="1278"/>
      <c r="AF69" s="1282" t="s">
        <v>68</v>
      </c>
      <c r="AG69" s="1248" t="s">
        <v>69</v>
      </c>
      <c r="AH69" s="536"/>
      <c r="AI69" s="536"/>
      <c r="AJ69" s="536"/>
      <c r="AK69" s="536"/>
      <c r="AL69" s="536"/>
      <c r="AM69" s="536"/>
      <c r="AN69" s="536"/>
      <c r="AO69" s="536"/>
      <c r="AP69" s="536"/>
      <c r="AQ69" s="537"/>
      <c r="AR69" s="536"/>
      <c r="AS69" s="536"/>
      <c r="AT69" s="536"/>
      <c r="AU69" s="536"/>
      <c r="AV69" s="536"/>
      <c r="AW69" s="536"/>
      <c r="AX69" s="536"/>
      <c r="AY69" s="536"/>
      <c r="AZ69" s="536"/>
      <c r="BA69" s="536"/>
      <c r="BB69" s="536"/>
      <c r="BC69" s="536"/>
      <c r="BD69" s="536"/>
      <c r="BE69" s="536"/>
      <c r="BF69" s="536"/>
    </row>
    <row r="70" spans="1:58" ht="30" customHeight="1" thickBot="1" x14ac:dyDescent="0.25">
      <c r="A70" s="1214" t="s">
        <v>131</v>
      </c>
      <c r="B70" s="1217"/>
      <c r="C70" s="1217"/>
      <c r="D70" s="1217"/>
      <c r="E70" s="1217"/>
      <c r="F70" s="1217"/>
      <c r="G70" s="1217"/>
      <c r="H70" s="1217"/>
      <c r="I70" s="1217"/>
      <c r="J70" s="1217"/>
      <c r="K70" s="1217"/>
      <c r="L70" s="1217"/>
      <c r="M70" s="1217"/>
      <c r="N70" s="1217"/>
      <c r="O70" s="1217"/>
      <c r="P70" s="1217"/>
      <c r="Q70" s="1218"/>
      <c r="R70" s="536"/>
      <c r="S70" s="536"/>
      <c r="T70" s="538"/>
      <c r="U70" s="552"/>
      <c r="V70" s="552"/>
      <c r="W70" s="552"/>
      <c r="X70" s="538"/>
      <c r="Y70" s="538"/>
      <c r="Z70" s="538"/>
      <c r="AA70" s="538"/>
      <c r="AB70" s="1275"/>
      <c r="AC70" s="1279"/>
      <c r="AD70" s="1280"/>
      <c r="AE70" s="1281"/>
      <c r="AF70" s="1283"/>
      <c r="AG70" s="1249"/>
      <c r="AH70" s="536"/>
      <c r="AI70" s="536"/>
      <c r="AJ70" s="536"/>
      <c r="AK70" s="536"/>
      <c r="AL70" s="536"/>
      <c r="AM70" s="536"/>
      <c r="AN70" s="536"/>
      <c r="AO70" s="536"/>
      <c r="AP70" s="536"/>
      <c r="AQ70" s="537"/>
      <c r="AR70" s="536"/>
      <c r="AS70" s="536"/>
      <c r="AT70" s="536"/>
      <c r="AU70" s="536"/>
      <c r="AV70" s="536"/>
      <c r="AW70" s="536"/>
      <c r="AX70" s="536"/>
      <c r="AY70" s="536"/>
      <c r="AZ70" s="536"/>
      <c r="BA70" s="536"/>
      <c r="BB70" s="536"/>
      <c r="BC70" s="536"/>
      <c r="BD70" s="536"/>
      <c r="BE70" s="536"/>
      <c r="BF70" s="536"/>
    </row>
    <row r="71" spans="1:58" ht="30" customHeight="1" thickBot="1" x14ac:dyDescent="0.25">
      <c r="A71" s="1341" t="s">
        <v>132</v>
      </c>
      <c r="B71" s="1343"/>
      <c r="C71" s="1330" t="s">
        <v>130</v>
      </c>
      <c r="D71" s="1330" t="s">
        <v>23</v>
      </c>
      <c r="E71" s="1332" t="s">
        <v>62</v>
      </c>
      <c r="F71" s="1334" t="s">
        <v>74</v>
      </c>
      <c r="G71" s="1332" t="s">
        <v>64</v>
      </c>
      <c r="H71" s="1332" t="s">
        <v>65</v>
      </c>
      <c r="I71" s="1332" t="s">
        <v>66</v>
      </c>
      <c r="J71" s="1332" t="s">
        <v>67</v>
      </c>
      <c r="K71" s="1332" t="s">
        <v>68</v>
      </c>
      <c r="L71" s="1426" t="s">
        <v>69</v>
      </c>
      <c r="M71" s="536"/>
      <c r="N71" s="1339" t="s">
        <v>130</v>
      </c>
      <c r="O71" s="1341" t="s">
        <v>66</v>
      </c>
      <c r="P71" s="1342"/>
      <c r="Q71" s="1343"/>
      <c r="R71" s="536"/>
      <c r="S71" s="536"/>
      <c r="T71" s="538"/>
      <c r="U71" s="538"/>
      <c r="V71" s="552"/>
      <c r="W71" s="552"/>
      <c r="X71" s="538"/>
      <c r="Y71" s="538"/>
      <c r="Z71" s="538"/>
      <c r="AA71" s="538"/>
      <c r="AB71" s="660"/>
      <c r="AC71" s="661"/>
      <c r="AD71" s="661"/>
      <c r="AE71" s="661"/>
      <c r="AF71" s="662"/>
      <c r="AG71" s="663"/>
      <c r="AH71" s="536"/>
      <c r="AI71" s="536"/>
      <c r="AJ71" s="536"/>
      <c r="AK71" s="536"/>
      <c r="AL71" s="536"/>
      <c r="AM71" s="536"/>
      <c r="AN71" s="536"/>
      <c r="AO71" s="536"/>
      <c r="AP71" s="536"/>
      <c r="AQ71" s="537"/>
      <c r="AR71" s="536"/>
      <c r="AS71" s="536"/>
      <c r="AT71" s="536"/>
      <c r="AU71" s="536"/>
      <c r="AV71" s="536"/>
      <c r="AW71" s="536"/>
      <c r="AX71" s="536"/>
      <c r="AY71" s="536"/>
      <c r="AZ71" s="536"/>
      <c r="BA71" s="536"/>
      <c r="BB71" s="536"/>
      <c r="BC71" s="536"/>
      <c r="BD71" s="536"/>
      <c r="BE71" s="536"/>
      <c r="BF71" s="536"/>
    </row>
    <row r="72" spans="1:58" ht="30" customHeight="1" thickBot="1" x14ac:dyDescent="0.25">
      <c r="A72" s="1344"/>
      <c r="B72" s="1346"/>
      <c r="C72" s="1331"/>
      <c r="D72" s="1331"/>
      <c r="E72" s="1333"/>
      <c r="F72" s="1335"/>
      <c r="G72" s="1333"/>
      <c r="H72" s="1333"/>
      <c r="I72" s="1333"/>
      <c r="J72" s="1333"/>
      <c r="K72" s="1333"/>
      <c r="L72" s="1427"/>
      <c r="M72" s="536"/>
      <c r="N72" s="1340"/>
      <c r="O72" s="1344"/>
      <c r="P72" s="1345"/>
      <c r="Q72" s="1346"/>
      <c r="R72" s="536"/>
      <c r="S72" s="536"/>
      <c r="T72" s="538"/>
      <c r="U72" s="538"/>
      <c r="V72" s="552"/>
      <c r="W72" s="552"/>
      <c r="X72" s="538"/>
      <c r="Y72" s="538"/>
      <c r="Z72" s="538"/>
      <c r="AA72" s="538"/>
      <c r="AB72" s="1323" t="s">
        <v>133</v>
      </c>
      <c r="AC72" s="664" t="s">
        <v>134</v>
      </c>
      <c r="AD72" s="190" t="s">
        <v>135</v>
      </c>
      <c r="AE72" s="190" t="s">
        <v>136</v>
      </c>
      <c r="AF72" s="1321" t="s">
        <v>137</v>
      </c>
      <c r="AG72" s="1290" t="s">
        <v>138</v>
      </c>
      <c r="AH72" s="536"/>
      <c r="AI72" s="536"/>
      <c r="AJ72" s="536"/>
      <c r="AK72" s="536"/>
      <c r="AL72" s="536"/>
      <c r="AM72" s="536"/>
      <c r="AN72" s="536"/>
      <c r="AO72" s="536"/>
      <c r="AP72" s="536"/>
      <c r="AQ72" s="537"/>
      <c r="AR72" s="536"/>
      <c r="AS72" s="536"/>
      <c r="AT72" s="536"/>
      <c r="AU72" s="536"/>
      <c r="AV72" s="536"/>
      <c r="AW72" s="536"/>
      <c r="AX72" s="536"/>
      <c r="AY72" s="536"/>
      <c r="AZ72" s="536"/>
      <c r="BA72" s="536"/>
      <c r="BB72" s="536"/>
      <c r="BC72" s="536"/>
      <c r="BD72" s="536"/>
      <c r="BE72" s="536"/>
      <c r="BF72" s="536"/>
    </row>
    <row r="73" spans="1:58" ht="30" customHeight="1" thickBot="1" x14ac:dyDescent="0.25">
      <c r="A73" s="665"/>
      <c r="B73" s="665"/>
      <c r="C73" s="665"/>
      <c r="D73" s="665"/>
      <c r="E73" s="665"/>
      <c r="F73" s="665"/>
      <c r="G73" s="665"/>
      <c r="H73" s="665"/>
      <c r="I73" s="665"/>
      <c r="J73" s="665"/>
      <c r="K73" s="665"/>
      <c r="L73" s="665"/>
      <c r="M73" s="536"/>
      <c r="N73" s="536"/>
      <c r="O73" s="536"/>
      <c r="P73" s="536"/>
      <c r="Q73" s="536"/>
      <c r="R73" s="536"/>
      <c r="S73" s="536"/>
      <c r="T73" s="538"/>
      <c r="U73" s="538"/>
      <c r="V73" s="552"/>
      <c r="W73" s="552"/>
      <c r="X73" s="538"/>
      <c r="Y73" s="538"/>
      <c r="Z73" s="538"/>
      <c r="AA73" s="538"/>
      <c r="AB73" s="1324"/>
      <c r="AC73" s="666">
        <f>MAX(I74:I76)</f>
        <v>0.2</v>
      </c>
      <c r="AD73" s="666">
        <f>MAX(I77:I79)</f>
        <v>1.7</v>
      </c>
      <c r="AE73" s="666">
        <f>MAX(I80:I82)</f>
        <v>7.0999999999999994E-2</v>
      </c>
      <c r="AF73" s="1319"/>
      <c r="AG73" s="1291"/>
      <c r="AH73" s="536"/>
      <c r="AI73" s="536"/>
      <c r="AJ73" s="536"/>
      <c r="AK73" s="536"/>
      <c r="AL73" s="536"/>
      <c r="AM73" s="536"/>
      <c r="AN73" s="536"/>
      <c r="AO73" s="536"/>
      <c r="AP73" s="536"/>
      <c r="AQ73" s="537"/>
      <c r="AR73" s="536"/>
      <c r="AS73" s="536"/>
      <c r="AT73" s="536"/>
      <c r="AU73" s="536"/>
      <c r="AV73" s="536"/>
      <c r="AW73" s="536"/>
      <c r="AX73" s="536"/>
      <c r="AY73" s="536"/>
      <c r="AZ73" s="536"/>
      <c r="BA73" s="536"/>
      <c r="BB73" s="536"/>
      <c r="BC73" s="536"/>
      <c r="BD73" s="536"/>
      <c r="BE73" s="536"/>
      <c r="BF73" s="536"/>
    </row>
    <row r="74" spans="1:58" ht="30" customHeight="1" thickBot="1" x14ac:dyDescent="0.25">
      <c r="A74" s="1250" t="s">
        <v>139</v>
      </c>
      <c r="B74" s="1251"/>
      <c r="C74" s="1256" t="s">
        <v>140</v>
      </c>
      <c r="D74" s="1259" t="s">
        <v>141</v>
      </c>
      <c r="E74" s="1262" t="s">
        <v>142</v>
      </c>
      <c r="F74" s="1121">
        <v>17.100000000000001</v>
      </c>
      <c r="G74" s="1107">
        <v>0.1</v>
      </c>
      <c r="H74" s="1089">
        <v>-0.2</v>
      </c>
      <c r="I74" s="1189">
        <v>0.2</v>
      </c>
      <c r="J74" s="1288">
        <v>1.96</v>
      </c>
      <c r="K74" s="1268" t="s">
        <v>659</v>
      </c>
      <c r="L74" s="1271" t="s">
        <v>660</v>
      </c>
      <c r="M74" s="536"/>
      <c r="N74" s="250"/>
      <c r="O74" s="254" t="s">
        <v>134</v>
      </c>
      <c r="P74" s="255" t="s">
        <v>143</v>
      </c>
      <c r="Q74" s="256" t="s">
        <v>136</v>
      </c>
      <c r="R74" s="536"/>
      <c r="S74" s="536"/>
      <c r="T74" s="538"/>
      <c r="U74" s="538"/>
      <c r="V74" s="552"/>
      <c r="W74" s="552"/>
      <c r="X74" s="538"/>
      <c r="Y74" s="538"/>
      <c r="Z74" s="538"/>
      <c r="AA74" s="538"/>
      <c r="AB74" s="1325"/>
      <c r="AC74" s="184"/>
      <c r="AD74" s="185"/>
      <c r="AE74" s="185"/>
      <c r="AF74" s="1322"/>
      <c r="AG74" s="1292"/>
      <c r="AH74" s="536"/>
      <c r="AI74" s="536"/>
      <c r="AJ74" s="536"/>
      <c r="AK74" s="536"/>
      <c r="AL74" s="536"/>
      <c r="AM74" s="536"/>
      <c r="AN74" s="536"/>
      <c r="AO74" s="536"/>
      <c r="AP74" s="536"/>
      <c r="AQ74" s="537"/>
      <c r="AR74" s="536"/>
      <c r="AS74" s="536"/>
      <c r="AT74" s="536"/>
      <c r="AU74" s="536"/>
      <c r="AV74" s="536"/>
      <c r="AW74" s="536"/>
      <c r="AX74" s="536"/>
      <c r="AY74" s="536"/>
      <c r="AZ74" s="536"/>
      <c r="BA74" s="536"/>
      <c r="BB74" s="536"/>
      <c r="BC74" s="536"/>
      <c r="BD74" s="536"/>
      <c r="BE74" s="536"/>
      <c r="BF74" s="536"/>
    </row>
    <row r="75" spans="1:58" ht="30" customHeight="1" x14ac:dyDescent="0.2">
      <c r="A75" s="1252"/>
      <c r="B75" s="1253"/>
      <c r="C75" s="1257"/>
      <c r="D75" s="1260"/>
      <c r="E75" s="1263"/>
      <c r="F75" s="1105">
        <v>20.100000000000001</v>
      </c>
      <c r="G75" s="1192">
        <v>0.1</v>
      </c>
      <c r="H75" s="1190">
        <v>-0.1</v>
      </c>
      <c r="I75" s="1174">
        <v>0.2</v>
      </c>
      <c r="J75" s="1288"/>
      <c r="K75" s="1269"/>
      <c r="L75" s="1272"/>
      <c r="M75" s="536"/>
      <c r="N75" s="251" t="s">
        <v>133</v>
      </c>
      <c r="O75" s="257">
        <f>MAX(I74:I76)</f>
        <v>0.2</v>
      </c>
      <c r="P75" s="258">
        <f>MAX(I77:I79)</f>
        <v>1.7</v>
      </c>
      <c r="Q75" s="259">
        <f>MAX(I80:I82)</f>
        <v>7.0999999999999994E-2</v>
      </c>
      <c r="R75" s="536"/>
      <c r="S75" s="536"/>
      <c r="T75" s="538"/>
      <c r="U75" s="538"/>
      <c r="V75" s="552"/>
      <c r="W75" s="552"/>
      <c r="X75" s="538"/>
      <c r="Y75" s="538"/>
      <c r="Z75" s="538"/>
      <c r="AA75" s="538"/>
      <c r="AB75" s="667"/>
      <c r="AC75" s="536"/>
      <c r="AD75" s="552"/>
      <c r="AE75" s="552"/>
      <c r="AF75" s="552"/>
      <c r="AG75" s="668"/>
      <c r="AH75" s="536"/>
      <c r="AI75" s="536"/>
      <c r="AJ75" s="536"/>
      <c r="AK75" s="536"/>
      <c r="AL75" s="536"/>
      <c r="AM75" s="536"/>
      <c r="AN75" s="536"/>
      <c r="AO75" s="536"/>
      <c r="AP75" s="536"/>
      <c r="AQ75" s="537"/>
      <c r="AR75" s="536"/>
      <c r="AS75" s="536"/>
      <c r="AT75" s="536"/>
      <c r="AU75" s="536"/>
      <c r="AV75" s="536"/>
      <c r="AW75" s="536"/>
      <c r="AX75" s="536"/>
      <c r="AY75" s="536"/>
      <c r="AZ75" s="536"/>
      <c r="BA75" s="536"/>
      <c r="BB75" s="536"/>
      <c r="BC75" s="536"/>
      <c r="BD75" s="536"/>
      <c r="BE75" s="536"/>
      <c r="BF75" s="536"/>
    </row>
    <row r="76" spans="1:58" ht="30" customHeight="1" thickBot="1" x14ac:dyDescent="0.25">
      <c r="A76" s="1254"/>
      <c r="B76" s="1255"/>
      <c r="C76" s="1257"/>
      <c r="D76" s="1260"/>
      <c r="E76" s="1263"/>
      <c r="F76" s="1144">
        <v>23.1</v>
      </c>
      <c r="G76" s="1193">
        <v>0.1</v>
      </c>
      <c r="H76" s="1191">
        <v>-0.1</v>
      </c>
      <c r="I76" s="1175">
        <v>0.2</v>
      </c>
      <c r="J76" s="1289"/>
      <c r="K76" s="1270"/>
      <c r="L76" s="1273"/>
      <c r="M76" s="536"/>
      <c r="N76" s="252"/>
      <c r="O76" s="260"/>
      <c r="P76" s="261"/>
      <c r="Q76" s="262"/>
      <c r="R76" s="536"/>
      <c r="S76" s="536"/>
      <c r="T76" s="538"/>
      <c r="U76" s="538"/>
      <c r="V76" s="552"/>
      <c r="W76" s="552"/>
      <c r="X76" s="538"/>
      <c r="Y76" s="538"/>
      <c r="Z76" s="538"/>
      <c r="AA76" s="538"/>
      <c r="AB76" s="667"/>
      <c r="AC76" s="536"/>
      <c r="AD76" s="552"/>
      <c r="AE76" s="552"/>
      <c r="AF76" s="552"/>
      <c r="AG76" s="668"/>
      <c r="AH76" s="536"/>
      <c r="AI76" s="536"/>
      <c r="AJ76" s="536"/>
      <c r="AK76" s="536"/>
      <c r="AL76" s="536"/>
      <c r="AM76" s="536"/>
      <c r="AN76" s="536"/>
      <c r="AO76" s="536"/>
      <c r="AP76" s="536"/>
      <c r="AQ76" s="537"/>
      <c r="AR76" s="536"/>
      <c r="AS76" s="536"/>
      <c r="AT76" s="536"/>
      <c r="AU76" s="536"/>
      <c r="AV76" s="536"/>
      <c r="AW76" s="536"/>
      <c r="AX76" s="536"/>
      <c r="AY76" s="536"/>
      <c r="AZ76" s="536"/>
      <c r="BA76" s="536"/>
      <c r="BB76" s="536"/>
      <c r="BC76" s="536"/>
      <c r="BD76" s="536"/>
      <c r="BE76" s="536"/>
      <c r="BF76" s="536"/>
    </row>
    <row r="77" spans="1:58" ht="30" customHeight="1" x14ac:dyDescent="0.2">
      <c r="A77" s="1250" t="s">
        <v>144</v>
      </c>
      <c r="B77" s="1251"/>
      <c r="C77" s="1257"/>
      <c r="D77" s="1260"/>
      <c r="E77" s="1263"/>
      <c r="F77" s="1121">
        <v>33.299999999999997</v>
      </c>
      <c r="G77" s="1107">
        <v>0.1</v>
      </c>
      <c r="H77" s="1107">
        <v>-3.3</v>
      </c>
      <c r="I77" s="1194">
        <v>1.7</v>
      </c>
      <c r="J77" s="1287">
        <v>1.96</v>
      </c>
      <c r="K77" s="1428" t="s">
        <v>661</v>
      </c>
      <c r="L77" s="1293" t="s">
        <v>663</v>
      </c>
      <c r="M77" s="536"/>
      <c r="N77" s="536"/>
      <c r="O77" s="536"/>
      <c r="P77" s="536"/>
      <c r="Q77" s="536"/>
      <c r="R77" s="536"/>
      <c r="S77" s="536"/>
      <c r="T77" s="538"/>
      <c r="U77" s="538"/>
      <c r="V77" s="552"/>
      <c r="W77" s="552"/>
      <c r="X77" s="538"/>
      <c r="Y77" s="538"/>
      <c r="Z77" s="538"/>
      <c r="AA77" s="538"/>
      <c r="AB77" s="667"/>
      <c r="AC77" s="536"/>
      <c r="AD77" s="552"/>
      <c r="AE77" s="552"/>
      <c r="AF77" s="552"/>
      <c r="AG77" s="668"/>
      <c r="AH77" s="536"/>
      <c r="AI77" s="536"/>
      <c r="AJ77" s="536"/>
      <c r="AK77" s="536"/>
      <c r="AL77" s="536"/>
      <c r="AM77" s="536"/>
      <c r="AN77" s="536"/>
      <c r="AO77" s="536"/>
      <c r="AP77" s="536"/>
      <c r="AQ77" s="537"/>
      <c r="AR77" s="536"/>
      <c r="AS77" s="536"/>
      <c r="AT77" s="536"/>
      <c r="AU77" s="536"/>
      <c r="AV77" s="536"/>
      <c r="AW77" s="536"/>
      <c r="AX77" s="536"/>
      <c r="AY77" s="536"/>
      <c r="AZ77" s="536"/>
      <c r="BA77" s="536"/>
      <c r="BB77" s="536"/>
      <c r="BC77" s="536"/>
      <c r="BD77" s="536"/>
      <c r="BE77" s="536"/>
      <c r="BF77" s="536"/>
    </row>
    <row r="78" spans="1:58" ht="30" customHeight="1" x14ac:dyDescent="0.2">
      <c r="A78" s="1252"/>
      <c r="B78" s="1253"/>
      <c r="C78" s="1257"/>
      <c r="D78" s="1260"/>
      <c r="E78" s="1263"/>
      <c r="F78" s="1147">
        <v>55.6</v>
      </c>
      <c r="G78" s="1192">
        <v>0.1</v>
      </c>
      <c r="H78" s="1142">
        <v>-0.6</v>
      </c>
      <c r="I78" s="1174">
        <v>1.7</v>
      </c>
      <c r="J78" s="1288"/>
      <c r="K78" s="1269"/>
      <c r="L78" s="1272"/>
      <c r="M78" s="536"/>
      <c r="N78" s="536"/>
      <c r="O78" s="536"/>
      <c r="P78" s="536"/>
      <c r="Q78" s="536"/>
      <c r="R78" s="536"/>
      <c r="S78" s="536"/>
      <c r="T78" s="538"/>
      <c r="U78" s="538"/>
      <c r="V78" s="552"/>
      <c r="W78" s="552"/>
      <c r="X78" s="552"/>
      <c r="Y78" s="552"/>
      <c r="Z78" s="552"/>
      <c r="AA78" s="552"/>
      <c r="AB78" s="667"/>
      <c r="AC78" s="536"/>
      <c r="AD78" s="552"/>
      <c r="AE78" s="552"/>
      <c r="AF78" s="552"/>
      <c r="AG78" s="668"/>
      <c r="AH78" s="536"/>
      <c r="AI78" s="536"/>
      <c r="AJ78" s="536"/>
      <c r="AK78" s="536"/>
      <c r="AL78" s="536"/>
      <c r="AM78" s="536"/>
      <c r="AN78" s="536"/>
      <c r="AO78" s="536"/>
      <c r="AP78" s="536"/>
      <c r="AQ78" s="537"/>
      <c r="AR78" s="536"/>
      <c r="AS78" s="536"/>
      <c r="AT78" s="536"/>
      <c r="AU78" s="536"/>
      <c r="AV78" s="536"/>
      <c r="AW78" s="536"/>
      <c r="AX78" s="536"/>
      <c r="AY78" s="536"/>
      <c r="AZ78" s="536"/>
      <c r="BA78" s="536"/>
      <c r="BB78" s="536"/>
      <c r="BC78" s="536"/>
      <c r="BD78" s="536"/>
      <c r="BE78" s="536"/>
      <c r="BF78" s="536"/>
    </row>
    <row r="79" spans="1:58" ht="30" customHeight="1" thickBot="1" x14ac:dyDescent="0.25">
      <c r="A79" s="1254"/>
      <c r="B79" s="1255"/>
      <c r="C79" s="1257"/>
      <c r="D79" s="1260"/>
      <c r="E79" s="1263"/>
      <c r="F79" s="1144">
        <v>78.8</v>
      </c>
      <c r="G79" s="1193">
        <v>0.1</v>
      </c>
      <c r="H79" s="1090">
        <v>2.1</v>
      </c>
      <c r="I79" s="1175">
        <v>1.7</v>
      </c>
      <c r="J79" s="1289"/>
      <c r="K79" s="1270"/>
      <c r="L79" s="1273"/>
      <c r="M79" s="536"/>
      <c r="N79" s="536"/>
      <c r="O79" s="536"/>
      <c r="P79" s="536"/>
      <c r="Q79" s="536"/>
      <c r="R79" s="536"/>
      <c r="S79" s="536"/>
      <c r="T79" s="538"/>
      <c r="U79" s="538"/>
      <c r="V79" s="552"/>
      <c r="W79" s="552"/>
      <c r="X79" s="552"/>
      <c r="Y79" s="552"/>
      <c r="Z79" s="552"/>
      <c r="AA79" s="552"/>
      <c r="AB79" s="667"/>
      <c r="AC79" s="536"/>
      <c r="AD79" s="552"/>
      <c r="AE79" s="552"/>
      <c r="AF79" s="552"/>
      <c r="AG79" s="668"/>
      <c r="AH79" s="536"/>
      <c r="AI79" s="536"/>
      <c r="AJ79" s="536"/>
      <c r="AK79" s="536"/>
      <c r="AL79" s="536"/>
      <c r="AM79" s="536"/>
      <c r="AN79" s="536"/>
      <c r="AO79" s="536"/>
      <c r="AP79" s="536"/>
      <c r="AQ79" s="537"/>
      <c r="AR79" s="536"/>
      <c r="AS79" s="536"/>
      <c r="AT79" s="536"/>
      <c r="AU79" s="536"/>
      <c r="AV79" s="536"/>
      <c r="AW79" s="536"/>
      <c r="AX79" s="536"/>
      <c r="AY79" s="536"/>
      <c r="AZ79" s="536"/>
      <c r="BA79" s="536"/>
      <c r="BB79" s="536"/>
      <c r="BC79" s="536"/>
      <c r="BD79" s="536"/>
      <c r="BE79" s="536"/>
      <c r="BF79" s="536"/>
    </row>
    <row r="80" spans="1:58" ht="30" customHeight="1" x14ac:dyDescent="0.2">
      <c r="A80" s="1250" t="s">
        <v>145</v>
      </c>
      <c r="B80" s="1251"/>
      <c r="C80" s="1257"/>
      <c r="D80" s="1260"/>
      <c r="E80" s="1263"/>
      <c r="F80" s="1173">
        <v>499.78800000000001</v>
      </c>
      <c r="G80" s="1107">
        <v>0.1</v>
      </c>
      <c r="H80" s="1112">
        <v>1.6559999999999999</v>
      </c>
      <c r="I80" s="1176">
        <v>6.6000000000000003E-2</v>
      </c>
      <c r="J80" s="1287">
        <v>2.04</v>
      </c>
      <c r="K80" s="1428" t="s">
        <v>652</v>
      </c>
      <c r="L80" s="1303" t="s">
        <v>653</v>
      </c>
      <c r="M80" s="536"/>
      <c r="N80" s="536"/>
      <c r="O80" s="536"/>
      <c r="P80" s="536"/>
      <c r="Q80" s="536"/>
      <c r="R80" s="536"/>
      <c r="S80" s="536"/>
      <c r="T80" s="538"/>
      <c r="U80" s="538"/>
      <c r="V80" s="552"/>
      <c r="W80" s="552"/>
      <c r="X80" s="538"/>
      <c r="Y80" s="538"/>
      <c r="Z80" s="538"/>
      <c r="AA80" s="538"/>
      <c r="AB80" s="667"/>
      <c r="AC80" s="536"/>
      <c r="AD80" s="552"/>
      <c r="AE80" s="552"/>
      <c r="AF80" s="552"/>
      <c r="AG80" s="668"/>
      <c r="AH80" s="536"/>
      <c r="AI80" s="536"/>
      <c r="AJ80" s="536"/>
      <c r="AK80" s="536"/>
      <c r="AL80" s="536"/>
      <c r="AM80" s="536"/>
      <c r="AN80" s="536"/>
      <c r="AO80" s="536"/>
      <c r="AP80" s="536"/>
      <c r="AQ80" s="537"/>
      <c r="AR80" s="536"/>
      <c r="AS80" s="536"/>
      <c r="AT80" s="536"/>
      <c r="AU80" s="536"/>
      <c r="AV80" s="536"/>
      <c r="AW80" s="536"/>
      <c r="AX80" s="536"/>
      <c r="AY80" s="536"/>
      <c r="AZ80" s="536"/>
      <c r="BA80" s="536"/>
      <c r="BB80" s="536"/>
      <c r="BC80" s="536"/>
      <c r="BD80" s="536"/>
      <c r="BE80" s="536"/>
      <c r="BF80" s="536"/>
    </row>
    <row r="81" spans="1:58" ht="30" customHeight="1" thickBot="1" x14ac:dyDescent="0.25">
      <c r="A81" s="1252"/>
      <c r="B81" s="1253"/>
      <c r="C81" s="1257"/>
      <c r="D81" s="1260"/>
      <c r="E81" s="1263"/>
      <c r="F81" s="1177">
        <v>752.28800000000001</v>
      </c>
      <c r="G81" s="1109">
        <v>0.1</v>
      </c>
      <c r="H81" s="1108">
        <v>1.0900000000000001</v>
      </c>
      <c r="I81" s="1174">
        <v>6.8000000000000005E-2</v>
      </c>
      <c r="J81" s="1288"/>
      <c r="K81" s="1269"/>
      <c r="L81" s="1304"/>
      <c r="M81" s="536"/>
      <c r="N81" s="536"/>
      <c r="O81" s="536"/>
      <c r="P81" s="536"/>
      <c r="Q81" s="536"/>
      <c r="R81" s="536"/>
      <c r="S81" s="536"/>
      <c r="T81" s="538"/>
      <c r="U81" s="538"/>
      <c r="V81" s="552"/>
      <c r="W81" s="552"/>
      <c r="X81" s="538"/>
      <c r="Y81" s="538"/>
      <c r="Z81" s="538"/>
      <c r="AA81" s="538"/>
      <c r="AB81" s="667"/>
      <c r="AC81" s="536"/>
      <c r="AD81" s="552"/>
      <c r="AE81" s="552"/>
      <c r="AF81" s="552"/>
      <c r="AG81" s="668"/>
      <c r="AH81" s="536"/>
      <c r="AI81" s="536"/>
      <c r="AJ81" s="536"/>
      <c r="AK81" s="536"/>
      <c r="AL81" s="536"/>
      <c r="AM81" s="536"/>
      <c r="AN81" s="536"/>
      <c r="AO81" s="536"/>
      <c r="AP81" s="536"/>
      <c r="AQ81" s="537"/>
      <c r="AR81" s="536"/>
      <c r="AS81" s="536"/>
      <c r="AT81" s="536"/>
      <c r="AU81" s="536"/>
      <c r="AV81" s="536"/>
      <c r="AW81" s="536"/>
      <c r="AX81" s="536"/>
      <c r="AY81" s="536"/>
      <c r="AZ81" s="536"/>
      <c r="BA81" s="536"/>
      <c r="BB81" s="536"/>
      <c r="BC81" s="536"/>
      <c r="BD81" s="536"/>
      <c r="BE81" s="536"/>
      <c r="BF81" s="536"/>
    </row>
    <row r="82" spans="1:58" ht="30" customHeight="1" thickBot="1" x14ac:dyDescent="0.25">
      <c r="A82" s="1254"/>
      <c r="B82" s="1255"/>
      <c r="C82" s="1258"/>
      <c r="D82" s="1261"/>
      <c r="E82" s="1264"/>
      <c r="F82" s="1117">
        <v>899.58299999999997</v>
      </c>
      <c r="G82" s="1110">
        <v>0.1</v>
      </c>
      <c r="H82" s="1115">
        <v>0.85599999999999998</v>
      </c>
      <c r="I82" s="1175">
        <v>7.0999999999999994E-2</v>
      </c>
      <c r="J82" s="1349"/>
      <c r="K82" s="1429"/>
      <c r="L82" s="1305"/>
      <c r="M82" s="536"/>
      <c r="N82" s="536"/>
      <c r="O82" s="536"/>
      <c r="P82" s="536"/>
      <c r="Q82" s="536"/>
      <c r="R82" s="536"/>
      <c r="S82" s="536"/>
      <c r="T82" s="538"/>
      <c r="U82" s="538"/>
      <c r="V82" s="552"/>
      <c r="W82" s="552"/>
      <c r="X82" s="538"/>
      <c r="Y82" s="538"/>
      <c r="Z82" s="538"/>
      <c r="AA82" s="538"/>
      <c r="AB82" s="1323" t="s">
        <v>147</v>
      </c>
      <c r="AC82" s="669" t="s">
        <v>134</v>
      </c>
      <c r="AD82" s="182" t="s">
        <v>135</v>
      </c>
      <c r="AE82" s="182" t="s">
        <v>136</v>
      </c>
      <c r="AF82" s="1318" t="s">
        <v>148</v>
      </c>
      <c r="AG82" s="1403" t="s">
        <v>149</v>
      </c>
      <c r="AH82" s="536"/>
      <c r="AI82" s="536"/>
      <c r="AJ82" s="536"/>
      <c r="AK82" s="536"/>
      <c r="AL82" s="536"/>
      <c r="AM82" s="536"/>
      <c r="AN82" s="536"/>
      <c r="AO82" s="536"/>
      <c r="AP82" s="536"/>
      <c r="AQ82" s="537"/>
      <c r="AR82" s="536"/>
      <c r="AS82" s="536"/>
      <c r="AT82" s="536"/>
      <c r="AU82" s="536"/>
      <c r="AV82" s="536"/>
      <c r="AW82" s="536"/>
      <c r="AX82" s="536"/>
      <c r="AY82" s="536"/>
      <c r="AZ82" s="536"/>
      <c r="BA82" s="536"/>
      <c r="BB82" s="536"/>
      <c r="BC82" s="536"/>
      <c r="BD82" s="536"/>
      <c r="BE82" s="536"/>
      <c r="BF82" s="536"/>
    </row>
    <row r="83" spans="1:58" ht="30" customHeight="1" x14ac:dyDescent="0.2">
      <c r="A83" s="1151"/>
      <c r="B83" s="1152"/>
      <c r="C83" s="1153"/>
      <c r="D83" s="1154"/>
      <c r="E83" s="1155"/>
      <c r="F83" s="1156"/>
      <c r="G83" s="1156"/>
      <c r="H83" s="1156"/>
      <c r="I83" s="1156"/>
      <c r="J83" s="1156"/>
      <c r="K83" s="1157"/>
      <c r="L83" s="1158"/>
      <c r="M83" s="536"/>
      <c r="N83" s="536"/>
      <c r="O83" s="536"/>
      <c r="P83" s="536"/>
      <c r="Q83" s="536"/>
      <c r="R83" s="536"/>
      <c r="S83" s="536"/>
      <c r="T83" s="538"/>
      <c r="U83" s="538"/>
      <c r="V83" s="552"/>
      <c r="W83" s="552"/>
      <c r="X83" s="538"/>
      <c r="Y83" s="538"/>
      <c r="Z83" s="538"/>
      <c r="AA83" s="538"/>
      <c r="AB83" s="1324"/>
      <c r="AC83" s="666">
        <f>MAX(I84:I87)</f>
        <v>0.2</v>
      </c>
      <c r="AD83" s="186">
        <f>MAX(I88:I90)</f>
        <v>1.7</v>
      </c>
      <c r="AE83" s="187">
        <f>MAX(I91:I93)</f>
        <v>7.1999999999999995E-2</v>
      </c>
      <c r="AF83" s="1319"/>
      <c r="AG83" s="1291"/>
      <c r="AH83" s="536"/>
      <c r="AI83" s="536"/>
      <c r="AJ83" s="536"/>
      <c r="AK83" s="536"/>
      <c r="AL83" s="536"/>
      <c r="AM83" s="536"/>
      <c r="AN83" s="536"/>
      <c r="AO83" s="536"/>
      <c r="AP83" s="536"/>
      <c r="AQ83" s="537"/>
      <c r="AR83" s="536"/>
      <c r="AS83" s="536"/>
      <c r="AT83" s="536"/>
      <c r="AU83" s="536"/>
      <c r="AV83" s="536"/>
      <c r="AW83" s="536"/>
      <c r="AX83" s="536"/>
      <c r="AY83" s="536"/>
      <c r="AZ83" s="536"/>
      <c r="BA83" s="536"/>
      <c r="BB83" s="536"/>
      <c r="BC83" s="536"/>
      <c r="BD83" s="536"/>
      <c r="BE83" s="536"/>
      <c r="BF83" s="536"/>
    </row>
    <row r="84" spans="1:58" ht="30" customHeight="1" thickBot="1" x14ac:dyDescent="0.25">
      <c r="A84" s="1159"/>
      <c r="B84" s="1160"/>
      <c r="C84" s="1161"/>
      <c r="D84" s="1162"/>
      <c r="E84" s="1163"/>
      <c r="F84" s="1164"/>
      <c r="G84" s="1164"/>
      <c r="H84" s="1164"/>
      <c r="I84" s="1164"/>
      <c r="J84" s="1165"/>
      <c r="K84" s="1166"/>
      <c r="L84" s="1158"/>
      <c r="M84" s="536"/>
      <c r="N84" s="536"/>
      <c r="O84" s="536"/>
      <c r="P84" s="536"/>
      <c r="Q84" s="536"/>
      <c r="R84" s="536"/>
      <c r="S84" s="536"/>
      <c r="T84" s="538"/>
      <c r="U84" s="538"/>
      <c r="V84" s="552"/>
      <c r="W84" s="552"/>
      <c r="X84" s="538"/>
      <c r="Y84" s="538"/>
      <c r="Z84" s="538"/>
      <c r="AA84" s="538"/>
      <c r="AB84" s="1324"/>
      <c r="AC84" s="188"/>
      <c r="AD84" s="189"/>
      <c r="AE84" s="189"/>
      <c r="AF84" s="1320"/>
      <c r="AG84" s="1416"/>
      <c r="AH84" s="536"/>
      <c r="AI84" s="536"/>
      <c r="AJ84" s="536"/>
      <c r="AK84" s="536"/>
      <c r="AL84" s="536"/>
      <c r="AM84" s="536"/>
      <c r="AN84" s="536"/>
      <c r="AO84" s="536"/>
      <c r="AP84" s="536"/>
      <c r="AQ84" s="537"/>
      <c r="AR84" s="536"/>
      <c r="AS84" s="536"/>
      <c r="AT84" s="536"/>
      <c r="AU84" s="536"/>
      <c r="AV84" s="536"/>
      <c r="AW84" s="536"/>
      <c r="AX84" s="536"/>
      <c r="AY84" s="536"/>
      <c r="AZ84" s="536"/>
      <c r="BA84" s="536"/>
      <c r="BB84" s="536"/>
      <c r="BC84" s="536"/>
      <c r="BD84" s="536"/>
      <c r="BE84" s="536"/>
      <c r="BF84" s="536"/>
    </row>
    <row r="85" spans="1:58" ht="30" customHeight="1" x14ac:dyDescent="0.2">
      <c r="A85" s="1375" t="s">
        <v>139</v>
      </c>
      <c r="B85" s="1376"/>
      <c r="C85" s="1256" t="s">
        <v>150</v>
      </c>
      <c r="D85" s="1259" t="s">
        <v>141</v>
      </c>
      <c r="E85" s="1262" t="s">
        <v>151</v>
      </c>
      <c r="F85" s="1143">
        <v>18</v>
      </c>
      <c r="G85" s="1107">
        <v>0.1</v>
      </c>
      <c r="H85" s="1089">
        <v>0</v>
      </c>
      <c r="I85" s="1139">
        <v>0.2</v>
      </c>
      <c r="J85" s="1393">
        <v>1.96</v>
      </c>
      <c r="K85" s="1402" t="s">
        <v>648</v>
      </c>
      <c r="L85" s="1404" t="s">
        <v>647</v>
      </c>
      <c r="M85" s="536"/>
      <c r="N85" s="250"/>
      <c r="O85" s="254" t="s">
        <v>134</v>
      </c>
      <c r="P85" s="255" t="s">
        <v>143</v>
      </c>
      <c r="Q85" s="256" t="s">
        <v>136</v>
      </c>
      <c r="R85" s="536"/>
      <c r="S85" s="536"/>
      <c r="T85" s="538"/>
      <c r="U85" s="538"/>
      <c r="V85" s="552"/>
      <c r="W85" s="552"/>
      <c r="X85" s="538"/>
      <c r="Y85" s="538"/>
      <c r="Z85" s="538"/>
      <c r="AA85" s="538"/>
      <c r="AB85" s="667"/>
      <c r="AC85" s="552"/>
      <c r="AD85" s="552"/>
      <c r="AE85" s="552"/>
      <c r="AF85" s="552"/>
      <c r="AG85" s="668"/>
      <c r="AH85" s="536"/>
      <c r="AI85" s="536"/>
      <c r="AJ85" s="536"/>
      <c r="AK85" s="536"/>
      <c r="AL85" s="536"/>
      <c r="AM85" s="536"/>
      <c r="AN85" s="536"/>
      <c r="AO85" s="536"/>
      <c r="AP85" s="536"/>
      <c r="AQ85" s="537"/>
      <c r="AR85" s="536"/>
      <c r="AS85" s="536"/>
      <c r="AT85" s="536"/>
      <c r="AU85" s="536"/>
      <c r="AV85" s="536"/>
      <c r="AW85" s="536"/>
      <c r="AX85" s="536"/>
      <c r="AY85" s="536"/>
      <c r="AZ85" s="536"/>
      <c r="BA85" s="536"/>
      <c r="BB85" s="536"/>
      <c r="BC85" s="536"/>
      <c r="BD85" s="536"/>
      <c r="BE85" s="536"/>
      <c r="BF85" s="536"/>
    </row>
    <row r="86" spans="1:58" ht="30" customHeight="1" x14ac:dyDescent="0.2">
      <c r="A86" s="1377"/>
      <c r="B86" s="1378"/>
      <c r="C86" s="1391"/>
      <c r="D86" s="1260"/>
      <c r="E86" s="1263"/>
      <c r="F86" s="1105">
        <v>21.1</v>
      </c>
      <c r="G86" s="1109">
        <v>0.1</v>
      </c>
      <c r="H86" s="1142">
        <v>-0.1</v>
      </c>
      <c r="I86" s="1140">
        <v>0.2</v>
      </c>
      <c r="J86" s="1394"/>
      <c r="K86" s="1359"/>
      <c r="L86" s="1367"/>
      <c r="M86" s="536"/>
      <c r="N86" s="251" t="s">
        <v>152</v>
      </c>
      <c r="O86" s="257">
        <f>MAX(I85:I87)</f>
        <v>0.2</v>
      </c>
      <c r="P86" s="258">
        <f>MAX(I88:I90)</f>
        <v>1.7</v>
      </c>
      <c r="Q86" s="259">
        <f>MAX(I91:I93)</f>
        <v>7.1999999999999995E-2</v>
      </c>
      <c r="R86" s="536"/>
      <c r="S86" s="536"/>
      <c r="T86" s="538"/>
      <c r="U86" s="538"/>
      <c r="V86" s="552"/>
      <c r="W86" s="552"/>
      <c r="X86" s="538"/>
      <c r="Y86" s="538"/>
      <c r="Z86" s="538"/>
      <c r="AA86" s="538"/>
      <c r="AB86" s="667"/>
      <c r="AC86" s="536"/>
      <c r="AD86" s="552"/>
      <c r="AE86" s="552"/>
      <c r="AF86" s="552"/>
      <c r="AG86" s="668"/>
      <c r="AH86" s="536"/>
      <c r="AI86" s="536"/>
      <c r="AJ86" s="536"/>
      <c r="AK86" s="536"/>
      <c r="AL86" s="536"/>
      <c r="AM86" s="536"/>
      <c r="AN86" s="536"/>
      <c r="AO86" s="536"/>
      <c r="AP86" s="536"/>
      <c r="AQ86" s="537"/>
      <c r="AR86" s="536"/>
      <c r="AS86" s="536"/>
      <c r="AT86" s="536"/>
      <c r="AU86" s="536"/>
      <c r="AV86" s="536"/>
      <c r="AW86" s="536"/>
      <c r="AX86" s="536"/>
      <c r="AY86" s="536"/>
      <c r="AZ86" s="536"/>
      <c r="BA86" s="536"/>
      <c r="BB86" s="536"/>
      <c r="BC86" s="536"/>
      <c r="BD86" s="536"/>
      <c r="BE86" s="536"/>
      <c r="BF86" s="536"/>
    </row>
    <row r="87" spans="1:58" ht="30" customHeight="1" thickBot="1" x14ac:dyDescent="0.25">
      <c r="A87" s="1379"/>
      <c r="B87" s="1380"/>
      <c r="C87" s="1391"/>
      <c r="D87" s="1260"/>
      <c r="E87" s="1263"/>
      <c r="F87" s="1144">
        <v>24</v>
      </c>
      <c r="G87" s="1110">
        <v>0.1</v>
      </c>
      <c r="H87" s="1090">
        <v>0</v>
      </c>
      <c r="I87" s="1141">
        <v>0.2</v>
      </c>
      <c r="J87" s="1394">
        <v>1.96</v>
      </c>
      <c r="K87" s="1359"/>
      <c r="L87" s="1367"/>
      <c r="M87" s="536"/>
      <c r="N87" s="252"/>
      <c r="O87" s="260"/>
      <c r="P87" s="261"/>
      <c r="Q87" s="262"/>
      <c r="R87" s="536"/>
      <c r="S87" s="536"/>
      <c r="T87" s="538"/>
      <c r="U87" s="538"/>
      <c r="V87" s="552"/>
      <c r="W87" s="552"/>
      <c r="X87" s="538"/>
      <c r="Y87" s="538"/>
      <c r="Z87" s="538"/>
      <c r="AA87" s="538"/>
      <c r="AB87" s="667"/>
      <c r="AC87" s="536"/>
      <c r="AD87" s="552"/>
      <c r="AE87" s="552"/>
      <c r="AF87" s="552"/>
      <c r="AG87" s="668"/>
      <c r="AH87" s="536"/>
      <c r="AI87" s="536"/>
      <c r="AJ87" s="536"/>
      <c r="AK87" s="536"/>
      <c r="AL87" s="536"/>
      <c r="AM87" s="536"/>
      <c r="AN87" s="536"/>
      <c r="AO87" s="536"/>
      <c r="AP87" s="536"/>
      <c r="AQ87" s="537"/>
      <c r="AR87" s="536"/>
      <c r="AS87" s="536"/>
      <c r="AT87" s="536"/>
      <c r="AU87" s="536"/>
      <c r="AV87" s="536"/>
      <c r="AW87" s="536"/>
      <c r="AX87" s="536"/>
      <c r="AY87" s="536"/>
      <c r="AZ87" s="536"/>
      <c r="BA87" s="536"/>
      <c r="BB87" s="536"/>
      <c r="BC87" s="536"/>
      <c r="BD87" s="536"/>
      <c r="BE87" s="536"/>
      <c r="BF87" s="536"/>
    </row>
    <row r="88" spans="1:58" ht="30" customHeight="1" x14ac:dyDescent="0.2">
      <c r="A88" s="1375" t="s">
        <v>144</v>
      </c>
      <c r="B88" s="1376"/>
      <c r="C88" s="1391"/>
      <c r="D88" s="1260"/>
      <c r="E88" s="1263"/>
      <c r="F88" s="1121">
        <v>33.6</v>
      </c>
      <c r="G88" s="1122">
        <v>0.1</v>
      </c>
      <c r="H88" s="1122">
        <v>-3.6</v>
      </c>
      <c r="I88" s="1123">
        <v>1.7</v>
      </c>
      <c r="J88" s="1388">
        <v>1.96</v>
      </c>
      <c r="K88" s="1358" t="s">
        <v>644</v>
      </c>
      <c r="L88" s="1374" t="s">
        <v>643</v>
      </c>
      <c r="M88" s="536"/>
      <c r="N88" s="536"/>
      <c r="O88" s="536"/>
      <c r="P88" s="536"/>
      <c r="Q88" s="536"/>
      <c r="R88" s="536"/>
      <c r="S88" s="536"/>
      <c r="T88" s="538"/>
      <c r="U88" s="538"/>
      <c r="V88" s="552"/>
      <c r="W88" s="552"/>
      <c r="X88" s="538"/>
      <c r="Y88" s="538"/>
      <c r="Z88" s="538"/>
      <c r="AA88" s="538"/>
      <c r="AB88" s="667"/>
      <c r="AC88" s="536"/>
      <c r="AD88" s="552"/>
      <c r="AE88" s="552"/>
      <c r="AF88" s="552"/>
      <c r="AG88" s="668"/>
      <c r="AH88" s="536"/>
      <c r="AI88" s="536"/>
      <c r="AJ88" s="536"/>
      <c r="AK88" s="536"/>
      <c r="AL88" s="536"/>
      <c r="AM88" s="536"/>
      <c r="AN88" s="536"/>
      <c r="AO88" s="536"/>
      <c r="AP88" s="536"/>
      <c r="AQ88" s="537"/>
      <c r="AR88" s="536"/>
      <c r="AS88" s="536"/>
      <c r="AT88" s="536"/>
      <c r="AU88" s="536"/>
      <c r="AV88" s="536"/>
      <c r="AW88" s="536"/>
      <c r="AX88" s="536"/>
      <c r="AY88" s="536"/>
      <c r="AZ88" s="536"/>
      <c r="BA88" s="536"/>
      <c r="BB88" s="536"/>
      <c r="BC88" s="536"/>
      <c r="BD88" s="536"/>
      <c r="BE88" s="536"/>
      <c r="BF88" s="536"/>
    </row>
    <row r="89" spans="1:58" ht="30" customHeight="1" x14ac:dyDescent="0.2">
      <c r="A89" s="1377"/>
      <c r="B89" s="1378"/>
      <c r="C89" s="1391"/>
      <c r="D89" s="1260"/>
      <c r="E89" s="1263"/>
      <c r="F89" s="1105">
        <v>55.8</v>
      </c>
      <c r="G89" s="1124">
        <v>0.1</v>
      </c>
      <c r="H89" s="1124">
        <v>-0.8</v>
      </c>
      <c r="I89" s="1125">
        <v>1.7</v>
      </c>
      <c r="J89" s="1388">
        <v>1.96</v>
      </c>
      <c r="K89" s="1359"/>
      <c r="L89" s="1367"/>
      <c r="M89" s="536"/>
      <c r="N89" s="536"/>
      <c r="O89" s="536"/>
      <c r="P89" s="536"/>
      <c r="Q89" s="536"/>
      <c r="R89" s="536"/>
      <c r="S89" s="536"/>
      <c r="T89" s="538"/>
      <c r="U89" s="538"/>
      <c r="V89" s="552"/>
      <c r="W89" s="552"/>
      <c r="X89" s="538"/>
      <c r="Y89" s="538"/>
      <c r="Z89" s="538"/>
      <c r="AA89" s="538"/>
      <c r="AB89" s="667"/>
      <c r="AC89" s="536"/>
      <c r="AD89" s="552"/>
      <c r="AE89" s="552"/>
      <c r="AF89" s="552"/>
      <c r="AG89" s="668"/>
      <c r="AH89" s="536"/>
      <c r="AI89" s="536"/>
      <c r="AJ89" s="536"/>
      <c r="AK89" s="536"/>
      <c r="AL89" s="536"/>
      <c r="AM89" s="536"/>
      <c r="AN89" s="536"/>
      <c r="AO89" s="536"/>
      <c r="AP89" s="536"/>
      <c r="AQ89" s="537"/>
      <c r="AR89" s="536"/>
      <c r="AS89" s="536"/>
      <c r="AT89" s="536"/>
      <c r="AU89" s="536"/>
      <c r="AV89" s="536"/>
      <c r="AW89" s="536"/>
      <c r="AX89" s="536"/>
      <c r="AY89" s="536"/>
      <c r="AZ89" s="536"/>
      <c r="BA89" s="536"/>
      <c r="BB89" s="536"/>
      <c r="BC89" s="536"/>
      <c r="BD89" s="536"/>
      <c r="BE89" s="536"/>
      <c r="BF89" s="536"/>
    </row>
    <row r="90" spans="1:58" ht="30" customHeight="1" thickBot="1" x14ac:dyDescent="0.25">
      <c r="A90" s="1379"/>
      <c r="B90" s="1380"/>
      <c r="C90" s="1391"/>
      <c r="D90" s="1260"/>
      <c r="E90" s="1263"/>
      <c r="F90" s="1106">
        <v>78.400000000000006</v>
      </c>
      <c r="G90" s="1126">
        <v>0.1</v>
      </c>
      <c r="H90" s="1126">
        <v>2.5</v>
      </c>
      <c r="I90" s="1127">
        <v>1.7</v>
      </c>
      <c r="J90" s="1388"/>
      <c r="K90" s="1359"/>
      <c r="L90" s="1367"/>
      <c r="M90" s="536"/>
      <c r="N90" s="536"/>
      <c r="O90" s="536"/>
      <c r="P90" s="536"/>
      <c r="Q90" s="536"/>
      <c r="R90" s="536"/>
      <c r="S90" s="536"/>
      <c r="T90" s="538"/>
      <c r="U90" s="538"/>
      <c r="V90" s="552"/>
      <c r="W90" s="552"/>
      <c r="X90" s="538"/>
      <c r="Y90" s="538"/>
      <c r="Z90" s="538"/>
      <c r="AA90" s="538"/>
      <c r="AB90" s="667"/>
      <c r="AC90" s="536"/>
      <c r="AD90" s="552"/>
      <c r="AE90" s="552"/>
      <c r="AF90" s="552"/>
      <c r="AG90" s="668"/>
      <c r="AH90" s="536"/>
      <c r="AI90" s="536"/>
      <c r="AJ90" s="536"/>
      <c r="AK90" s="536"/>
      <c r="AL90" s="536"/>
      <c r="AM90" s="536"/>
      <c r="AN90" s="536"/>
      <c r="AO90" s="536"/>
      <c r="AP90" s="536"/>
      <c r="AQ90" s="537"/>
      <c r="AR90" s="536"/>
      <c r="AS90" s="536"/>
      <c r="AT90" s="536"/>
      <c r="AU90" s="536"/>
      <c r="AV90" s="536"/>
      <c r="AW90" s="536"/>
      <c r="AX90" s="536"/>
      <c r="AY90" s="536"/>
      <c r="AZ90" s="536"/>
      <c r="BA90" s="536"/>
      <c r="BB90" s="536"/>
      <c r="BC90" s="536"/>
      <c r="BD90" s="536"/>
      <c r="BE90" s="536"/>
      <c r="BF90" s="536"/>
    </row>
    <row r="91" spans="1:58" ht="30" customHeight="1" x14ac:dyDescent="0.2">
      <c r="A91" s="1250" t="s">
        <v>145</v>
      </c>
      <c r="B91" s="1251"/>
      <c r="C91" s="1391"/>
      <c r="D91" s="1260"/>
      <c r="E91" s="1263"/>
      <c r="F91" s="1103">
        <v>499.79599999999999</v>
      </c>
      <c r="G91" s="1122">
        <v>0.1</v>
      </c>
      <c r="H91" s="1181">
        <v>1.548</v>
      </c>
      <c r="I91" s="1178">
        <v>6.6000000000000003E-2</v>
      </c>
      <c r="J91" s="1388">
        <v>2.04</v>
      </c>
      <c r="K91" s="1358" t="s">
        <v>652</v>
      </c>
      <c r="L91" s="1366" t="s">
        <v>654</v>
      </c>
      <c r="M91" s="536"/>
      <c r="N91" s="536"/>
      <c r="O91" s="536"/>
      <c r="P91" s="536"/>
      <c r="Q91" s="536"/>
      <c r="R91" s="536"/>
      <c r="S91" s="536"/>
      <c r="T91" s="538"/>
      <c r="U91" s="538"/>
      <c r="V91" s="552"/>
      <c r="W91" s="552"/>
      <c r="X91" s="538"/>
      <c r="Y91" s="538"/>
      <c r="Z91" s="538"/>
      <c r="AA91" s="538"/>
      <c r="AB91" s="667"/>
      <c r="AC91" s="536"/>
      <c r="AD91" s="552"/>
      <c r="AE91" s="552"/>
      <c r="AF91" s="552"/>
      <c r="AG91" s="668"/>
      <c r="AH91" s="536"/>
      <c r="AI91" s="536"/>
      <c r="AJ91" s="536"/>
      <c r="AK91" s="536"/>
      <c r="AL91" s="536"/>
      <c r="AM91" s="536"/>
      <c r="AN91" s="536"/>
      <c r="AO91" s="536"/>
      <c r="AP91" s="536"/>
      <c r="AQ91" s="537"/>
      <c r="AR91" s="536"/>
      <c r="AS91" s="536"/>
      <c r="AT91" s="536"/>
      <c r="AU91" s="536"/>
      <c r="AV91" s="536"/>
      <c r="AW91" s="536"/>
      <c r="AX91" s="536"/>
      <c r="AY91" s="536"/>
      <c r="AZ91" s="536"/>
      <c r="BA91" s="536"/>
      <c r="BB91" s="536"/>
      <c r="BC91" s="536"/>
      <c r="BD91" s="536"/>
      <c r="BE91" s="536"/>
      <c r="BF91" s="536"/>
    </row>
    <row r="92" spans="1:58" ht="30" customHeight="1" thickBot="1" x14ac:dyDescent="0.25">
      <c r="A92" s="1252"/>
      <c r="B92" s="1253"/>
      <c r="C92" s="1391"/>
      <c r="D92" s="1260"/>
      <c r="E92" s="1263"/>
      <c r="F92" s="1104">
        <v>752.29499999999996</v>
      </c>
      <c r="G92" s="1124">
        <v>0.1</v>
      </c>
      <c r="H92" s="1182">
        <v>1.0489999999999999</v>
      </c>
      <c r="I92" s="1179">
        <v>6.8000000000000005E-2</v>
      </c>
      <c r="J92" s="1388">
        <v>2</v>
      </c>
      <c r="K92" s="1359"/>
      <c r="L92" s="1367" t="s">
        <v>153</v>
      </c>
      <c r="M92" s="536"/>
      <c r="N92" s="536"/>
      <c r="O92" s="536"/>
      <c r="P92" s="536"/>
      <c r="Q92" s="536"/>
      <c r="R92" s="536"/>
      <c r="S92" s="536"/>
      <c r="T92" s="538"/>
      <c r="U92" s="538"/>
      <c r="V92" s="552"/>
      <c r="W92" s="552"/>
      <c r="X92" s="538"/>
      <c r="Y92" s="538"/>
      <c r="Z92" s="538"/>
      <c r="AA92" s="538"/>
      <c r="AB92" s="667"/>
      <c r="AC92" s="536"/>
      <c r="AD92" s="552"/>
      <c r="AE92" s="552"/>
      <c r="AF92" s="552"/>
      <c r="AG92" s="668"/>
      <c r="AH92" s="536"/>
      <c r="AI92" s="536"/>
      <c r="AJ92" s="536"/>
      <c r="AK92" s="536"/>
      <c r="AL92" s="536"/>
      <c r="AM92" s="536"/>
      <c r="AN92" s="536"/>
      <c r="AO92" s="536"/>
      <c r="AP92" s="536"/>
      <c r="AQ92" s="537"/>
      <c r="AR92" s="536"/>
      <c r="AS92" s="536"/>
      <c r="AT92" s="536"/>
      <c r="AU92" s="536"/>
      <c r="AV92" s="536"/>
      <c r="AW92" s="536"/>
      <c r="AX92" s="536"/>
      <c r="AY92" s="536"/>
      <c r="AZ92" s="536"/>
      <c r="BA92" s="536"/>
      <c r="BB92" s="536"/>
      <c r="BC92" s="536"/>
      <c r="BD92" s="536"/>
      <c r="BE92" s="536"/>
      <c r="BF92" s="536"/>
    </row>
    <row r="93" spans="1:58" ht="30" customHeight="1" thickBot="1" x14ac:dyDescent="0.25">
      <c r="A93" s="1254"/>
      <c r="B93" s="1255"/>
      <c r="C93" s="1392"/>
      <c r="D93" s="1261"/>
      <c r="E93" s="1264"/>
      <c r="F93" s="1117">
        <v>949.69299999999998</v>
      </c>
      <c r="G93" s="1126">
        <v>0.1</v>
      </c>
      <c r="H93" s="1183">
        <v>0.82299999999999995</v>
      </c>
      <c r="I93" s="1180">
        <v>7.1999999999999995E-2</v>
      </c>
      <c r="J93" s="1389"/>
      <c r="K93" s="1390"/>
      <c r="L93" s="1368"/>
      <c r="M93" s="536"/>
      <c r="N93" s="536"/>
      <c r="O93" s="536"/>
      <c r="P93" s="536"/>
      <c r="Q93" s="536"/>
      <c r="R93" s="536"/>
      <c r="S93" s="536"/>
      <c r="T93" s="538"/>
      <c r="U93" s="538"/>
      <c r="V93" s="552"/>
      <c r="W93" s="552"/>
      <c r="X93" s="538"/>
      <c r="Y93" s="538"/>
      <c r="Z93" s="538"/>
      <c r="AA93" s="538"/>
      <c r="AB93" s="1323" t="s">
        <v>154</v>
      </c>
      <c r="AC93" s="669" t="s">
        <v>134</v>
      </c>
      <c r="AD93" s="182" t="s">
        <v>135</v>
      </c>
      <c r="AE93" s="182" t="s">
        <v>136</v>
      </c>
      <c r="AF93" s="1420" t="s">
        <v>155</v>
      </c>
      <c r="AG93" s="1423" t="s">
        <v>156</v>
      </c>
      <c r="AH93" s="536"/>
      <c r="AI93" s="536"/>
      <c r="AJ93" s="536"/>
      <c r="AK93" s="536"/>
      <c r="AL93" s="536"/>
      <c r="AM93" s="536"/>
      <c r="AN93" s="536"/>
      <c r="AO93" s="536"/>
      <c r="AP93" s="536"/>
      <c r="AQ93" s="537"/>
      <c r="AR93" s="536"/>
      <c r="AS93" s="536"/>
      <c r="AT93" s="536"/>
      <c r="AU93" s="536"/>
      <c r="AV93" s="536"/>
      <c r="AW93" s="536"/>
      <c r="AX93" s="536"/>
      <c r="AY93" s="536"/>
      <c r="AZ93" s="536"/>
      <c r="BA93" s="536"/>
      <c r="BB93" s="536"/>
      <c r="BC93" s="536"/>
      <c r="BD93" s="536"/>
      <c r="BE93" s="536"/>
      <c r="BF93" s="536"/>
    </row>
    <row r="94" spans="1:58" ht="30" customHeight="1" x14ac:dyDescent="0.2">
      <c r="A94" s="1158"/>
      <c r="B94" s="1167"/>
      <c r="C94" s="1158"/>
      <c r="D94" s="1158"/>
      <c r="E94" s="1158"/>
      <c r="F94" s="1158"/>
      <c r="G94" s="1158"/>
      <c r="H94" s="1158"/>
      <c r="I94" s="1158"/>
      <c r="J94" s="1158"/>
      <c r="K94" s="1158"/>
      <c r="L94" s="1158"/>
      <c r="M94" s="536"/>
      <c r="N94" s="536"/>
      <c r="O94" s="536"/>
      <c r="P94" s="536"/>
      <c r="Q94" s="536"/>
      <c r="R94" s="536"/>
      <c r="S94" s="536"/>
      <c r="T94" s="538"/>
      <c r="U94" s="538"/>
      <c r="V94" s="552"/>
      <c r="W94" s="552"/>
      <c r="X94" s="538"/>
      <c r="Y94" s="538"/>
      <c r="Z94" s="538"/>
      <c r="AA94" s="538"/>
      <c r="AB94" s="1324"/>
      <c r="AC94" s="674">
        <f>MAX(I96:I98)</f>
        <v>0.4</v>
      </c>
      <c r="AD94" s="183">
        <f>MAX(I99:I101)</f>
        <v>1.7</v>
      </c>
      <c r="AE94" s="183">
        <f>MAX(I102:I104)</f>
        <v>8.7999999999999995E-2</v>
      </c>
      <c r="AF94" s="1421"/>
      <c r="AG94" s="1424"/>
      <c r="AH94" s="536"/>
      <c r="AI94" s="536"/>
      <c r="AJ94" s="536"/>
      <c r="AK94" s="536"/>
      <c r="AL94" s="536"/>
      <c r="AM94" s="536"/>
      <c r="AN94" s="536"/>
      <c r="AO94" s="536"/>
      <c r="AP94" s="536"/>
      <c r="AQ94" s="537"/>
      <c r="AR94" s="536"/>
      <c r="AS94" s="536"/>
      <c r="AT94" s="536"/>
      <c r="AU94" s="536"/>
      <c r="AV94" s="536"/>
      <c r="AW94" s="536"/>
      <c r="AX94" s="536"/>
      <c r="AY94" s="536"/>
      <c r="AZ94" s="536"/>
      <c r="BA94" s="536"/>
      <c r="BB94" s="536"/>
      <c r="BC94" s="536"/>
      <c r="BD94" s="536"/>
      <c r="BE94" s="536"/>
      <c r="BF94" s="536"/>
    </row>
    <row r="95" spans="1:58" ht="30" customHeight="1" thickBot="1" x14ac:dyDescent="0.25">
      <c r="A95" s="1158"/>
      <c r="B95" s="1167"/>
      <c r="C95" s="1168"/>
      <c r="D95" s="1169"/>
      <c r="E95" s="1170"/>
      <c r="F95" s="1165"/>
      <c r="G95" s="1165"/>
      <c r="H95" s="1165"/>
      <c r="I95" s="1165"/>
      <c r="J95" s="1165"/>
      <c r="K95" s="1166"/>
      <c r="L95" s="1158"/>
      <c r="M95" s="536"/>
      <c r="N95" s="536"/>
      <c r="O95" s="536"/>
      <c r="P95" s="536"/>
      <c r="Q95" s="536"/>
      <c r="R95" s="536"/>
      <c r="S95" s="536"/>
      <c r="T95" s="538"/>
      <c r="U95" s="538"/>
      <c r="V95" s="552"/>
      <c r="W95" s="552"/>
      <c r="X95" s="538"/>
      <c r="Y95" s="538"/>
      <c r="Z95" s="538"/>
      <c r="AA95" s="538"/>
      <c r="AB95" s="1325"/>
      <c r="AC95" s="184"/>
      <c r="AD95" s="185"/>
      <c r="AE95" s="185"/>
      <c r="AF95" s="1422"/>
      <c r="AG95" s="1425"/>
      <c r="AH95" s="536"/>
      <c r="AI95" s="536"/>
      <c r="AJ95" s="536"/>
      <c r="AK95" s="536"/>
      <c r="AL95" s="536"/>
      <c r="AM95" s="536"/>
      <c r="AN95" s="536"/>
      <c r="AO95" s="536"/>
      <c r="AP95" s="536"/>
      <c r="AQ95" s="537"/>
      <c r="AR95" s="536"/>
      <c r="AS95" s="536"/>
      <c r="AT95" s="536"/>
      <c r="AU95" s="536"/>
      <c r="AV95" s="536"/>
      <c r="AW95" s="536"/>
      <c r="AX95" s="536"/>
      <c r="AY95" s="536"/>
      <c r="AZ95" s="536"/>
      <c r="BA95" s="536"/>
      <c r="BB95" s="536"/>
      <c r="BC95" s="536"/>
      <c r="BD95" s="536"/>
      <c r="BE95" s="536"/>
      <c r="BF95" s="536"/>
    </row>
    <row r="96" spans="1:58" ht="30" customHeight="1" x14ac:dyDescent="0.2">
      <c r="A96" s="1250" t="s">
        <v>139</v>
      </c>
      <c r="B96" s="1251"/>
      <c r="C96" s="1256" t="s">
        <v>157</v>
      </c>
      <c r="D96" s="1259" t="s">
        <v>141</v>
      </c>
      <c r="E96" s="1395" t="s">
        <v>158</v>
      </c>
      <c r="F96" s="1129">
        <v>10.3</v>
      </c>
      <c r="G96" s="1130">
        <v>0.1</v>
      </c>
      <c r="H96" s="1131">
        <v>0</v>
      </c>
      <c r="I96" s="1132">
        <v>0.3</v>
      </c>
      <c r="J96" s="1398">
        <v>1.96</v>
      </c>
      <c r="K96" s="1417" t="s">
        <v>646</v>
      </c>
      <c r="L96" s="1381" t="s">
        <v>639</v>
      </c>
      <c r="M96" s="536"/>
      <c r="N96" s="250"/>
      <c r="O96" s="254" t="s">
        <v>134</v>
      </c>
      <c r="P96" s="255" t="s">
        <v>143</v>
      </c>
      <c r="Q96" s="256" t="s">
        <v>136</v>
      </c>
      <c r="R96" s="536"/>
      <c r="S96" s="536"/>
      <c r="T96" s="538"/>
      <c r="U96" s="538"/>
      <c r="V96" s="552"/>
      <c r="W96" s="552"/>
      <c r="X96" s="538"/>
      <c r="Y96" s="538"/>
      <c r="Z96" s="538"/>
      <c r="AA96" s="538"/>
      <c r="AB96" s="667"/>
      <c r="AC96" s="536"/>
      <c r="AD96" s="552"/>
      <c r="AE96" s="552"/>
      <c r="AF96" s="552"/>
      <c r="AG96" s="668"/>
      <c r="AH96" s="536"/>
      <c r="AI96" s="536"/>
      <c r="AJ96" s="536"/>
      <c r="AK96" s="536"/>
      <c r="AL96" s="536"/>
      <c r="AM96" s="536"/>
      <c r="AN96" s="536"/>
      <c r="AO96" s="536"/>
      <c r="AP96" s="536"/>
      <c r="AQ96" s="537"/>
      <c r="AR96" s="536"/>
      <c r="AS96" s="536"/>
      <c r="AT96" s="536"/>
      <c r="AU96" s="536"/>
      <c r="AV96" s="536"/>
      <c r="AW96" s="536"/>
      <c r="AX96" s="536"/>
      <c r="AY96" s="536"/>
      <c r="AZ96" s="536"/>
      <c r="BA96" s="536"/>
      <c r="BB96" s="536"/>
      <c r="BC96" s="536"/>
      <c r="BD96" s="536"/>
      <c r="BE96" s="536"/>
      <c r="BF96" s="536"/>
    </row>
    <row r="97" spans="1:58" ht="30" customHeight="1" x14ac:dyDescent="0.2">
      <c r="A97" s="1252"/>
      <c r="B97" s="1253"/>
      <c r="C97" s="1391"/>
      <c r="D97" s="1260"/>
      <c r="E97" s="1396"/>
      <c r="F97" s="1133">
        <v>20</v>
      </c>
      <c r="G97" s="1079">
        <v>0.1</v>
      </c>
      <c r="H97" s="1134">
        <v>0.1</v>
      </c>
      <c r="I97" s="1171">
        <v>0.2</v>
      </c>
      <c r="J97" s="1372"/>
      <c r="K97" s="1348"/>
      <c r="L97" s="1370"/>
      <c r="M97" s="536"/>
      <c r="N97" s="251" t="s">
        <v>159</v>
      </c>
      <c r="O97" s="257">
        <f>MAX(I96:I98)</f>
        <v>0.4</v>
      </c>
      <c r="P97" s="258">
        <f>MAX(I99:I101)</f>
        <v>1.7</v>
      </c>
      <c r="Q97" s="259">
        <f>MAX(I102:I104)</f>
        <v>8.7999999999999995E-2</v>
      </c>
      <c r="R97" s="536"/>
      <c r="S97" s="536"/>
      <c r="T97" s="538"/>
      <c r="U97" s="538"/>
      <c r="V97" s="552"/>
      <c r="W97" s="552"/>
      <c r="X97" s="538"/>
      <c r="Y97" s="538"/>
      <c r="Z97" s="538"/>
      <c r="AA97" s="538"/>
      <c r="AB97" s="667"/>
      <c r="AC97" s="536"/>
      <c r="AD97" s="552"/>
      <c r="AE97" s="552"/>
      <c r="AF97" s="552"/>
      <c r="AG97" s="668"/>
      <c r="AH97" s="536"/>
      <c r="AI97" s="536"/>
      <c r="AJ97" s="536"/>
      <c r="AK97" s="536"/>
      <c r="AL97" s="536"/>
      <c r="AM97" s="536"/>
      <c r="AN97" s="536"/>
      <c r="AO97" s="536"/>
      <c r="AP97" s="536"/>
      <c r="AQ97" s="537"/>
      <c r="AR97" s="536"/>
      <c r="AS97" s="536"/>
      <c r="AT97" s="536"/>
      <c r="AU97" s="536"/>
      <c r="AV97" s="536"/>
      <c r="AW97" s="536"/>
      <c r="AX97" s="536"/>
      <c r="AY97" s="536"/>
      <c r="AZ97" s="536"/>
      <c r="BA97" s="536"/>
      <c r="BB97" s="536"/>
      <c r="BC97" s="536"/>
      <c r="BD97" s="536"/>
      <c r="BE97" s="536"/>
      <c r="BF97" s="536"/>
    </row>
    <row r="98" spans="1:58" ht="30" customHeight="1" thickBot="1" x14ac:dyDescent="0.25">
      <c r="A98" s="1254"/>
      <c r="B98" s="1255"/>
      <c r="C98" s="1391"/>
      <c r="D98" s="1260"/>
      <c r="E98" s="1396"/>
      <c r="F98" s="1081">
        <v>39.200000000000003</v>
      </c>
      <c r="G98" s="1135">
        <v>0.1</v>
      </c>
      <c r="H98" s="1082">
        <v>0.3</v>
      </c>
      <c r="I98" s="1172">
        <v>0.4</v>
      </c>
      <c r="J98" s="1372"/>
      <c r="K98" s="1348"/>
      <c r="L98" s="1370"/>
      <c r="M98" s="536"/>
      <c r="N98" s="252"/>
      <c r="O98" s="260"/>
      <c r="P98" s="261"/>
      <c r="Q98" s="262"/>
      <c r="R98" s="536"/>
      <c r="S98" s="536"/>
      <c r="T98" s="538"/>
      <c r="U98" s="538"/>
      <c r="V98" s="552"/>
      <c r="W98" s="552"/>
      <c r="X98" s="538"/>
      <c r="Y98" s="538"/>
      <c r="Z98" s="538"/>
      <c r="AA98" s="538"/>
      <c r="AB98" s="667"/>
      <c r="AC98" s="536"/>
      <c r="AD98" s="552"/>
      <c r="AE98" s="552"/>
      <c r="AF98" s="552"/>
      <c r="AG98" s="668"/>
      <c r="AH98" s="536"/>
      <c r="AI98" s="536"/>
      <c r="AJ98" s="536"/>
      <c r="AK98" s="536"/>
      <c r="AL98" s="536"/>
      <c r="AM98" s="536"/>
      <c r="AN98" s="536"/>
      <c r="AO98" s="536"/>
      <c r="AP98" s="536"/>
      <c r="AQ98" s="537"/>
      <c r="AR98" s="536"/>
      <c r="AS98" s="536"/>
      <c r="AT98" s="536"/>
      <c r="AU98" s="536"/>
      <c r="AV98" s="536"/>
      <c r="AW98" s="536"/>
      <c r="AX98" s="536"/>
      <c r="AY98" s="536"/>
      <c r="AZ98" s="536"/>
      <c r="BA98" s="536"/>
      <c r="BB98" s="536"/>
      <c r="BC98" s="536"/>
      <c r="BD98" s="536"/>
      <c r="BE98" s="536"/>
      <c r="BF98" s="536"/>
    </row>
    <row r="99" spans="1:58" ht="30" customHeight="1" x14ac:dyDescent="0.2">
      <c r="A99" s="1250" t="s">
        <v>144</v>
      </c>
      <c r="B99" s="1251"/>
      <c r="C99" s="1391"/>
      <c r="D99" s="1260"/>
      <c r="E99" s="1396"/>
      <c r="F99" s="1129">
        <v>33.299999999999997</v>
      </c>
      <c r="G99" s="1130">
        <v>0.1</v>
      </c>
      <c r="H99" s="1130">
        <v>-3.3</v>
      </c>
      <c r="I99" s="1132">
        <v>1.7</v>
      </c>
      <c r="J99" s="1372">
        <v>1.96</v>
      </c>
      <c r="K99" s="1347" t="s">
        <v>638</v>
      </c>
      <c r="L99" s="1369" t="s">
        <v>637</v>
      </c>
      <c r="M99" s="536"/>
      <c r="N99" s="536"/>
      <c r="O99" s="536"/>
      <c r="P99" s="536"/>
      <c r="Q99" s="536"/>
      <c r="R99" s="536"/>
      <c r="S99" s="536"/>
      <c r="T99" s="538"/>
      <c r="U99" s="538"/>
      <c r="V99" s="552"/>
      <c r="W99" s="552"/>
      <c r="X99" s="538"/>
      <c r="Y99" s="538"/>
      <c r="Z99" s="538"/>
      <c r="AA99" s="538"/>
      <c r="AB99" s="667"/>
      <c r="AC99" s="536"/>
      <c r="AD99" s="552"/>
      <c r="AE99" s="552"/>
      <c r="AF99" s="552"/>
      <c r="AG99" s="668"/>
      <c r="AH99" s="536"/>
      <c r="AI99" s="536"/>
      <c r="AJ99" s="536"/>
      <c r="AK99" s="536"/>
      <c r="AL99" s="536"/>
      <c r="AM99" s="536"/>
      <c r="AN99" s="536"/>
      <c r="AO99" s="536"/>
      <c r="AP99" s="536"/>
      <c r="AQ99" s="537"/>
      <c r="AR99" s="536"/>
      <c r="AS99" s="536"/>
      <c r="AT99" s="536"/>
      <c r="AU99" s="536"/>
      <c r="AV99" s="536"/>
      <c r="AW99" s="536"/>
      <c r="AX99" s="536"/>
      <c r="AY99" s="536"/>
      <c r="AZ99" s="536"/>
      <c r="BA99" s="536"/>
      <c r="BB99" s="536"/>
      <c r="BC99" s="536"/>
      <c r="BD99" s="536"/>
      <c r="BE99" s="536"/>
      <c r="BF99" s="536"/>
    </row>
    <row r="100" spans="1:58" ht="30" customHeight="1" x14ac:dyDescent="0.2">
      <c r="A100" s="1252"/>
      <c r="B100" s="1253"/>
      <c r="C100" s="1391"/>
      <c r="D100" s="1260"/>
      <c r="E100" s="1396"/>
      <c r="F100" s="1078">
        <v>51.3</v>
      </c>
      <c r="G100" s="1079">
        <v>0.1</v>
      </c>
      <c r="H100" s="1079">
        <v>-1.4</v>
      </c>
      <c r="I100" s="1171">
        <v>1.7</v>
      </c>
      <c r="J100" s="1372"/>
      <c r="K100" s="1348"/>
      <c r="L100" s="1370"/>
      <c r="M100" s="536"/>
      <c r="N100" s="536"/>
      <c r="O100" s="536"/>
      <c r="P100" s="536"/>
      <c r="Q100" s="536"/>
      <c r="R100" s="536"/>
      <c r="S100" s="536"/>
      <c r="T100" s="538"/>
      <c r="U100" s="538"/>
      <c r="V100" s="552"/>
      <c r="W100" s="552"/>
      <c r="X100" s="538"/>
      <c r="Y100" s="538"/>
      <c r="Z100" s="538"/>
      <c r="AA100" s="538"/>
      <c r="AB100" s="667"/>
      <c r="AC100" s="536"/>
      <c r="AD100" s="552"/>
      <c r="AE100" s="552"/>
      <c r="AF100" s="552"/>
      <c r="AG100" s="668"/>
      <c r="AH100" s="536"/>
      <c r="AI100" s="536"/>
      <c r="AJ100" s="536"/>
      <c r="AK100" s="536"/>
      <c r="AL100" s="536"/>
      <c r="AM100" s="536"/>
      <c r="AN100" s="536"/>
      <c r="AO100" s="536"/>
      <c r="AP100" s="536"/>
      <c r="AQ100" s="537"/>
      <c r="AR100" s="536"/>
      <c r="AS100" s="536"/>
      <c r="AT100" s="536"/>
      <c r="AU100" s="536"/>
      <c r="AV100" s="536"/>
      <c r="AW100" s="536"/>
      <c r="AX100" s="536"/>
      <c r="AY100" s="536"/>
      <c r="AZ100" s="536"/>
      <c r="BA100" s="536"/>
      <c r="BB100" s="536"/>
      <c r="BC100" s="536"/>
      <c r="BD100" s="536"/>
      <c r="BE100" s="536"/>
      <c r="BF100" s="536"/>
    </row>
    <row r="101" spans="1:58" ht="30" customHeight="1" thickBot="1" x14ac:dyDescent="0.25">
      <c r="A101" s="1254"/>
      <c r="B101" s="1255"/>
      <c r="C101" s="1391"/>
      <c r="D101" s="1260"/>
      <c r="E101" s="1396"/>
      <c r="F101" s="1081">
        <v>77.5</v>
      </c>
      <c r="G101" s="1082">
        <v>0.1</v>
      </c>
      <c r="H101" s="1082">
        <v>2.5</v>
      </c>
      <c r="I101" s="1172">
        <v>1.7</v>
      </c>
      <c r="J101" s="1372"/>
      <c r="K101" s="1348"/>
      <c r="L101" s="1370"/>
      <c r="M101" s="536"/>
      <c r="N101" s="536"/>
      <c r="O101" s="536"/>
      <c r="P101" s="536"/>
      <c r="Q101" s="536"/>
      <c r="R101" s="536"/>
      <c r="S101" s="536"/>
      <c r="T101" s="538"/>
      <c r="U101" s="538"/>
      <c r="V101" s="552"/>
      <c r="W101" s="552"/>
      <c r="X101" s="538"/>
      <c r="Y101" s="538"/>
      <c r="Z101" s="538"/>
      <c r="AA101" s="538"/>
      <c r="AB101" s="667"/>
      <c r="AC101" s="536"/>
      <c r="AD101" s="552"/>
      <c r="AE101" s="552"/>
      <c r="AF101" s="552"/>
      <c r="AG101" s="668"/>
      <c r="AH101" s="536"/>
      <c r="AI101" s="536"/>
      <c r="AJ101" s="536"/>
      <c r="AK101" s="536"/>
      <c r="AL101" s="536"/>
      <c r="AM101" s="536"/>
      <c r="AN101" s="536"/>
      <c r="AO101" s="536"/>
      <c r="AP101" s="536"/>
      <c r="AQ101" s="537"/>
      <c r="AR101" s="536"/>
      <c r="AS101" s="536"/>
      <c r="AT101" s="536"/>
      <c r="AU101" s="536"/>
      <c r="AV101" s="536"/>
      <c r="AW101" s="536"/>
      <c r="AX101" s="536"/>
      <c r="AY101" s="536"/>
      <c r="AZ101" s="536"/>
      <c r="BA101" s="536"/>
      <c r="BB101" s="536"/>
      <c r="BC101" s="536"/>
      <c r="BD101" s="536"/>
      <c r="BE101" s="536"/>
      <c r="BF101" s="536"/>
    </row>
    <row r="102" spans="1:58" ht="30" customHeight="1" x14ac:dyDescent="0.2">
      <c r="A102" s="1250" t="s">
        <v>145</v>
      </c>
      <c r="B102" s="1251"/>
      <c r="C102" s="1391"/>
      <c r="D102" s="1260"/>
      <c r="E102" s="1396"/>
      <c r="F102" s="1074">
        <v>499.02600000000001</v>
      </c>
      <c r="G102" s="1075">
        <v>0.1</v>
      </c>
      <c r="H102" s="1076">
        <v>1.573</v>
      </c>
      <c r="I102" s="1077">
        <v>7.6999999999999999E-2</v>
      </c>
      <c r="J102" s="1372">
        <v>1.96</v>
      </c>
      <c r="K102" s="1418" t="s">
        <v>146</v>
      </c>
      <c r="L102" s="1369" t="s">
        <v>160</v>
      </c>
      <c r="M102" s="536"/>
      <c r="N102" s="536"/>
      <c r="O102" s="536"/>
      <c r="P102" s="536"/>
      <c r="Q102" s="536"/>
      <c r="R102" s="536"/>
      <c r="S102" s="536"/>
      <c r="T102" s="538"/>
      <c r="U102" s="538"/>
      <c r="V102" s="552"/>
      <c r="W102" s="552"/>
      <c r="X102" s="538"/>
      <c r="Y102" s="538"/>
      <c r="Z102" s="538"/>
      <c r="AA102" s="538"/>
      <c r="AB102" s="667"/>
      <c r="AC102" s="536"/>
      <c r="AD102" s="552"/>
      <c r="AE102" s="552"/>
      <c r="AF102" s="552"/>
      <c r="AG102" s="668"/>
      <c r="AH102" s="536"/>
      <c r="AI102" s="536"/>
      <c r="AJ102" s="536"/>
      <c r="AK102" s="536"/>
      <c r="AL102" s="536"/>
      <c r="AM102" s="536"/>
      <c r="AN102" s="536"/>
      <c r="AO102" s="536"/>
      <c r="AP102" s="536"/>
      <c r="AQ102" s="537"/>
      <c r="AR102" s="536"/>
      <c r="AS102" s="536"/>
      <c r="AT102" s="536"/>
      <c r="AU102" s="536"/>
      <c r="AV102" s="536"/>
      <c r="AW102" s="536"/>
      <c r="AX102" s="536"/>
      <c r="AY102" s="536"/>
      <c r="AZ102" s="536"/>
      <c r="BA102" s="536"/>
      <c r="BB102" s="536"/>
      <c r="BC102" s="536"/>
      <c r="BD102" s="536"/>
      <c r="BE102" s="536"/>
      <c r="BF102" s="536"/>
    </row>
    <row r="103" spans="1:58" ht="30" customHeight="1" thickBot="1" x14ac:dyDescent="0.25">
      <c r="A103" s="1252"/>
      <c r="B103" s="1253"/>
      <c r="C103" s="1391"/>
      <c r="D103" s="1260"/>
      <c r="E103" s="1396"/>
      <c r="F103" s="1078">
        <v>752.18100000000004</v>
      </c>
      <c r="G103" s="1079">
        <v>0.1</v>
      </c>
      <c r="H103" s="1080">
        <v>1.0469999999999999</v>
      </c>
      <c r="I103" s="1171">
        <v>8.3000000000000004E-2</v>
      </c>
      <c r="J103" s="1372">
        <v>1.96</v>
      </c>
      <c r="K103" s="1348"/>
      <c r="L103" s="1370" t="s">
        <v>161</v>
      </c>
      <c r="M103" s="536"/>
      <c r="N103" s="536"/>
      <c r="O103" s="536"/>
      <c r="P103" s="536"/>
      <c r="Q103" s="536"/>
      <c r="R103" s="536"/>
      <c r="S103" s="536"/>
      <c r="T103" s="538"/>
      <c r="U103" s="538"/>
      <c r="V103" s="552"/>
      <c r="W103" s="552"/>
      <c r="X103" s="538"/>
      <c r="Y103" s="538"/>
      <c r="Z103" s="538"/>
      <c r="AA103" s="538"/>
      <c r="AB103" s="667"/>
      <c r="AC103" s="536"/>
      <c r="AD103" s="552"/>
      <c r="AE103" s="552"/>
      <c r="AF103" s="552"/>
      <c r="AG103" s="668"/>
      <c r="AH103" s="536"/>
      <c r="AI103" s="536"/>
      <c r="AJ103" s="536"/>
      <c r="AK103" s="536"/>
      <c r="AL103" s="536"/>
      <c r="AM103" s="536"/>
      <c r="AN103" s="536"/>
      <c r="AO103" s="536"/>
      <c r="AP103" s="536"/>
      <c r="AQ103" s="537"/>
      <c r="AR103" s="536"/>
      <c r="AS103" s="536"/>
      <c r="AT103" s="536"/>
      <c r="AU103" s="536"/>
      <c r="AV103" s="536"/>
      <c r="AW103" s="536"/>
      <c r="AX103" s="536"/>
      <c r="AY103" s="536"/>
      <c r="AZ103" s="536"/>
      <c r="BA103" s="536"/>
      <c r="BB103" s="536"/>
      <c r="BC103" s="536"/>
      <c r="BD103" s="536"/>
      <c r="BE103" s="536"/>
      <c r="BF103" s="536"/>
    </row>
    <row r="104" spans="1:58" ht="30" customHeight="1" thickBot="1" x14ac:dyDescent="0.25">
      <c r="A104" s="1254"/>
      <c r="B104" s="1255"/>
      <c r="C104" s="1392"/>
      <c r="D104" s="1261"/>
      <c r="E104" s="1397"/>
      <c r="F104" s="1081">
        <v>900.66499999999996</v>
      </c>
      <c r="G104" s="1082">
        <v>0.1</v>
      </c>
      <c r="H104" s="1083">
        <v>0.73699999999999999</v>
      </c>
      <c r="I104" s="1172">
        <v>8.7999999999999995E-2</v>
      </c>
      <c r="J104" s="1373">
        <v>2</v>
      </c>
      <c r="K104" s="1419"/>
      <c r="L104" s="1371" t="s">
        <v>162</v>
      </c>
      <c r="M104" s="536"/>
      <c r="N104" s="536"/>
      <c r="O104" s="536"/>
      <c r="P104" s="536"/>
      <c r="Q104" s="536"/>
      <c r="R104" s="536"/>
      <c r="S104" s="536"/>
      <c r="T104" s="538"/>
      <c r="U104" s="538"/>
      <c r="V104" s="552"/>
      <c r="W104" s="552"/>
      <c r="X104" s="538"/>
      <c r="Y104" s="538"/>
      <c r="Z104" s="538"/>
      <c r="AA104" s="538"/>
      <c r="AB104" s="1323" t="s">
        <v>152</v>
      </c>
      <c r="AC104" s="669" t="s">
        <v>134</v>
      </c>
      <c r="AD104" s="182" t="s">
        <v>135</v>
      </c>
      <c r="AE104" s="182" t="s">
        <v>136</v>
      </c>
      <c r="AF104" s="1318" t="s">
        <v>163</v>
      </c>
      <c r="AG104" s="1403" t="s">
        <v>164</v>
      </c>
      <c r="AH104" s="536"/>
      <c r="AI104" s="536"/>
      <c r="AJ104" s="536"/>
      <c r="AK104" s="536"/>
      <c r="AL104" s="536"/>
      <c r="AM104" s="536"/>
      <c r="AN104" s="536"/>
      <c r="AO104" s="536"/>
      <c r="AP104" s="536"/>
      <c r="AQ104" s="537"/>
      <c r="AR104" s="536"/>
      <c r="AS104" s="536"/>
      <c r="AT104" s="536"/>
      <c r="AU104" s="536"/>
      <c r="AV104" s="536"/>
      <c r="AW104" s="536"/>
      <c r="AX104" s="536"/>
      <c r="AY104" s="536"/>
      <c r="AZ104" s="536"/>
      <c r="BA104" s="536"/>
      <c r="BB104" s="536"/>
      <c r="BC104" s="536"/>
      <c r="BD104" s="536"/>
      <c r="BE104" s="536"/>
      <c r="BF104" s="536"/>
    </row>
    <row r="105" spans="1:58" ht="30" customHeight="1" x14ac:dyDescent="0.2">
      <c r="A105" s="1158"/>
      <c r="B105" s="1167"/>
      <c r="C105" s="1158"/>
      <c r="D105" s="1158"/>
      <c r="E105" s="1158"/>
      <c r="F105" s="1158"/>
      <c r="G105" s="1158"/>
      <c r="H105" s="1158"/>
      <c r="I105" s="1158"/>
      <c r="J105" s="1158"/>
      <c r="K105" s="1158"/>
      <c r="L105" s="1158"/>
      <c r="M105" s="536"/>
      <c r="N105" s="536"/>
      <c r="O105" s="536"/>
      <c r="P105" s="536"/>
      <c r="Q105" s="536"/>
      <c r="R105" s="536"/>
      <c r="S105" s="536"/>
      <c r="T105" s="538"/>
      <c r="U105" s="538"/>
      <c r="V105" s="552"/>
      <c r="W105" s="552"/>
      <c r="X105" s="538"/>
      <c r="Y105" s="538"/>
      <c r="Z105" s="538"/>
      <c r="AA105" s="538"/>
      <c r="AB105" s="1324"/>
      <c r="AC105" s="674">
        <f>MAX(I107:I109)</f>
        <v>0.2</v>
      </c>
      <c r="AD105" s="183">
        <f>MAX(I110:I112)</f>
        <v>1.7</v>
      </c>
      <c r="AE105" s="183">
        <f>MAX(I113:I115)</f>
        <v>7.3999999999999996E-2</v>
      </c>
      <c r="AF105" s="1319"/>
      <c r="AG105" s="1291"/>
      <c r="AH105" s="536"/>
      <c r="AI105" s="536"/>
      <c r="AJ105" s="536"/>
      <c r="AK105" s="536"/>
      <c r="AL105" s="536"/>
      <c r="AM105" s="536"/>
      <c r="AN105" s="536"/>
      <c r="AO105" s="536"/>
      <c r="AP105" s="536"/>
      <c r="AQ105" s="537"/>
      <c r="AR105" s="536"/>
      <c r="AS105" s="536"/>
      <c r="AT105" s="536"/>
      <c r="AU105" s="536"/>
      <c r="AV105" s="536"/>
      <c r="AW105" s="536"/>
      <c r="AX105" s="536"/>
      <c r="AY105" s="536"/>
      <c r="AZ105" s="536"/>
      <c r="BA105" s="536"/>
      <c r="BB105" s="536"/>
      <c r="BC105" s="536"/>
      <c r="BD105" s="536"/>
      <c r="BE105" s="536"/>
      <c r="BF105" s="536"/>
    </row>
    <row r="106" spans="1:58" ht="30" customHeight="1" thickBot="1" x14ac:dyDescent="0.25">
      <c r="A106" s="1158"/>
      <c r="B106" s="1167"/>
      <c r="C106" s="1169"/>
      <c r="D106" s="1168"/>
      <c r="E106" s="1170"/>
      <c r="F106" s="1165"/>
      <c r="G106" s="1165"/>
      <c r="H106" s="1165"/>
      <c r="I106" s="1165"/>
      <c r="J106" s="1165"/>
      <c r="K106" s="1166"/>
      <c r="L106" s="1158"/>
      <c r="M106" s="536"/>
      <c r="N106" s="536"/>
      <c r="O106" s="536"/>
      <c r="P106" s="536"/>
      <c r="Q106" s="536"/>
      <c r="R106" s="536"/>
      <c r="S106" s="536"/>
      <c r="T106" s="538"/>
      <c r="U106" s="538"/>
      <c r="V106" s="552"/>
      <c r="W106" s="552"/>
      <c r="X106" s="538"/>
      <c r="Y106" s="538"/>
      <c r="Z106" s="538"/>
      <c r="AA106" s="538"/>
      <c r="AB106" s="1325"/>
      <c r="AC106" s="184"/>
      <c r="AD106" s="185"/>
      <c r="AE106" s="185"/>
      <c r="AF106" s="1322"/>
      <c r="AG106" s="1292"/>
      <c r="AH106" s="536"/>
      <c r="AI106" s="536"/>
      <c r="AJ106" s="536"/>
      <c r="AK106" s="536"/>
      <c r="AL106" s="536"/>
      <c r="AM106" s="536"/>
      <c r="AN106" s="536"/>
      <c r="AO106" s="536"/>
      <c r="AP106" s="536"/>
      <c r="AQ106" s="537"/>
      <c r="AR106" s="536"/>
      <c r="AS106" s="536"/>
      <c r="AT106" s="536"/>
      <c r="AU106" s="536"/>
      <c r="AV106" s="536"/>
      <c r="AW106" s="536"/>
      <c r="AX106" s="536"/>
      <c r="AY106" s="536"/>
      <c r="AZ106" s="536"/>
      <c r="BA106" s="536"/>
      <c r="BB106" s="536"/>
      <c r="BC106" s="536"/>
      <c r="BD106" s="536"/>
      <c r="BE106" s="536"/>
      <c r="BF106" s="536"/>
    </row>
    <row r="107" spans="1:58" ht="30" customHeight="1" x14ac:dyDescent="0.2">
      <c r="A107" s="1360" t="s">
        <v>139</v>
      </c>
      <c r="B107" s="1361"/>
      <c r="C107" s="1256" t="s">
        <v>165</v>
      </c>
      <c r="D107" s="1406" t="s">
        <v>141</v>
      </c>
      <c r="E107" s="1262">
        <v>19506160802033</v>
      </c>
      <c r="F107" s="1121">
        <v>14.9</v>
      </c>
      <c r="G107" s="1107">
        <v>0.1</v>
      </c>
      <c r="H107" s="1089">
        <v>0.1</v>
      </c>
      <c r="I107" s="1145">
        <v>0.2</v>
      </c>
      <c r="J107" s="1384">
        <v>1.96</v>
      </c>
      <c r="K107" s="1402" t="s">
        <v>650</v>
      </c>
      <c r="L107" s="1404" t="s">
        <v>649</v>
      </c>
      <c r="M107" s="536"/>
      <c r="N107" s="250"/>
      <c r="O107" s="254" t="s">
        <v>134</v>
      </c>
      <c r="P107" s="255" t="s">
        <v>143</v>
      </c>
      <c r="Q107" s="256" t="s">
        <v>136</v>
      </c>
      <c r="R107" s="536"/>
      <c r="S107" s="536"/>
      <c r="T107" s="538"/>
      <c r="U107" s="538"/>
      <c r="V107" s="552"/>
      <c r="W107" s="552"/>
      <c r="X107" s="538"/>
      <c r="Y107" s="538"/>
      <c r="Z107" s="538"/>
      <c r="AA107" s="538"/>
      <c r="AB107" s="667"/>
      <c r="AC107" s="536"/>
      <c r="AD107" s="552"/>
      <c r="AE107" s="552"/>
      <c r="AF107" s="552"/>
      <c r="AG107" s="668"/>
      <c r="AH107" s="536"/>
      <c r="AI107" s="536"/>
      <c r="AJ107" s="536"/>
      <c r="AK107" s="536"/>
      <c r="AL107" s="536"/>
      <c r="AM107" s="536"/>
      <c r="AN107" s="536"/>
      <c r="AO107" s="536"/>
      <c r="AP107" s="536"/>
      <c r="AQ107" s="537"/>
      <c r="AR107" s="536"/>
      <c r="AS107" s="536"/>
      <c r="AT107" s="536"/>
      <c r="AU107" s="536"/>
      <c r="AV107" s="536"/>
      <c r="AW107" s="536"/>
      <c r="AX107" s="536"/>
      <c r="AY107" s="536"/>
      <c r="AZ107" s="536"/>
      <c r="BA107" s="536"/>
      <c r="BB107" s="536"/>
      <c r="BC107" s="536"/>
      <c r="BD107" s="536"/>
      <c r="BE107" s="536"/>
      <c r="BF107" s="536"/>
    </row>
    <row r="108" spans="1:58" ht="30" customHeight="1" x14ac:dyDescent="0.2">
      <c r="A108" s="1362"/>
      <c r="B108" s="1363"/>
      <c r="C108" s="1257"/>
      <c r="D108" s="1407"/>
      <c r="E108" s="1263"/>
      <c r="F108" s="1147">
        <v>25</v>
      </c>
      <c r="G108" s="1109">
        <v>0.1</v>
      </c>
      <c r="H108" s="1142">
        <v>0</v>
      </c>
      <c r="I108" s="1146">
        <v>0.2</v>
      </c>
      <c r="J108" s="1385"/>
      <c r="K108" s="1359"/>
      <c r="L108" s="1367"/>
      <c r="M108" s="536"/>
      <c r="N108" s="251" t="s">
        <v>147</v>
      </c>
      <c r="O108" s="257">
        <f>MAX(I107:I109)</f>
        <v>0.2</v>
      </c>
      <c r="P108" s="258">
        <f>MAX(I110:I112)</f>
        <v>1.7</v>
      </c>
      <c r="Q108" s="259">
        <f>MAX(I113:I115)</f>
        <v>7.3999999999999996E-2</v>
      </c>
      <c r="R108" s="536"/>
      <c r="S108" s="536"/>
      <c r="T108" s="538"/>
      <c r="U108" s="538"/>
      <c r="V108" s="552"/>
      <c r="W108" s="552"/>
      <c r="X108" s="538"/>
      <c r="Y108" s="538"/>
      <c r="Z108" s="538"/>
      <c r="AA108" s="538"/>
      <c r="AB108" s="667"/>
      <c r="AC108" s="536"/>
      <c r="AD108" s="552"/>
      <c r="AE108" s="552"/>
      <c r="AF108" s="552"/>
      <c r="AG108" s="668"/>
      <c r="AH108" s="536"/>
      <c r="AI108" s="536"/>
      <c r="AJ108" s="536"/>
      <c r="AK108" s="536"/>
      <c r="AL108" s="536"/>
      <c r="AM108" s="536"/>
      <c r="AN108" s="536"/>
      <c r="AO108" s="536"/>
      <c r="AP108" s="536"/>
      <c r="AQ108" s="537"/>
      <c r="AR108" s="536"/>
      <c r="AS108" s="536"/>
      <c r="AT108" s="536"/>
      <c r="AU108" s="536"/>
      <c r="AV108" s="536"/>
      <c r="AW108" s="536"/>
      <c r="AX108" s="536"/>
      <c r="AY108" s="536"/>
      <c r="AZ108" s="536"/>
      <c r="BA108" s="536"/>
      <c r="BB108" s="536"/>
      <c r="BC108" s="536"/>
      <c r="BD108" s="536"/>
      <c r="BE108" s="536"/>
      <c r="BF108" s="536"/>
    </row>
    <row r="109" spans="1:58" ht="30" customHeight="1" thickBot="1" x14ac:dyDescent="0.25">
      <c r="A109" s="1364"/>
      <c r="B109" s="1365"/>
      <c r="C109" s="1257"/>
      <c r="D109" s="1407"/>
      <c r="E109" s="1263"/>
      <c r="F109" s="1144">
        <v>34.9</v>
      </c>
      <c r="G109" s="1110">
        <v>0.1</v>
      </c>
      <c r="H109" s="1090">
        <v>0.1</v>
      </c>
      <c r="I109" s="1148">
        <v>0.2</v>
      </c>
      <c r="J109" s="1385"/>
      <c r="K109" s="1359"/>
      <c r="L109" s="1367"/>
      <c r="M109" s="536"/>
      <c r="N109" s="252"/>
      <c r="O109" s="260"/>
      <c r="P109" s="261"/>
      <c r="Q109" s="262"/>
      <c r="R109" s="536"/>
      <c r="S109" s="536"/>
      <c r="T109" s="538"/>
      <c r="U109" s="538"/>
      <c r="V109" s="538"/>
      <c r="W109" s="552"/>
      <c r="X109" s="538"/>
      <c r="Y109" s="538"/>
      <c r="Z109" s="538"/>
      <c r="AA109" s="538"/>
      <c r="AB109" s="667"/>
      <c r="AC109" s="536"/>
      <c r="AD109" s="552"/>
      <c r="AE109" s="552"/>
      <c r="AF109" s="552"/>
      <c r="AG109" s="668"/>
      <c r="AH109" s="536"/>
      <c r="AI109" s="536"/>
      <c r="AJ109" s="536"/>
      <c r="AK109" s="536"/>
      <c r="AL109" s="536"/>
      <c r="AM109" s="536"/>
      <c r="AN109" s="536"/>
      <c r="AO109" s="536"/>
      <c r="AP109" s="536"/>
      <c r="AQ109" s="537"/>
      <c r="AR109" s="536"/>
      <c r="AS109" s="536"/>
      <c r="AT109" s="536"/>
      <c r="AU109" s="536"/>
      <c r="AV109" s="536"/>
      <c r="AW109" s="536"/>
      <c r="AX109" s="536"/>
      <c r="AY109" s="536"/>
      <c r="AZ109" s="536"/>
      <c r="BA109" s="536"/>
      <c r="BB109" s="536"/>
      <c r="BC109" s="536"/>
      <c r="BD109" s="536"/>
      <c r="BE109" s="536"/>
      <c r="BF109" s="536"/>
    </row>
    <row r="110" spans="1:58" ht="30" customHeight="1" x14ac:dyDescent="0.2">
      <c r="A110" s="1250" t="s">
        <v>144</v>
      </c>
      <c r="B110" s="1251"/>
      <c r="C110" s="1257"/>
      <c r="D110" s="1407"/>
      <c r="E110" s="1263"/>
      <c r="F110" s="1121">
        <v>32.9</v>
      </c>
      <c r="G110" s="1107">
        <v>0.1</v>
      </c>
      <c r="H110" s="1107">
        <v>-2.9</v>
      </c>
      <c r="I110" s="1136">
        <v>1.7</v>
      </c>
      <c r="J110" s="1385">
        <v>1.96</v>
      </c>
      <c r="K110" s="1358" t="s">
        <v>644</v>
      </c>
      <c r="L110" s="1374" t="s">
        <v>645</v>
      </c>
      <c r="M110" s="536"/>
      <c r="N110" s="536"/>
      <c r="O110" s="536"/>
      <c r="P110" s="536"/>
      <c r="Q110" s="536"/>
      <c r="R110" s="536"/>
      <c r="S110" s="536"/>
      <c r="T110" s="538"/>
      <c r="U110" s="538"/>
      <c r="V110" s="538"/>
      <c r="W110" s="538"/>
      <c r="X110" s="538"/>
      <c r="Y110" s="538"/>
      <c r="Z110" s="538"/>
      <c r="AA110" s="538"/>
      <c r="AB110" s="667"/>
      <c r="AC110" s="536"/>
      <c r="AD110" s="552"/>
      <c r="AE110" s="552"/>
      <c r="AF110" s="552"/>
      <c r="AG110" s="668"/>
      <c r="AH110" s="536"/>
      <c r="AI110" s="536"/>
      <c r="AJ110" s="536"/>
      <c r="AK110" s="536"/>
      <c r="AL110" s="536"/>
      <c r="AM110" s="536"/>
      <c r="AN110" s="536"/>
      <c r="AO110" s="536"/>
      <c r="AP110" s="536"/>
      <c r="AQ110" s="537"/>
      <c r="AR110" s="536"/>
      <c r="AS110" s="536"/>
      <c r="AT110" s="536"/>
      <c r="AU110" s="536"/>
      <c r="AV110" s="536"/>
      <c r="AW110" s="536"/>
      <c r="AX110" s="536"/>
      <c r="AY110" s="536"/>
      <c r="AZ110" s="536"/>
      <c r="BA110" s="536"/>
      <c r="BB110" s="536"/>
      <c r="BC110" s="536"/>
      <c r="BD110" s="536"/>
      <c r="BE110" s="536"/>
      <c r="BF110" s="536"/>
    </row>
    <row r="111" spans="1:58" ht="30" customHeight="1" x14ac:dyDescent="0.2">
      <c r="A111" s="1252"/>
      <c r="B111" s="1253"/>
      <c r="C111" s="1257"/>
      <c r="D111" s="1407"/>
      <c r="E111" s="1263"/>
      <c r="F111" s="1105">
        <v>55.6</v>
      </c>
      <c r="G111" s="1109">
        <v>0.1</v>
      </c>
      <c r="H111" s="1109">
        <v>-0.6</v>
      </c>
      <c r="I111" s="1149">
        <v>1.7</v>
      </c>
      <c r="J111" s="1385"/>
      <c r="K111" s="1359"/>
      <c r="L111" s="1367"/>
      <c r="M111" s="536"/>
      <c r="N111" s="536"/>
      <c r="O111" s="536"/>
      <c r="P111" s="536"/>
      <c r="Q111" s="536"/>
      <c r="R111" s="536"/>
      <c r="S111" s="536"/>
      <c r="T111" s="538"/>
      <c r="U111" s="538"/>
      <c r="V111" s="538"/>
      <c r="W111" s="538"/>
      <c r="X111" s="538"/>
      <c r="Y111" s="538"/>
      <c r="Z111" s="538"/>
      <c r="AA111" s="538"/>
      <c r="AB111" s="667"/>
      <c r="AC111" s="536"/>
      <c r="AD111" s="552"/>
      <c r="AE111" s="552"/>
      <c r="AF111" s="552"/>
      <c r="AG111" s="668"/>
      <c r="AH111" s="536"/>
      <c r="AI111" s="536"/>
      <c r="AJ111" s="536"/>
      <c r="AK111" s="536"/>
      <c r="AL111" s="536"/>
      <c r="AM111" s="536"/>
      <c r="AN111" s="536"/>
      <c r="AO111" s="536"/>
      <c r="AP111" s="536"/>
      <c r="AQ111" s="537"/>
      <c r="AR111" s="536"/>
      <c r="AS111" s="536"/>
      <c r="AT111" s="536"/>
      <c r="AU111" s="536"/>
      <c r="AV111" s="536"/>
      <c r="AW111" s="536"/>
      <c r="AX111" s="536"/>
      <c r="AY111" s="536"/>
      <c r="AZ111" s="536"/>
      <c r="BA111" s="536"/>
      <c r="BB111" s="536"/>
      <c r="BC111" s="536"/>
      <c r="BD111" s="536"/>
      <c r="BE111" s="536"/>
      <c r="BF111" s="536"/>
    </row>
    <row r="112" spans="1:58" ht="30" customHeight="1" thickBot="1" x14ac:dyDescent="0.25">
      <c r="A112" s="1254"/>
      <c r="B112" s="1255"/>
      <c r="C112" s="1257"/>
      <c r="D112" s="1407"/>
      <c r="E112" s="1263"/>
      <c r="F112" s="1138">
        <v>79</v>
      </c>
      <c r="G112" s="1137">
        <v>0.1</v>
      </c>
      <c r="H112" s="1137">
        <v>1.9</v>
      </c>
      <c r="I112" s="1150">
        <v>1.7</v>
      </c>
      <c r="J112" s="1385"/>
      <c r="K112" s="1359"/>
      <c r="L112" s="1367"/>
      <c r="M112" s="536"/>
      <c r="N112" s="536"/>
      <c r="O112" s="536"/>
      <c r="P112" s="536"/>
      <c r="Q112" s="536"/>
      <c r="R112" s="536"/>
      <c r="S112" s="536"/>
      <c r="T112" s="538"/>
      <c r="U112" s="538"/>
      <c r="V112" s="538"/>
      <c r="W112" s="538"/>
      <c r="X112" s="538"/>
      <c r="Y112" s="538"/>
      <c r="Z112" s="538"/>
      <c r="AA112" s="538"/>
      <c r="AB112" s="667"/>
      <c r="AC112" s="536"/>
      <c r="AD112" s="552"/>
      <c r="AE112" s="552"/>
      <c r="AF112" s="552"/>
      <c r="AG112" s="668"/>
      <c r="AH112" s="536"/>
      <c r="AI112" s="536"/>
      <c r="AJ112" s="536"/>
      <c r="AK112" s="536"/>
      <c r="AL112" s="536"/>
      <c r="AM112" s="536"/>
      <c r="AN112" s="536"/>
      <c r="AO112" s="536"/>
      <c r="AP112" s="536"/>
      <c r="AQ112" s="537"/>
      <c r="AR112" s="536"/>
      <c r="AS112" s="536"/>
      <c r="AT112" s="536"/>
      <c r="AU112" s="536"/>
      <c r="AV112" s="536"/>
      <c r="AW112" s="536"/>
      <c r="AX112" s="536"/>
      <c r="AY112" s="536"/>
      <c r="AZ112" s="536"/>
      <c r="BA112" s="536"/>
      <c r="BB112" s="536"/>
      <c r="BC112" s="536"/>
      <c r="BD112" s="536"/>
      <c r="BE112" s="536"/>
      <c r="BF112" s="536"/>
    </row>
    <row r="113" spans="1:58" ht="30" customHeight="1" x14ac:dyDescent="0.2">
      <c r="A113" s="1250" t="s">
        <v>145</v>
      </c>
      <c r="B113" s="1251"/>
      <c r="C113" s="1257"/>
      <c r="D113" s="1407"/>
      <c r="E113" s="1382"/>
      <c r="F113" s="1121">
        <v>499.80099999999999</v>
      </c>
      <c r="G113" s="1107">
        <v>0.1</v>
      </c>
      <c r="H113" s="1185">
        <v>1.742</v>
      </c>
      <c r="I113" s="1136">
        <v>6.6000000000000003E-2</v>
      </c>
      <c r="J113" s="1386">
        <v>2.04</v>
      </c>
      <c r="K113" s="1358" t="s">
        <v>652</v>
      </c>
      <c r="L113" s="1401" t="s">
        <v>655</v>
      </c>
      <c r="M113" s="536"/>
      <c r="N113" s="536"/>
      <c r="O113" s="536"/>
      <c r="P113" s="536"/>
      <c r="Q113" s="536"/>
      <c r="R113" s="536"/>
      <c r="S113" s="536"/>
      <c r="T113" s="538"/>
      <c r="U113" s="538"/>
      <c r="V113" s="538"/>
      <c r="W113" s="538"/>
      <c r="X113" s="538"/>
      <c r="Y113" s="538"/>
      <c r="Z113" s="538"/>
      <c r="AA113" s="538"/>
      <c r="AB113" s="667"/>
      <c r="AC113" s="536"/>
      <c r="AD113" s="552"/>
      <c r="AE113" s="552"/>
      <c r="AF113" s="552"/>
      <c r="AG113" s="668"/>
      <c r="AH113" s="536"/>
      <c r="AI113" s="536"/>
      <c r="AJ113" s="536"/>
      <c r="AK113" s="536"/>
      <c r="AL113" s="536"/>
      <c r="AM113" s="536"/>
      <c r="AN113" s="536"/>
      <c r="AO113" s="536"/>
      <c r="AP113" s="536"/>
      <c r="AQ113" s="537"/>
      <c r="AR113" s="536"/>
      <c r="AS113" s="536"/>
      <c r="AT113" s="536"/>
      <c r="AU113" s="536"/>
      <c r="AV113" s="536"/>
      <c r="AW113" s="536"/>
      <c r="AX113" s="536"/>
      <c r="AY113" s="536"/>
      <c r="AZ113" s="536"/>
      <c r="BA113" s="536"/>
      <c r="BB113" s="536"/>
      <c r="BC113" s="536"/>
      <c r="BD113" s="536"/>
      <c r="BE113" s="536"/>
      <c r="BF113" s="536"/>
    </row>
    <row r="114" spans="1:58" ht="30" customHeight="1" thickBot="1" x14ac:dyDescent="0.25">
      <c r="A114" s="1252"/>
      <c r="B114" s="1253"/>
      <c r="C114" s="1257"/>
      <c r="D114" s="1407"/>
      <c r="E114" s="1382"/>
      <c r="F114" s="1104">
        <v>752.29600000000005</v>
      </c>
      <c r="G114" s="1109">
        <v>0.1</v>
      </c>
      <c r="H114" s="1108">
        <v>1.2150000000000001</v>
      </c>
      <c r="I114" s="1149">
        <v>6.8000000000000005E-2</v>
      </c>
      <c r="J114" s="1386"/>
      <c r="K114" s="1359"/>
      <c r="L114" s="1367"/>
      <c r="M114" s="536"/>
      <c r="N114" s="536"/>
      <c r="O114" s="536"/>
      <c r="P114" s="536"/>
      <c r="Q114" s="536"/>
      <c r="R114" s="536"/>
      <c r="S114" s="536"/>
      <c r="T114" s="538"/>
      <c r="U114" s="538"/>
      <c r="V114" s="538"/>
      <c r="W114" s="538"/>
      <c r="X114" s="538"/>
      <c r="Y114" s="538"/>
      <c r="Z114" s="538"/>
      <c r="AA114" s="538"/>
      <c r="AB114" s="667"/>
      <c r="AC114" s="536"/>
      <c r="AD114" s="552"/>
      <c r="AE114" s="552"/>
      <c r="AF114" s="552"/>
      <c r="AG114" s="668"/>
      <c r="AH114" s="536"/>
      <c r="AI114" s="536"/>
      <c r="AJ114" s="536"/>
      <c r="AK114" s="536"/>
      <c r="AL114" s="536"/>
      <c r="AM114" s="536"/>
      <c r="AN114" s="536"/>
      <c r="AO114" s="536"/>
      <c r="AP114" s="536"/>
      <c r="AQ114" s="537"/>
      <c r="AR114" s="536"/>
      <c r="AS114" s="536"/>
      <c r="AT114" s="536"/>
      <c r="AU114" s="536"/>
      <c r="AV114" s="536"/>
      <c r="AW114" s="536"/>
      <c r="AX114" s="536"/>
      <c r="AY114" s="536"/>
      <c r="AZ114" s="536"/>
      <c r="BA114" s="536"/>
      <c r="BB114" s="536"/>
      <c r="BC114" s="536"/>
      <c r="BD114" s="536"/>
      <c r="BE114" s="536"/>
      <c r="BF114" s="536"/>
    </row>
    <row r="115" spans="1:58" ht="30" customHeight="1" thickBot="1" x14ac:dyDescent="0.25">
      <c r="A115" s="1254"/>
      <c r="B115" s="1255"/>
      <c r="C115" s="1258"/>
      <c r="D115" s="1408"/>
      <c r="E115" s="1383"/>
      <c r="F115" s="1117" t="s">
        <v>656</v>
      </c>
      <c r="G115" s="1110">
        <v>0.1</v>
      </c>
      <c r="H115" s="1110">
        <v>1.1379999999999999</v>
      </c>
      <c r="I115" s="1184">
        <v>7.3999999999999996E-2</v>
      </c>
      <c r="J115" s="1387"/>
      <c r="K115" s="1390"/>
      <c r="L115" s="1368"/>
      <c r="M115" s="536"/>
      <c r="N115" s="536"/>
      <c r="O115" s="536"/>
      <c r="P115" s="536"/>
      <c r="Q115" s="536"/>
      <c r="R115" s="536"/>
      <c r="S115" s="536"/>
      <c r="T115" s="538"/>
      <c r="U115" s="538"/>
      <c r="V115" s="538"/>
      <c r="W115" s="538"/>
      <c r="X115" s="538"/>
      <c r="Y115" s="538"/>
      <c r="Z115" s="538"/>
      <c r="AA115" s="538"/>
      <c r="AB115" s="1323" t="s">
        <v>159</v>
      </c>
      <c r="AC115" s="669" t="s">
        <v>134</v>
      </c>
      <c r="AD115" s="182" t="s">
        <v>135</v>
      </c>
      <c r="AE115" s="182" t="s">
        <v>136</v>
      </c>
      <c r="AF115" s="1318" t="s">
        <v>166</v>
      </c>
      <c r="AG115" s="1403" t="s">
        <v>167</v>
      </c>
      <c r="AH115" s="536"/>
      <c r="AI115" s="536"/>
      <c r="AJ115" s="536"/>
      <c r="AK115" s="536"/>
      <c r="AL115" s="536"/>
      <c r="AM115" s="536"/>
      <c r="AN115" s="536"/>
      <c r="AO115" s="536"/>
      <c r="AP115" s="536"/>
      <c r="AQ115" s="537"/>
      <c r="AR115" s="536"/>
      <c r="AS115" s="536"/>
      <c r="AT115" s="536"/>
      <c r="AU115" s="536"/>
      <c r="AV115" s="536"/>
      <c r="AW115" s="536"/>
      <c r="AX115" s="536"/>
      <c r="AY115" s="536"/>
      <c r="AZ115" s="536"/>
      <c r="BA115" s="536"/>
      <c r="BB115" s="536"/>
      <c r="BC115" s="536"/>
      <c r="BD115" s="536"/>
      <c r="BE115" s="536"/>
      <c r="BF115" s="536"/>
    </row>
    <row r="116" spans="1:58" ht="33.950000000000003" customHeight="1" x14ac:dyDescent="0.2">
      <c r="A116" s="1158"/>
      <c r="B116" s="1167"/>
      <c r="C116" s="1158"/>
      <c r="D116" s="1158"/>
      <c r="E116" s="1158"/>
      <c r="F116" s="1158"/>
      <c r="G116" s="1158"/>
      <c r="H116" s="1158"/>
      <c r="I116" s="1158"/>
      <c r="J116" s="1158"/>
      <c r="K116" s="1158"/>
      <c r="L116" s="1158"/>
      <c r="M116" s="536"/>
      <c r="N116" s="536"/>
      <c r="O116" s="536"/>
      <c r="P116" s="536"/>
      <c r="Q116" s="536"/>
      <c r="R116" s="536"/>
      <c r="S116" s="536"/>
      <c r="T116" s="538"/>
      <c r="U116" s="538"/>
      <c r="V116" s="538"/>
      <c r="W116" s="538"/>
      <c r="X116" s="538"/>
      <c r="Y116" s="538"/>
      <c r="Z116" s="538"/>
      <c r="AA116" s="538"/>
      <c r="AB116" s="1324"/>
      <c r="AC116" s="674">
        <f>MAX(I118:I120)</f>
        <v>0.2</v>
      </c>
      <c r="AD116" s="183">
        <f>MAX(I121:I123)</f>
        <v>1.7</v>
      </c>
      <c r="AE116" s="183">
        <f>MAX(I124:I126)</f>
        <v>7.1999999999999995E-2</v>
      </c>
      <c r="AF116" s="1319"/>
      <c r="AG116" s="1291"/>
      <c r="AH116" s="536"/>
      <c r="AI116" s="536"/>
      <c r="AJ116" s="536"/>
      <c r="AK116" s="536"/>
      <c r="AL116" s="536"/>
      <c r="AM116" s="536"/>
      <c r="AN116" s="536"/>
      <c r="AO116" s="536"/>
      <c r="AP116" s="536"/>
      <c r="AQ116" s="537"/>
      <c r="AR116" s="536"/>
      <c r="AS116" s="536"/>
      <c r="AT116" s="536"/>
      <c r="AU116" s="536"/>
      <c r="AV116" s="536"/>
      <c r="AW116" s="536"/>
      <c r="AX116" s="536"/>
      <c r="AY116" s="536"/>
      <c r="AZ116" s="536"/>
      <c r="BA116" s="536"/>
      <c r="BB116" s="536"/>
      <c r="BC116" s="536"/>
      <c r="BD116" s="536"/>
      <c r="BE116" s="536"/>
      <c r="BF116" s="536"/>
    </row>
    <row r="117" spans="1:58" ht="33.950000000000003" customHeight="1" thickBot="1" x14ac:dyDescent="0.25">
      <c r="A117" s="1158"/>
      <c r="B117" s="1167"/>
      <c r="C117" s="1169"/>
      <c r="D117" s="1168"/>
      <c r="E117" s="1170"/>
      <c r="F117" s="1165"/>
      <c r="G117" s="1165"/>
      <c r="H117" s="1165"/>
      <c r="I117" s="1165"/>
      <c r="J117" s="1165"/>
      <c r="K117" s="1166"/>
      <c r="L117" s="1158"/>
      <c r="M117" s="536"/>
      <c r="N117" s="536"/>
      <c r="O117" s="536"/>
      <c r="P117" s="536"/>
      <c r="Q117" s="536"/>
      <c r="R117" s="536"/>
      <c r="S117" s="536"/>
      <c r="T117" s="538"/>
      <c r="U117" s="538"/>
      <c r="V117" s="538"/>
      <c r="W117" s="538"/>
      <c r="X117" s="538"/>
      <c r="Y117" s="538"/>
      <c r="Z117" s="538"/>
      <c r="AA117" s="538"/>
      <c r="AB117" s="1325"/>
      <c r="AC117" s="184"/>
      <c r="AD117" s="185"/>
      <c r="AE117" s="185"/>
      <c r="AF117" s="1322"/>
      <c r="AG117" s="1292"/>
      <c r="AH117" s="536"/>
      <c r="AI117" s="536"/>
      <c r="AJ117" s="536"/>
      <c r="AK117" s="536"/>
      <c r="AL117" s="536"/>
      <c r="AM117" s="536"/>
      <c r="AN117" s="536"/>
      <c r="AO117" s="536"/>
      <c r="AP117" s="536"/>
      <c r="AQ117" s="537"/>
      <c r="AR117" s="536"/>
      <c r="AS117" s="536"/>
      <c r="AT117" s="536"/>
      <c r="AU117" s="536"/>
      <c r="AV117" s="536"/>
      <c r="AW117" s="536"/>
      <c r="AX117" s="536"/>
      <c r="AY117" s="536"/>
      <c r="AZ117" s="536"/>
      <c r="BA117" s="536"/>
      <c r="BB117" s="536"/>
      <c r="BC117" s="536"/>
      <c r="BD117" s="536"/>
      <c r="BE117" s="536"/>
      <c r="BF117" s="536"/>
    </row>
    <row r="118" spans="1:58" ht="30" customHeight="1" x14ac:dyDescent="0.2">
      <c r="A118" s="1250" t="s">
        <v>139</v>
      </c>
      <c r="B118" s="1251"/>
      <c r="C118" s="1256" t="s">
        <v>168</v>
      </c>
      <c r="D118" s="1259" t="s">
        <v>141</v>
      </c>
      <c r="E118" s="1262">
        <v>19406160802033</v>
      </c>
      <c r="F118" s="1121">
        <v>14.9</v>
      </c>
      <c r="G118" s="1107">
        <v>0.1</v>
      </c>
      <c r="H118" s="1089">
        <v>0</v>
      </c>
      <c r="I118" s="1186">
        <v>0.2</v>
      </c>
      <c r="J118" s="1393">
        <v>1.96</v>
      </c>
      <c r="K118" s="1402" t="s">
        <v>659</v>
      </c>
      <c r="L118" s="1404" t="s">
        <v>658</v>
      </c>
      <c r="M118" s="536"/>
      <c r="N118" s="250"/>
      <c r="O118" s="254" t="s">
        <v>134</v>
      </c>
      <c r="P118" s="255" t="s">
        <v>143</v>
      </c>
      <c r="Q118" s="256" t="s">
        <v>136</v>
      </c>
      <c r="R118" s="536"/>
      <c r="S118" s="536"/>
      <c r="T118" s="538"/>
      <c r="U118" s="538"/>
      <c r="V118" s="538"/>
      <c r="W118" s="538"/>
      <c r="X118" s="538"/>
      <c r="Y118" s="538"/>
      <c r="Z118" s="538"/>
      <c r="AA118" s="538"/>
      <c r="AB118" s="667"/>
      <c r="AC118" s="536"/>
      <c r="AD118" s="552"/>
      <c r="AE118" s="552"/>
      <c r="AF118" s="552"/>
      <c r="AG118" s="668"/>
      <c r="AH118" s="536"/>
      <c r="AI118" s="536"/>
      <c r="AJ118" s="536"/>
      <c r="AK118" s="536"/>
      <c r="AL118" s="536"/>
      <c r="AM118" s="536"/>
      <c r="AN118" s="536"/>
      <c r="AO118" s="536"/>
      <c r="AP118" s="536"/>
      <c r="AQ118" s="537"/>
      <c r="AR118" s="536"/>
      <c r="AS118" s="536"/>
      <c r="AT118" s="536"/>
      <c r="AU118" s="536"/>
      <c r="AV118" s="536"/>
      <c r="AW118" s="536"/>
      <c r="AX118" s="536"/>
      <c r="AY118" s="536"/>
      <c r="AZ118" s="536"/>
      <c r="BA118" s="536"/>
      <c r="BB118" s="536"/>
      <c r="BC118" s="536"/>
      <c r="BD118" s="536"/>
      <c r="BE118" s="536"/>
      <c r="BF118" s="536"/>
    </row>
    <row r="119" spans="1:58" ht="30" customHeight="1" x14ac:dyDescent="0.2">
      <c r="A119" s="1252"/>
      <c r="B119" s="1253"/>
      <c r="C119" s="1257"/>
      <c r="D119" s="1260"/>
      <c r="E119" s="1263"/>
      <c r="F119" s="1147">
        <v>24.9</v>
      </c>
      <c r="G119" s="1109">
        <v>0.1</v>
      </c>
      <c r="H119" s="1142">
        <v>0</v>
      </c>
      <c r="I119" s="1187">
        <v>0.2</v>
      </c>
      <c r="J119" s="1394"/>
      <c r="K119" s="1359"/>
      <c r="L119" s="1367"/>
      <c r="M119" s="536"/>
      <c r="N119" s="251" t="s">
        <v>154</v>
      </c>
      <c r="O119" s="257">
        <f>MAX(I118:I120)</f>
        <v>0.2</v>
      </c>
      <c r="P119" s="258">
        <f>MAX(I121:I123)</f>
        <v>1.7</v>
      </c>
      <c r="Q119" s="259">
        <f>MAX(I124:I126)</f>
        <v>7.1999999999999995E-2</v>
      </c>
      <c r="R119" s="536"/>
      <c r="S119" s="536"/>
      <c r="T119" s="538"/>
      <c r="U119" s="538"/>
      <c r="V119" s="538"/>
      <c r="W119" s="538"/>
      <c r="X119" s="538"/>
      <c r="Y119" s="538"/>
      <c r="Z119" s="538"/>
      <c r="AA119" s="538"/>
      <c r="AB119" s="667"/>
      <c r="AC119" s="536"/>
      <c r="AD119" s="552"/>
      <c r="AE119" s="552"/>
      <c r="AF119" s="552"/>
      <c r="AG119" s="668"/>
      <c r="AH119" s="536"/>
      <c r="AI119" s="536"/>
      <c r="AJ119" s="536"/>
      <c r="AK119" s="536"/>
      <c r="AL119" s="536"/>
      <c r="AM119" s="536"/>
      <c r="AN119" s="536"/>
      <c r="AO119" s="536"/>
      <c r="AP119" s="536"/>
      <c r="AQ119" s="537"/>
      <c r="AR119" s="536"/>
      <c r="AS119" s="536"/>
      <c r="AT119" s="536"/>
      <c r="AU119" s="536"/>
      <c r="AV119" s="536"/>
      <c r="AW119" s="536"/>
      <c r="AX119" s="536"/>
      <c r="AY119" s="536"/>
      <c r="AZ119" s="536"/>
      <c r="BA119" s="536"/>
      <c r="BB119" s="536"/>
      <c r="BC119" s="536"/>
      <c r="BD119" s="536"/>
      <c r="BE119" s="536"/>
      <c r="BF119" s="536"/>
    </row>
    <row r="120" spans="1:58" ht="30" customHeight="1" thickBot="1" x14ac:dyDescent="0.25">
      <c r="A120" s="1254"/>
      <c r="B120" s="1255"/>
      <c r="C120" s="1257"/>
      <c r="D120" s="1260"/>
      <c r="E120" s="1263"/>
      <c r="F120" s="1144">
        <v>34.9</v>
      </c>
      <c r="G120" s="1110">
        <v>0.1</v>
      </c>
      <c r="H120" s="1090">
        <v>0</v>
      </c>
      <c r="I120" s="1188">
        <v>0.2</v>
      </c>
      <c r="J120" s="1394"/>
      <c r="K120" s="1359"/>
      <c r="L120" s="1367"/>
      <c r="M120" s="536"/>
      <c r="N120" s="252"/>
      <c r="O120" s="260"/>
      <c r="P120" s="261"/>
      <c r="Q120" s="262"/>
      <c r="R120" s="536"/>
      <c r="S120" s="536"/>
      <c r="T120" s="538"/>
      <c r="U120" s="538"/>
      <c r="V120" s="538"/>
      <c r="W120" s="538"/>
      <c r="X120" s="538"/>
      <c r="Y120" s="538"/>
      <c r="Z120" s="538"/>
      <c r="AA120" s="538"/>
      <c r="AB120" s="667"/>
      <c r="AC120" s="536"/>
      <c r="AD120" s="552"/>
      <c r="AE120" s="552"/>
      <c r="AF120" s="552"/>
      <c r="AG120" s="668"/>
      <c r="AH120" s="536"/>
      <c r="AI120" s="536"/>
      <c r="AJ120" s="536"/>
      <c r="AK120" s="536"/>
      <c r="AL120" s="536"/>
      <c r="AM120" s="536"/>
      <c r="AN120" s="536"/>
      <c r="AO120" s="536"/>
      <c r="AP120" s="536"/>
      <c r="AQ120" s="537"/>
      <c r="AR120" s="536"/>
      <c r="AS120" s="536"/>
      <c r="AT120" s="536"/>
      <c r="AU120" s="536"/>
      <c r="AV120" s="536"/>
      <c r="AW120" s="536"/>
      <c r="AX120" s="536"/>
      <c r="AY120" s="536"/>
      <c r="AZ120" s="536"/>
      <c r="BA120" s="536"/>
      <c r="BB120" s="536"/>
      <c r="BC120" s="536"/>
      <c r="BD120" s="536"/>
      <c r="BE120" s="536"/>
      <c r="BF120" s="536"/>
    </row>
    <row r="121" spans="1:58" ht="30" customHeight="1" x14ac:dyDescent="0.2">
      <c r="A121" s="1250" t="s">
        <v>144</v>
      </c>
      <c r="B121" s="1251"/>
      <c r="C121" s="1257"/>
      <c r="D121" s="1260"/>
      <c r="E121" s="1263"/>
      <c r="F121" s="1121">
        <v>33.299999999999997</v>
      </c>
      <c r="G121" s="1107">
        <v>0.1</v>
      </c>
      <c r="H121" s="1107">
        <v>-3.3</v>
      </c>
      <c r="I121" s="1136">
        <v>1.7</v>
      </c>
      <c r="J121" s="1394">
        <v>1.96</v>
      </c>
      <c r="K121" s="1358" t="s">
        <v>661</v>
      </c>
      <c r="L121" s="1374" t="s">
        <v>662</v>
      </c>
      <c r="M121" s="536"/>
      <c r="N121" s="536"/>
      <c r="O121" s="536"/>
      <c r="P121" s="536"/>
      <c r="Q121" s="536"/>
      <c r="R121" s="536"/>
      <c r="S121" s="536"/>
      <c r="T121" s="538"/>
      <c r="U121" s="538"/>
      <c r="V121" s="538"/>
      <c r="W121" s="538"/>
      <c r="X121" s="538"/>
      <c r="Y121" s="538"/>
      <c r="Z121" s="538"/>
      <c r="AA121" s="538"/>
      <c r="AB121" s="667"/>
      <c r="AC121" s="536"/>
      <c r="AD121" s="552"/>
      <c r="AE121" s="552"/>
      <c r="AF121" s="552"/>
      <c r="AG121" s="668"/>
      <c r="AH121" s="536"/>
      <c r="AI121" s="536"/>
      <c r="AJ121" s="536"/>
      <c r="AK121" s="536"/>
      <c r="AL121" s="536"/>
      <c r="AM121" s="536"/>
      <c r="AN121" s="536"/>
      <c r="AO121" s="536"/>
      <c r="AP121" s="536"/>
      <c r="AQ121" s="537"/>
      <c r="AR121" s="536"/>
      <c r="AS121" s="536"/>
      <c r="AT121" s="536"/>
      <c r="AU121" s="536"/>
      <c r="AV121" s="536"/>
      <c r="AW121" s="536"/>
      <c r="AX121" s="536"/>
      <c r="AY121" s="536"/>
      <c r="AZ121" s="536"/>
      <c r="BA121" s="536"/>
      <c r="BB121" s="536"/>
      <c r="BC121" s="536"/>
      <c r="BD121" s="536"/>
      <c r="BE121" s="536"/>
      <c r="BF121" s="536"/>
    </row>
    <row r="122" spans="1:58" ht="30" customHeight="1" x14ac:dyDescent="0.2">
      <c r="A122" s="1252"/>
      <c r="B122" s="1253"/>
      <c r="C122" s="1257"/>
      <c r="D122" s="1260"/>
      <c r="E122" s="1263"/>
      <c r="F122" s="1105">
        <v>56.1</v>
      </c>
      <c r="G122" s="1109">
        <v>0.1</v>
      </c>
      <c r="H122" s="1109">
        <v>-1.1000000000000001</v>
      </c>
      <c r="I122" s="1149">
        <v>1.7</v>
      </c>
      <c r="J122" s="1394">
        <v>2</v>
      </c>
      <c r="K122" s="1359"/>
      <c r="L122" s="1367"/>
      <c r="M122" s="536"/>
      <c r="N122" s="536"/>
      <c r="O122" s="536"/>
      <c r="P122" s="536"/>
      <c r="Q122" s="536"/>
      <c r="R122" s="536"/>
      <c r="S122" s="536"/>
      <c r="T122" s="538"/>
      <c r="U122" s="538"/>
      <c r="V122" s="538"/>
      <c r="W122" s="538"/>
      <c r="X122" s="538"/>
      <c r="Y122" s="538"/>
      <c r="Z122" s="538"/>
      <c r="AA122" s="538"/>
      <c r="AB122" s="667"/>
      <c r="AC122" s="536"/>
      <c r="AD122" s="552"/>
      <c r="AE122" s="552"/>
      <c r="AF122" s="552"/>
      <c r="AG122" s="668"/>
      <c r="AH122" s="536"/>
      <c r="AI122" s="536"/>
      <c r="AJ122" s="536"/>
      <c r="AK122" s="536"/>
      <c r="AL122" s="536"/>
      <c r="AM122" s="536"/>
      <c r="AN122" s="536"/>
      <c r="AO122" s="536"/>
      <c r="AP122" s="536"/>
      <c r="AQ122" s="537"/>
      <c r="AR122" s="536"/>
      <c r="AS122" s="536"/>
      <c r="AT122" s="536"/>
      <c r="AU122" s="536"/>
      <c r="AV122" s="536"/>
      <c r="AW122" s="536"/>
      <c r="AX122" s="536"/>
      <c r="AY122" s="536"/>
      <c r="AZ122" s="536"/>
      <c r="BA122" s="536"/>
      <c r="BB122" s="536"/>
      <c r="BC122" s="536"/>
      <c r="BD122" s="536"/>
      <c r="BE122" s="536"/>
      <c r="BF122" s="536"/>
    </row>
    <row r="123" spans="1:58" ht="30" customHeight="1" thickBot="1" x14ac:dyDescent="0.25">
      <c r="A123" s="1254"/>
      <c r="B123" s="1255"/>
      <c r="C123" s="1257"/>
      <c r="D123" s="1260"/>
      <c r="E123" s="1263"/>
      <c r="F123" s="1138">
        <v>82.1</v>
      </c>
      <c r="G123" s="1137">
        <v>0.1</v>
      </c>
      <c r="H123" s="1137">
        <v>-1.2</v>
      </c>
      <c r="I123" s="1150">
        <v>1.7</v>
      </c>
      <c r="J123" s="1394"/>
      <c r="K123" s="1359"/>
      <c r="L123" s="1367"/>
      <c r="M123" s="536"/>
      <c r="N123" s="536"/>
      <c r="O123" s="536"/>
      <c r="P123" s="536"/>
      <c r="Q123" s="536"/>
      <c r="R123" s="536"/>
      <c r="S123" s="536"/>
      <c r="T123" s="538"/>
      <c r="U123" s="538"/>
      <c r="V123" s="538"/>
      <c r="W123" s="538"/>
      <c r="X123" s="538"/>
      <c r="Y123" s="538"/>
      <c r="Z123" s="538"/>
      <c r="AA123" s="538"/>
      <c r="AB123" s="678"/>
      <c r="AC123" s="665"/>
      <c r="AD123" s="679"/>
      <c r="AE123" s="679"/>
      <c r="AF123" s="679"/>
      <c r="AG123" s="680"/>
      <c r="AH123" s="536"/>
      <c r="AI123" s="536"/>
      <c r="AJ123" s="536"/>
      <c r="AK123" s="536"/>
      <c r="AL123" s="536"/>
      <c r="AM123" s="536"/>
      <c r="AN123" s="536"/>
      <c r="AO123" s="536"/>
      <c r="AP123" s="536"/>
      <c r="AQ123" s="537"/>
      <c r="AR123" s="536"/>
      <c r="AS123" s="536"/>
      <c r="AT123" s="536"/>
      <c r="AU123" s="536"/>
      <c r="AV123" s="536"/>
      <c r="AW123" s="536"/>
      <c r="AX123" s="536"/>
      <c r="AY123" s="536"/>
      <c r="AZ123" s="536"/>
      <c r="BA123" s="536"/>
      <c r="BB123" s="536"/>
      <c r="BC123" s="536"/>
      <c r="BD123" s="536"/>
      <c r="BE123" s="536"/>
      <c r="BF123" s="536"/>
    </row>
    <row r="124" spans="1:58" ht="30" customHeight="1" x14ac:dyDescent="0.2">
      <c r="A124" s="1250" t="s">
        <v>145</v>
      </c>
      <c r="B124" s="1251"/>
      <c r="C124" s="1257"/>
      <c r="D124" s="1260"/>
      <c r="E124" s="1382"/>
      <c r="F124" s="1103">
        <v>399.84</v>
      </c>
      <c r="G124" s="1107">
        <v>0.1</v>
      </c>
      <c r="H124" s="1107">
        <v>1.6759999999999999</v>
      </c>
      <c r="I124" s="1136">
        <v>6.5000000000000002E-2</v>
      </c>
      <c r="J124" s="1386">
        <v>2.04</v>
      </c>
      <c r="K124" s="1358" t="s">
        <v>652</v>
      </c>
      <c r="L124" s="1401" t="s">
        <v>657</v>
      </c>
      <c r="M124" s="536"/>
      <c r="N124" s="536"/>
      <c r="O124" s="536"/>
      <c r="P124" s="536"/>
      <c r="Q124" s="536"/>
      <c r="R124" s="536"/>
      <c r="S124" s="536"/>
      <c r="T124" s="538"/>
      <c r="U124" s="538"/>
      <c r="V124" s="538"/>
      <c r="W124" s="538"/>
      <c r="X124" s="538"/>
      <c r="Y124" s="538"/>
      <c r="Z124" s="538"/>
      <c r="AA124" s="538"/>
      <c r="AB124" s="538"/>
      <c r="AC124" s="536"/>
      <c r="AD124" s="536"/>
      <c r="AE124" s="536"/>
      <c r="AF124" s="536"/>
      <c r="AG124" s="536"/>
      <c r="AH124" s="536"/>
      <c r="AI124" s="536"/>
      <c r="AJ124" s="536"/>
      <c r="AK124" s="536"/>
      <c r="AL124" s="536"/>
      <c r="AM124" s="536"/>
      <c r="AN124" s="536"/>
      <c r="AO124" s="536"/>
      <c r="AP124" s="536"/>
      <c r="AQ124" s="537"/>
      <c r="AR124" s="536"/>
      <c r="AS124" s="536"/>
      <c r="AT124" s="536"/>
      <c r="AU124" s="536"/>
      <c r="AV124" s="536"/>
      <c r="AW124" s="536"/>
      <c r="AX124" s="536"/>
      <c r="AY124" s="536"/>
      <c r="AZ124" s="536"/>
      <c r="BA124" s="536"/>
      <c r="BB124" s="536"/>
      <c r="BC124" s="536"/>
      <c r="BD124" s="536"/>
      <c r="BE124" s="536"/>
      <c r="BF124" s="536"/>
    </row>
    <row r="125" spans="1:58" ht="30" customHeight="1" x14ac:dyDescent="0.2">
      <c r="A125" s="1252"/>
      <c r="B125" s="1253"/>
      <c r="C125" s="1257"/>
      <c r="D125" s="1260"/>
      <c r="E125" s="1382"/>
      <c r="F125" s="1105">
        <v>752.29499999999996</v>
      </c>
      <c r="G125" s="1109">
        <v>0.1</v>
      </c>
      <c r="H125" s="1108">
        <v>0.81399999999999995</v>
      </c>
      <c r="I125" s="1149">
        <v>6.8000000000000005E-2</v>
      </c>
      <c r="J125" s="1386">
        <v>2</v>
      </c>
      <c r="K125" s="1359"/>
      <c r="L125" s="1367"/>
      <c r="M125" s="536"/>
      <c r="N125" s="536"/>
      <c r="O125" s="536"/>
      <c r="P125" s="536"/>
      <c r="Q125" s="536"/>
      <c r="R125" s="536"/>
      <c r="S125" s="536"/>
      <c r="T125" s="538"/>
      <c r="U125" s="538"/>
      <c r="V125" s="538"/>
      <c r="W125" s="538"/>
      <c r="X125" s="538"/>
      <c r="Y125" s="538"/>
      <c r="Z125" s="538"/>
      <c r="AA125" s="538"/>
      <c r="AB125" s="538"/>
      <c r="AC125" s="536"/>
      <c r="AD125" s="536"/>
      <c r="AE125" s="536"/>
      <c r="AF125" s="536"/>
      <c r="AG125" s="536"/>
      <c r="AH125" s="536"/>
      <c r="AI125" s="536"/>
      <c r="AJ125" s="536"/>
      <c r="AK125" s="536"/>
      <c r="AL125" s="536"/>
      <c r="AM125" s="536"/>
      <c r="AN125" s="536"/>
      <c r="AO125" s="536"/>
      <c r="AP125" s="536"/>
      <c r="AQ125" s="537"/>
      <c r="AR125" s="536"/>
      <c r="AS125" s="536"/>
      <c r="AT125" s="536"/>
      <c r="AU125" s="536"/>
      <c r="AV125" s="536"/>
      <c r="AW125" s="536"/>
      <c r="AX125" s="536"/>
      <c r="AY125" s="536"/>
      <c r="AZ125" s="536"/>
      <c r="BA125" s="536"/>
      <c r="BB125" s="536"/>
      <c r="BC125" s="536"/>
      <c r="BD125" s="536"/>
      <c r="BE125" s="536"/>
      <c r="BF125" s="536"/>
    </row>
    <row r="126" spans="1:58" ht="30" customHeight="1" thickBot="1" x14ac:dyDescent="0.25">
      <c r="A126" s="1254"/>
      <c r="B126" s="1255"/>
      <c r="C126" s="1258"/>
      <c r="D126" s="1261"/>
      <c r="E126" s="1383"/>
      <c r="F126" s="1117">
        <v>999.72299999999996</v>
      </c>
      <c r="G126" s="1110">
        <v>0.1</v>
      </c>
      <c r="H126" s="1110">
        <v>0.54900000000000004</v>
      </c>
      <c r="I126" s="1184">
        <v>7.1999999999999995E-2</v>
      </c>
      <c r="J126" s="1387"/>
      <c r="K126" s="1390"/>
      <c r="L126" s="1368"/>
      <c r="M126" s="536"/>
      <c r="N126" s="536"/>
      <c r="O126" s="536"/>
      <c r="P126" s="536"/>
      <c r="Q126" s="536"/>
      <c r="R126" s="536"/>
      <c r="S126" s="536"/>
      <c r="T126" s="538"/>
      <c r="U126" s="538"/>
      <c r="V126" s="538"/>
      <c r="W126" s="538"/>
      <c r="X126" s="538"/>
      <c r="Y126" s="538"/>
      <c r="Z126" s="538"/>
      <c r="AA126" s="538"/>
      <c r="AB126" s="538"/>
      <c r="AC126" s="536"/>
      <c r="AD126" s="536"/>
      <c r="AE126" s="536"/>
      <c r="AF126" s="536"/>
      <c r="AG126" s="536"/>
      <c r="AH126" s="536"/>
      <c r="AI126" s="536"/>
      <c r="AJ126" s="536"/>
      <c r="AK126" s="536"/>
      <c r="AL126" s="536"/>
      <c r="AM126" s="536"/>
      <c r="AN126" s="536"/>
      <c r="AO126" s="536"/>
      <c r="AP126" s="536"/>
      <c r="AQ126" s="537"/>
      <c r="AR126" s="536"/>
      <c r="AS126" s="536"/>
      <c r="AT126" s="536"/>
      <c r="AU126" s="536"/>
      <c r="AV126" s="536"/>
      <c r="AW126" s="536"/>
      <c r="AX126" s="536"/>
      <c r="AY126" s="536"/>
      <c r="AZ126" s="536"/>
      <c r="BA126" s="536"/>
      <c r="BB126" s="536"/>
      <c r="BC126" s="536"/>
      <c r="BD126" s="536"/>
      <c r="BE126" s="536"/>
      <c r="BF126" s="536"/>
    </row>
    <row r="127" spans="1:58" ht="33.950000000000003" customHeight="1" x14ac:dyDescent="0.2">
      <c r="A127" s="578"/>
      <c r="B127" s="536"/>
      <c r="C127" s="536"/>
      <c r="D127" s="536"/>
      <c r="E127" s="536"/>
      <c r="F127" s="536"/>
      <c r="G127" s="536"/>
      <c r="H127" s="536"/>
      <c r="I127" s="536"/>
      <c r="J127" s="536"/>
      <c r="K127" s="536"/>
      <c r="L127" s="536"/>
      <c r="M127" s="536"/>
      <c r="N127" s="536"/>
      <c r="O127" s="536"/>
      <c r="P127" s="536"/>
      <c r="Q127" s="536"/>
      <c r="R127" s="536"/>
      <c r="S127" s="536"/>
      <c r="T127" s="538"/>
      <c r="U127" s="538"/>
      <c r="V127" s="538"/>
      <c r="W127" s="538"/>
      <c r="X127" s="538"/>
      <c r="Y127" s="538"/>
      <c r="Z127" s="538"/>
      <c r="AA127" s="538"/>
      <c r="AB127" s="538"/>
      <c r="AC127" s="536"/>
      <c r="AD127" s="536"/>
      <c r="AE127" s="536"/>
      <c r="AF127" s="536"/>
      <c r="AG127" s="536"/>
      <c r="AH127" s="536"/>
      <c r="AI127" s="536"/>
      <c r="AJ127" s="536"/>
      <c r="AK127" s="536"/>
      <c r="AL127" s="536"/>
      <c r="AM127" s="536"/>
      <c r="AN127" s="536"/>
      <c r="AO127" s="536"/>
      <c r="AP127" s="536"/>
      <c r="AQ127" s="537"/>
      <c r="AR127" s="536"/>
      <c r="AS127" s="536"/>
      <c r="AT127" s="536"/>
      <c r="AU127" s="536"/>
      <c r="AV127" s="536"/>
      <c r="AW127" s="536"/>
      <c r="AX127" s="536"/>
      <c r="AY127" s="536"/>
      <c r="AZ127" s="536"/>
      <c r="BA127" s="536"/>
      <c r="BB127" s="536"/>
      <c r="BC127" s="536"/>
      <c r="BD127" s="536"/>
      <c r="BE127" s="536"/>
      <c r="BF127" s="536"/>
    </row>
    <row r="128" spans="1:58" ht="30" customHeight="1" x14ac:dyDescent="0.2">
      <c r="A128" s="578"/>
      <c r="B128" s="536"/>
      <c r="C128" s="536"/>
      <c r="D128" s="536"/>
      <c r="E128" s="536"/>
      <c r="F128" s="536"/>
      <c r="G128" s="536"/>
      <c r="H128" s="536"/>
      <c r="I128" s="536"/>
      <c r="J128" s="536"/>
      <c r="K128" s="536"/>
      <c r="L128" s="536"/>
      <c r="M128" s="536"/>
      <c r="N128" s="536"/>
      <c r="O128" s="536"/>
      <c r="P128" s="536"/>
      <c r="Q128" s="536"/>
      <c r="R128" s="536"/>
      <c r="S128" s="536"/>
      <c r="T128" s="538"/>
      <c r="U128" s="538"/>
      <c r="V128" s="681"/>
      <c r="W128" s="538"/>
      <c r="X128" s="538"/>
      <c r="Y128" s="538"/>
      <c r="Z128" s="538"/>
      <c r="AA128" s="538"/>
      <c r="AB128" s="538"/>
      <c r="AC128" s="536"/>
      <c r="AD128" s="536"/>
      <c r="AE128" s="536"/>
      <c r="AF128" s="536"/>
      <c r="AG128" s="536"/>
      <c r="AH128" s="536"/>
      <c r="AI128" s="536"/>
      <c r="AJ128" s="536"/>
      <c r="AK128" s="536"/>
      <c r="AL128" s="536"/>
      <c r="AM128" s="536"/>
      <c r="AN128" s="536"/>
      <c r="AO128" s="536"/>
      <c r="AP128" s="536"/>
      <c r="AQ128" s="537"/>
      <c r="AR128" s="536"/>
      <c r="AS128" s="536"/>
      <c r="AT128" s="536"/>
      <c r="AU128" s="536"/>
      <c r="AV128" s="536"/>
      <c r="AW128" s="536"/>
      <c r="AX128" s="536"/>
      <c r="AY128" s="536"/>
      <c r="AZ128" s="536"/>
      <c r="BA128" s="536"/>
      <c r="BB128" s="536"/>
      <c r="BC128" s="536"/>
      <c r="BD128" s="536"/>
      <c r="BE128" s="536"/>
      <c r="BF128" s="536"/>
    </row>
    <row r="129" spans="1:58" ht="30" customHeight="1" thickBot="1" x14ac:dyDescent="0.25">
      <c r="A129" s="578"/>
      <c r="B129" s="536"/>
      <c r="C129" s="536"/>
      <c r="D129" s="536"/>
      <c r="E129" s="536"/>
      <c r="F129" s="536"/>
      <c r="G129" s="536"/>
      <c r="H129" s="536"/>
      <c r="I129" s="536"/>
      <c r="J129" s="536"/>
      <c r="K129" s="536"/>
      <c r="L129" s="536"/>
      <c r="M129" s="536"/>
      <c r="N129" s="536"/>
      <c r="O129" s="536"/>
      <c r="P129" s="536"/>
      <c r="Q129" s="536"/>
      <c r="R129" s="536"/>
      <c r="S129" s="536"/>
      <c r="T129" s="538"/>
      <c r="U129" s="538"/>
      <c r="V129" s="538"/>
      <c r="W129" s="538"/>
      <c r="X129" s="538"/>
      <c r="Y129" s="538"/>
      <c r="Z129" s="538"/>
      <c r="AA129" s="538"/>
      <c r="AB129" s="538"/>
      <c r="AC129" s="536"/>
      <c r="AD129" s="536"/>
      <c r="AE129" s="536"/>
      <c r="AF129" s="536"/>
      <c r="AG129" s="536"/>
      <c r="AH129" s="536"/>
      <c r="AI129" s="536"/>
      <c r="AJ129" s="536"/>
      <c r="AK129" s="536"/>
      <c r="AL129" s="536"/>
      <c r="AM129" s="536"/>
      <c r="AN129" s="536"/>
      <c r="AO129" s="536"/>
      <c r="AP129" s="536"/>
      <c r="AQ129" s="537"/>
      <c r="AR129" s="536"/>
      <c r="AS129" s="536"/>
      <c r="AT129" s="536"/>
      <c r="AU129" s="536"/>
      <c r="AV129" s="536"/>
      <c r="AW129" s="536"/>
      <c r="AX129" s="536"/>
      <c r="AY129" s="536"/>
      <c r="AZ129" s="536"/>
      <c r="BA129" s="536"/>
      <c r="BB129" s="536"/>
      <c r="BC129" s="536"/>
      <c r="BD129" s="536"/>
      <c r="BE129" s="536"/>
      <c r="BF129" s="536"/>
    </row>
    <row r="130" spans="1:58" ht="60" customHeight="1" thickBot="1" x14ac:dyDescent="0.25">
      <c r="A130" s="578"/>
      <c r="B130" s="178" t="s">
        <v>130</v>
      </c>
      <c r="C130" s="179" t="str">
        <f>D142</f>
        <v>Fabricante</v>
      </c>
      <c r="D130" s="180" t="str">
        <f>E36</f>
        <v>Identificación / Serie</v>
      </c>
      <c r="E130" s="180" t="str">
        <f>AF69</f>
        <v>Fecha de Calibración</v>
      </c>
      <c r="F130" s="180" t="str">
        <f>AG69</f>
        <v>Trazabilidad y numero</v>
      </c>
      <c r="G130" s="180" t="s">
        <v>134</v>
      </c>
      <c r="H130" s="180" t="s">
        <v>143</v>
      </c>
      <c r="I130" s="180" t="s">
        <v>136</v>
      </c>
      <c r="J130" s="180" t="s">
        <v>75</v>
      </c>
      <c r="K130" s="180" t="s">
        <v>76</v>
      </c>
      <c r="L130" s="180" t="s">
        <v>169</v>
      </c>
      <c r="M130" s="180" t="s">
        <v>170</v>
      </c>
      <c r="N130" s="180" t="s">
        <v>171</v>
      </c>
      <c r="O130" s="181" t="s">
        <v>172</v>
      </c>
      <c r="P130" s="536"/>
      <c r="Q130" s="536"/>
      <c r="R130" s="536"/>
      <c r="S130" s="536"/>
      <c r="T130" s="538"/>
      <c r="U130" s="538"/>
      <c r="V130" s="538"/>
      <c r="W130" s="538"/>
      <c r="X130" s="538"/>
      <c r="Y130" s="538"/>
      <c r="Z130" s="538"/>
      <c r="AA130" s="538"/>
      <c r="AB130" s="538"/>
      <c r="AC130" s="536"/>
      <c r="AD130" s="536"/>
      <c r="AE130" s="536"/>
      <c r="AF130" s="536"/>
      <c r="AG130" s="536"/>
      <c r="AH130" s="536"/>
      <c r="AI130" s="536"/>
      <c r="AJ130" s="536"/>
      <c r="AK130" s="536"/>
      <c r="AL130" s="536"/>
      <c r="AM130" s="536"/>
      <c r="AN130" s="536"/>
      <c r="AO130" s="536"/>
      <c r="AP130" s="536"/>
      <c r="AQ130" s="537"/>
      <c r="AR130" s="536"/>
      <c r="AS130" s="536"/>
      <c r="AT130" s="536"/>
      <c r="AU130" s="536"/>
      <c r="AV130" s="536"/>
      <c r="AW130" s="536"/>
      <c r="AX130" s="536"/>
      <c r="AY130" s="536"/>
      <c r="AZ130" s="536"/>
      <c r="BA130" s="536"/>
      <c r="BB130" s="536"/>
      <c r="BC130" s="536"/>
      <c r="BD130" s="536"/>
      <c r="BE130" s="536"/>
      <c r="BF130" s="536"/>
    </row>
    <row r="131" spans="1:58" ht="30" customHeight="1" thickBot="1" x14ac:dyDescent="0.25">
      <c r="A131" s="578"/>
      <c r="B131" s="682"/>
      <c r="C131" s="683"/>
      <c r="D131" s="683"/>
      <c r="E131" s="683"/>
      <c r="F131" s="683"/>
      <c r="G131" s="683"/>
      <c r="H131" s="683"/>
      <c r="I131" s="683"/>
      <c r="J131" s="683"/>
      <c r="K131" s="683"/>
      <c r="L131" s="683"/>
      <c r="M131" s="683"/>
      <c r="N131" s="683"/>
      <c r="O131" s="684"/>
      <c r="P131" s="536"/>
      <c r="Q131" s="536"/>
      <c r="R131" s="536"/>
      <c r="S131" s="536"/>
      <c r="T131" s="538"/>
      <c r="U131" s="538"/>
      <c r="V131" s="538"/>
      <c r="W131" s="538"/>
      <c r="X131" s="538"/>
      <c r="Y131" s="538"/>
      <c r="Z131" s="538"/>
      <c r="AA131" s="538"/>
      <c r="AB131" s="538"/>
      <c r="AC131" s="536"/>
      <c r="AD131" s="536"/>
      <c r="AE131" s="536"/>
      <c r="AF131" s="536"/>
      <c r="AG131" s="536"/>
      <c r="AH131" s="536"/>
      <c r="AI131" s="536"/>
      <c r="AJ131" s="536"/>
      <c r="AK131" s="536"/>
      <c r="AL131" s="536"/>
      <c r="AM131" s="536"/>
      <c r="AN131" s="536"/>
      <c r="AO131" s="536"/>
      <c r="AP131" s="536"/>
      <c r="AQ131" s="537"/>
      <c r="AR131" s="536"/>
      <c r="AS131" s="536"/>
      <c r="AT131" s="536"/>
      <c r="AU131" s="536"/>
      <c r="AV131" s="536"/>
      <c r="AW131" s="536"/>
      <c r="AX131" s="536"/>
      <c r="AY131" s="536"/>
      <c r="AZ131" s="536"/>
      <c r="BA131" s="536"/>
      <c r="BB131" s="536"/>
      <c r="BC131" s="536"/>
      <c r="BD131" s="536"/>
      <c r="BE131" s="536"/>
      <c r="BF131" s="536"/>
    </row>
    <row r="132" spans="1:58" ht="45" customHeight="1" x14ac:dyDescent="0.2">
      <c r="A132" s="578"/>
      <c r="B132" s="685" t="str">
        <f>N75</f>
        <v>V-002</v>
      </c>
      <c r="C132" s="583" t="str">
        <f>D74</f>
        <v>Lufft Opus 20</v>
      </c>
      <c r="D132" s="686" t="str">
        <f>E74</f>
        <v>0,23.0714.0802.024</v>
      </c>
      <c r="E132" s="687" t="str">
        <f>K74&amp;" "&amp;K77&amp;" "&amp;K80</f>
        <v>2023-04-24 2023-05-08 2023-03-28</v>
      </c>
      <c r="F132" s="688" t="str">
        <f>L74&amp;" "&amp;L77&amp;" "&amp;L80</f>
        <v>INM 6638 INM 6667 INM 6588</v>
      </c>
      <c r="G132" s="689">
        <f>O75</f>
        <v>0.2</v>
      </c>
      <c r="H132" s="583">
        <f>P75</f>
        <v>1.7</v>
      </c>
      <c r="I132" s="584">
        <f>Q75</f>
        <v>7.0999999999999994E-2</v>
      </c>
      <c r="J132" s="690">
        <f>SLOPE(H74:H76,F74:F76)</f>
        <v>1.666666666666667E-2</v>
      </c>
      <c r="K132" s="587">
        <f>INTERCEPT(H74:H76,F74:F76)</f>
        <v>-0.46833333333333338</v>
      </c>
      <c r="L132" s="587">
        <f>SLOPE(H77:H79,F77:F79)</f>
        <v>0.11866584239707899</v>
      </c>
      <c r="M132" s="587">
        <f>INTERCEPT(H77:H79,F77:F79)</f>
        <v>-7.2334205899967152</v>
      </c>
      <c r="N132" s="587">
        <f>SLOPE(H80:H82,F80:F82)</f>
        <v>-2.0270775942858531E-3</v>
      </c>
      <c r="O132" s="691">
        <f>INTERCEPT(H80:H82,F80:F82)</f>
        <v>2.6545265831478346</v>
      </c>
      <c r="P132" s="536"/>
      <c r="Q132" s="536"/>
      <c r="R132" s="536"/>
      <c r="S132" s="536"/>
      <c r="T132" s="538"/>
      <c r="U132" s="538"/>
      <c r="V132" s="538"/>
      <c r="W132" s="538"/>
      <c r="X132" s="538"/>
      <c r="Y132" s="538"/>
      <c r="Z132" s="538"/>
      <c r="AA132" s="538"/>
      <c r="AB132" s="538"/>
      <c r="AC132" s="536"/>
      <c r="AD132" s="536"/>
      <c r="AE132" s="536"/>
      <c r="AF132" s="536"/>
      <c r="AG132" s="536"/>
      <c r="AH132" s="536"/>
      <c r="AI132" s="536"/>
      <c r="AJ132" s="536"/>
      <c r="AK132" s="536"/>
      <c r="AL132" s="536"/>
      <c r="AM132" s="536"/>
      <c r="AN132" s="536"/>
      <c r="AO132" s="536"/>
      <c r="AP132" s="536"/>
      <c r="AQ132" s="537"/>
      <c r="AR132" s="536"/>
      <c r="AS132" s="536"/>
      <c r="AT132" s="536"/>
      <c r="AU132" s="536"/>
      <c r="AV132" s="536"/>
      <c r="AW132" s="536"/>
      <c r="AX132" s="536"/>
      <c r="AY132" s="536"/>
      <c r="AZ132" s="536"/>
      <c r="BA132" s="536"/>
      <c r="BB132" s="536"/>
      <c r="BC132" s="536"/>
      <c r="BD132" s="536"/>
      <c r="BE132" s="536"/>
      <c r="BF132" s="536"/>
    </row>
    <row r="133" spans="1:58" ht="45" customHeight="1" x14ac:dyDescent="0.2">
      <c r="A133" s="578"/>
      <c r="B133" s="692" t="str">
        <f>N86</f>
        <v>M-010</v>
      </c>
      <c r="C133" s="623" t="str">
        <f>D85</f>
        <v>Lufft Opus 20</v>
      </c>
      <c r="D133" s="693" t="str">
        <f>E85</f>
        <v>0,26.0714.0802.024</v>
      </c>
      <c r="E133" s="694" t="str">
        <f>K85&amp;" "&amp;K88&amp;" "&amp;K91</f>
        <v>2023-04-05 2023-04-03 2023-03-28</v>
      </c>
      <c r="F133" s="695" t="str">
        <f>L85&amp;" "&amp;L88&amp;" "&amp;L91</f>
        <v>INM 6603 INM 6596 INM 6591</v>
      </c>
      <c r="G133" s="696">
        <f>O86</f>
        <v>0.2</v>
      </c>
      <c r="H133" s="696">
        <f>P86</f>
        <v>1.7</v>
      </c>
      <c r="I133" s="697">
        <f>Q86</f>
        <v>7.1999999999999995E-2</v>
      </c>
      <c r="J133" s="698">
        <f>SLOPE(H85:H87,F85:F87)</f>
        <v>-3.7023324694558115E-4</v>
      </c>
      <c r="K133" s="698">
        <f>INTERCEPT(H85:H87,F85:F87)</f>
        <v>-2.5546094039244609E-2</v>
      </c>
      <c r="L133" s="698">
        <f>SLOPE(H88:H90,F88:F90)</f>
        <v>0.13619031169452342</v>
      </c>
      <c r="M133" s="698">
        <f>INTERCEPT(H88:H90,F88:F90)</f>
        <v>-8.2509114341136769</v>
      </c>
      <c r="N133" s="698">
        <f>SLOPE(H91:H93,F91:F93)</f>
        <v>-1.6281121481284658E-3</v>
      </c>
      <c r="O133" s="699">
        <f>INTERCEPT(H91:H93,F91:F93)</f>
        <v>2.3349170926516285</v>
      </c>
      <c r="P133" s="536"/>
      <c r="Q133" s="536"/>
      <c r="R133" s="536"/>
      <c r="S133" s="536"/>
      <c r="T133" s="538"/>
      <c r="U133" s="538"/>
      <c r="V133" s="538"/>
      <c r="W133" s="538"/>
      <c r="X133" s="538"/>
      <c r="Y133" s="538"/>
      <c r="Z133" s="538"/>
      <c r="AA133" s="538"/>
      <c r="AB133" s="538"/>
      <c r="AC133" s="536"/>
      <c r="AD133" s="536"/>
      <c r="AE133" s="536"/>
      <c r="AF133" s="536"/>
      <c r="AG133" s="536"/>
      <c r="AH133" s="536"/>
      <c r="AI133" s="536"/>
      <c r="AJ133" s="536"/>
      <c r="AK133" s="536"/>
      <c r="AL133" s="536"/>
      <c r="AM133" s="536"/>
      <c r="AN133" s="536"/>
      <c r="AO133" s="536"/>
      <c r="AP133" s="536"/>
      <c r="AQ133" s="537"/>
      <c r="AR133" s="536"/>
      <c r="AS133" s="536"/>
      <c r="AT133" s="536"/>
      <c r="AU133" s="536"/>
      <c r="AV133" s="536"/>
      <c r="AW133" s="536"/>
      <c r="AX133" s="536"/>
      <c r="AY133" s="536"/>
      <c r="AZ133" s="536"/>
      <c r="BA133" s="536"/>
      <c r="BB133" s="536"/>
      <c r="BC133" s="536"/>
      <c r="BD133" s="536"/>
      <c r="BE133" s="536"/>
      <c r="BF133" s="536"/>
    </row>
    <row r="134" spans="1:58" ht="45" customHeight="1" x14ac:dyDescent="0.2">
      <c r="A134" s="578"/>
      <c r="B134" s="692" t="str">
        <f>N97</f>
        <v>M-011</v>
      </c>
      <c r="C134" s="623" t="str">
        <f>D96</f>
        <v>Lufft Opus 20</v>
      </c>
      <c r="D134" s="693" t="str">
        <f>E96</f>
        <v>0,22.0714.0802.024</v>
      </c>
      <c r="E134" s="694" t="str">
        <f>K96&amp;" "&amp;K99&amp;" "&amp;K102</f>
        <v>2022-05-23 2022-05-17 2021-05-31</v>
      </c>
      <c r="F134" s="695" t="str">
        <f>L96&amp;" "&amp;L99&amp;" "&amp;L102</f>
        <v>INM 5912 INM 5913 INM 5239</v>
      </c>
      <c r="G134" s="697">
        <f>O97</f>
        <v>0.4</v>
      </c>
      <c r="H134" s="697">
        <f>P97</f>
        <v>1.7</v>
      </c>
      <c r="I134" s="697">
        <f>Q97</f>
        <v>8.7999999999999995E-2</v>
      </c>
      <c r="J134" s="698">
        <f>SLOPE(H96:H98,F96:F98)</f>
        <v>1.0385688090358568E-2</v>
      </c>
      <c r="K134" s="698">
        <f>INTERCEPT(H96:H98,F96:F98)</f>
        <v>-0.10726844075997352</v>
      </c>
      <c r="L134" s="698">
        <f>SLOPE(H99:H101,F99:F101)</f>
        <v>0.13249979757631369</v>
      </c>
      <c r="M134" s="698">
        <f>INTERCEPT(H99:H101,F99:F101)</f>
        <v>-7.892739062373483</v>
      </c>
      <c r="N134" s="698">
        <f>SLOPE(H102:H104,F102:F104)</f>
        <v>-2.0810757363394542E-3</v>
      </c>
      <c r="O134" s="699">
        <f>INTERCEPT(H102:H104,F102:F104)</f>
        <v>2.6117362023027515</v>
      </c>
      <c r="P134" s="536"/>
      <c r="Q134" s="536"/>
      <c r="R134" s="536"/>
      <c r="S134" s="536"/>
      <c r="T134" s="538"/>
      <c r="U134" s="538"/>
      <c r="V134" s="538"/>
      <c r="W134" s="538"/>
      <c r="X134" s="538"/>
      <c r="Y134" s="538"/>
      <c r="Z134" s="538"/>
      <c r="AA134" s="538"/>
      <c r="AB134" s="552"/>
      <c r="AC134" s="552"/>
      <c r="AD134" s="536"/>
      <c r="AE134" s="536"/>
      <c r="AF134" s="536"/>
      <c r="AG134" s="536"/>
      <c r="AH134" s="536"/>
      <c r="AI134" s="536"/>
      <c r="AJ134" s="536"/>
      <c r="AK134" s="536"/>
      <c r="AL134" s="536"/>
      <c r="AM134" s="536"/>
      <c r="AN134" s="536"/>
      <c r="AO134" s="536"/>
      <c r="AP134" s="536"/>
      <c r="AQ134" s="537"/>
      <c r="AR134" s="536"/>
      <c r="AS134" s="536"/>
      <c r="AT134" s="536"/>
      <c r="AU134" s="536"/>
      <c r="AV134" s="536"/>
      <c r="AW134" s="536"/>
      <c r="AX134" s="536"/>
      <c r="AY134" s="536"/>
      <c r="AZ134" s="536"/>
      <c r="BA134" s="536"/>
      <c r="BB134" s="536"/>
      <c r="BC134" s="536"/>
      <c r="BD134" s="536"/>
      <c r="BE134" s="536"/>
      <c r="BF134" s="536"/>
    </row>
    <row r="135" spans="1:58" ht="45" customHeight="1" x14ac:dyDescent="0.2">
      <c r="A135" s="578"/>
      <c r="B135" s="692" t="str">
        <f>N108</f>
        <v xml:space="preserve">M-012  </v>
      </c>
      <c r="C135" s="623" t="str">
        <f>D107</f>
        <v>Lufft Opus 20</v>
      </c>
      <c r="D135" s="693">
        <f>E107</f>
        <v>19506160802033</v>
      </c>
      <c r="E135" s="694" t="str">
        <f>K107&amp;" "&amp;K110&amp;" "&amp;K113</f>
        <v>2023-04-11 2023-04-03 2023-03-28</v>
      </c>
      <c r="F135" s="695" t="str">
        <f>L107&amp;" "&amp;L110&amp;" "&amp;L113</f>
        <v>INM 6608 INM 6597 INM 6390</v>
      </c>
      <c r="G135" s="697">
        <f>O108</f>
        <v>0.2</v>
      </c>
      <c r="H135" s="697">
        <f>P108</f>
        <v>1.7</v>
      </c>
      <c r="I135" s="697">
        <f>Q108</f>
        <v>7.3999999999999996E-2</v>
      </c>
      <c r="J135" s="698">
        <f>SLOPE(H107:H109,F107:F109)</f>
        <v>-3.3332222259257967E-5</v>
      </c>
      <c r="K135" s="698">
        <f>INTERCEPT(H107:H109,F107:F109)</f>
        <v>6.7497750074997503E-2</v>
      </c>
      <c r="L135" s="698">
        <f>SLOPE(H110:H112,F110:F112)</f>
        <v>0.1041354303243979</v>
      </c>
      <c r="M135" s="698">
        <f>INTERCEPT(H110:H112,F110:F112)</f>
        <v>-6.3475615264455492</v>
      </c>
      <c r="N135" s="698">
        <f>SLOPE(H113:H115,F113:F115)</f>
        <v>-2.0871700429711468E-3</v>
      </c>
      <c r="O135" s="699">
        <f>INTERCEPT(H113:H115,F113:F115)</f>
        <v>2.7851696746470216</v>
      </c>
      <c r="P135" s="536"/>
      <c r="Q135" s="536"/>
      <c r="R135" s="536"/>
      <c r="S135" s="536"/>
      <c r="T135" s="538"/>
      <c r="U135" s="538"/>
      <c r="V135" s="538"/>
      <c r="W135" s="538"/>
      <c r="X135" s="538"/>
      <c r="Y135" s="538"/>
      <c r="Z135" s="538"/>
      <c r="AA135" s="538"/>
      <c r="AB135" s="552"/>
      <c r="AC135" s="552"/>
      <c r="AD135" s="536"/>
      <c r="AE135" s="536"/>
      <c r="AF135" s="536"/>
      <c r="AG135" s="536"/>
      <c r="AH135" s="536"/>
      <c r="AI135" s="536"/>
      <c r="AJ135" s="536"/>
      <c r="AK135" s="536"/>
      <c r="AL135" s="536"/>
      <c r="AM135" s="536"/>
      <c r="AN135" s="536"/>
      <c r="AO135" s="536"/>
      <c r="AP135" s="536"/>
      <c r="AQ135" s="537"/>
      <c r="AR135" s="536"/>
      <c r="AS135" s="536"/>
      <c r="AT135" s="536"/>
      <c r="AU135" s="536"/>
      <c r="AV135" s="536"/>
      <c r="AW135" s="536"/>
      <c r="AX135" s="536"/>
      <c r="AY135" s="536"/>
      <c r="AZ135" s="536"/>
      <c r="BA135" s="536"/>
      <c r="BB135" s="536"/>
      <c r="BC135" s="536"/>
      <c r="BD135" s="536"/>
      <c r="BE135" s="536"/>
      <c r="BF135" s="536"/>
    </row>
    <row r="136" spans="1:58" ht="45" customHeight="1" thickBot="1" x14ac:dyDescent="0.25">
      <c r="A136" s="578"/>
      <c r="B136" s="700" t="str">
        <f>N119</f>
        <v xml:space="preserve">M-013  </v>
      </c>
      <c r="C136" s="589" t="str">
        <f>D107</f>
        <v>Lufft Opus 20</v>
      </c>
      <c r="D136" s="701">
        <f>E118</f>
        <v>19406160802033</v>
      </c>
      <c r="E136" s="702" t="str">
        <f>K118&amp;" "&amp;K121&amp;" "&amp;K124</f>
        <v>2023-04-24 2023-05-08 2023-03-28</v>
      </c>
      <c r="F136" s="703" t="str">
        <f>L118&amp;" "&amp;L121&amp;" "&amp;L124</f>
        <v>INM 6639 INM 6668 INM 6593</v>
      </c>
      <c r="G136" s="591">
        <f>O119</f>
        <v>0.2</v>
      </c>
      <c r="H136" s="591">
        <f>P119</f>
        <v>1.7</v>
      </c>
      <c r="I136" s="591">
        <f>Q119</f>
        <v>7.1999999999999995E-2</v>
      </c>
      <c r="J136" s="704">
        <f>SLOPE(H118:H120,F118:F120)</f>
        <v>0</v>
      </c>
      <c r="K136" s="704">
        <f>INTERCEPT(H118:H120,F118:F120)</f>
        <v>0</v>
      </c>
      <c r="L136" s="704">
        <f>SLOPE(H121:H123,F121:F123)</f>
        <v>4.1942481438411318E-2</v>
      </c>
      <c r="M136" s="704">
        <f>INTERCEPT(H121:H123,F121:F123)</f>
        <v>-4.2643785222291806</v>
      </c>
      <c r="N136" s="704">
        <f>SLOPE(H124:H126,F124:F126)</f>
        <v>-1.9171899010460003E-3</v>
      </c>
      <c r="O136" s="705">
        <f>INTERCEPT(H124:H126,F124:F126)</f>
        <v>2.3881734753616817</v>
      </c>
      <c r="P136" s="536"/>
      <c r="Q136" s="536"/>
      <c r="R136" s="536"/>
      <c r="S136" s="536"/>
      <c r="T136" s="538"/>
      <c r="U136" s="538"/>
      <c r="V136" s="538"/>
      <c r="W136" s="538"/>
      <c r="X136" s="538"/>
      <c r="Y136" s="538"/>
      <c r="Z136" s="538"/>
      <c r="AA136" s="538"/>
      <c r="AB136" s="552"/>
      <c r="AC136" s="552"/>
      <c r="AD136" s="536"/>
      <c r="AE136" s="536"/>
      <c r="AF136" s="536"/>
      <c r="AG136" s="536"/>
      <c r="AH136" s="536"/>
      <c r="AI136" s="536"/>
      <c r="AJ136" s="536"/>
      <c r="AK136" s="536"/>
      <c r="AL136" s="536"/>
      <c r="AM136" s="536"/>
      <c r="AN136" s="536"/>
      <c r="AO136" s="536"/>
      <c r="AP136" s="536"/>
      <c r="AQ136" s="537"/>
      <c r="AR136" s="536"/>
      <c r="AS136" s="536"/>
      <c r="AT136" s="536"/>
      <c r="AU136" s="536"/>
      <c r="AV136" s="536"/>
      <c r="AW136" s="536"/>
      <c r="AX136" s="536"/>
      <c r="AY136" s="536"/>
      <c r="AZ136" s="536"/>
      <c r="BA136" s="536"/>
      <c r="BB136" s="536"/>
      <c r="BC136" s="536"/>
      <c r="BD136" s="536"/>
      <c r="BE136" s="536"/>
      <c r="BF136" s="536"/>
    </row>
    <row r="137" spans="1:58" ht="30" customHeight="1" x14ac:dyDescent="0.2">
      <c r="A137" s="578"/>
      <c r="B137" s="536"/>
      <c r="C137" s="536"/>
      <c r="D137" s="536"/>
      <c r="E137" s="536"/>
      <c r="F137" s="536"/>
      <c r="G137" s="536"/>
      <c r="H137" s="536"/>
      <c r="I137" s="536"/>
      <c r="J137" s="536"/>
      <c r="K137" s="536"/>
      <c r="L137" s="536"/>
      <c r="M137" s="536"/>
      <c r="N137" s="536"/>
      <c r="O137" s="536"/>
      <c r="P137" s="536"/>
      <c r="Q137" s="536"/>
      <c r="R137" s="536"/>
      <c r="S137" s="536"/>
      <c r="T137" s="538"/>
      <c r="U137" s="538"/>
      <c r="V137" s="538"/>
      <c r="W137" s="538"/>
      <c r="X137" s="538"/>
      <c r="Y137" s="538"/>
      <c r="Z137" s="538"/>
      <c r="AA137" s="538"/>
      <c r="AB137" s="552"/>
      <c r="AC137" s="552"/>
      <c r="AD137" s="536"/>
      <c r="AE137" s="536"/>
      <c r="AF137" s="536"/>
      <c r="AG137" s="536"/>
      <c r="AH137" s="536"/>
      <c r="AI137" s="536"/>
      <c r="AJ137" s="536"/>
      <c r="AK137" s="536"/>
      <c r="AL137" s="536"/>
      <c r="AM137" s="536"/>
      <c r="AN137" s="536"/>
      <c r="AO137" s="536"/>
      <c r="AP137" s="536"/>
      <c r="AQ137" s="537"/>
      <c r="AR137" s="536"/>
      <c r="AS137" s="536"/>
      <c r="AT137" s="536"/>
      <c r="AU137" s="536"/>
      <c r="AV137" s="536"/>
      <c r="AW137" s="536"/>
      <c r="AX137" s="536"/>
      <c r="AY137" s="536"/>
      <c r="AZ137" s="536"/>
      <c r="BA137" s="536"/>
      <c r="BB137" s="536"/>
      <c r="BC137" s="536"/>
      <c r="BD137" s="536"/>
      <c r="BE137" s="536"/>
      <c r="BF137" s="536"/>
    </row>
    <row r="138" spans="1:58" ht="33.950000000000003" customHeight="1" x14ac:dyDescent="0.2">
      <c r="A138" s="578"/>
      <c r="B138" s="536"/>
      <c r="C138" s="536"/>
      <c r="D138" s="536"/>
      <c r="E138" s="536"/>
      <c r="F138" s="536"/>
      <c r="G138" s="536"/>
      <c r="H138" s="536"/>
      <c r="I138" s="536"/>
      <c r="J138" s="536"/>
      <c r="K138" s="536"/>
      <c r="L138" s="536"/>
      <c r="M138" s="536"/>
      <c r="N138" s="536"/>
      <c r="O138" s="536"/>
      <c r="P138" s="536"/>
      <c r="Q138" s="536"/>
      <c r="R138" s="536"/>
      <c r="S138" s="536"/>
      <c r="T138" s="538"/>
      <c r="U138" s="538"/>
      <c r="V138" s="538"/>
      <c r="W138" s="538"/>
      <c r="X138" s="538"/>
      <c r="Y138" s="538"/>
      <c r="Z138" s="538"/>
      <c r="AA138" s="538"/>
      <c r="AB138" s="552"/>
      <c r="AC138" s="552"/>
      <c r="AD138" s="536"/>
      <c r="AE138" s="536"/>
      <c r="AF138" s="536"/>
      <c r="AG138" s="536"/>
      <c r="AH138" s="536"/>
      <c r="AI138" s="536"/>
      <c r="AJ138" s="536"/>
      <c r="AK138" s="536"/>
      <c r="AL138" s="536"/>
      <c r="AM138" s="536"/>
      <c r="AN138" s="536"/>
      <c r="AO138" s="536"/>
      <c r="AP138" s="536"/>
      <c r="AQ138" s="537"/>
      <c r="AR138" s="536"/>
      <c r="AS138" s="536"/>
      <c r="AT138" s="536"/>
      <c r="AU138" s="536"/>
      <c r="AV138" s="536"/>
      <c r="AW138" s="536"/>
      <c r="AX138" s="536"/>
      <c r="AY138" s="536"/>
      <c r="AZ138" s="536"/>
      <c r="BA138" s="536"/>
      <c r="BB138" s="536"/>
      <c r="BC138" s="536"/>
      <c r="BD138" s="536"/>
      <c r="BE138" s="536"/>
      <c r="BF138" s="536"/>
    </row>
    <row r="139" spans="1:58" ht="33.950000000000003" customHeight="1" x14ac:dyDescent="0.2">
      <c r="A139" s="578"/>
      <c r="B139" s="536"/>
      <c r="C139" s="536"/>
      <c r="D139" s="536"/>
      <c r="E139" s="536"/>
      <c r="F139" s="536"/>
      <c r="G139" s="536"/>
      <c r="H139" s="536"/>
      <c r="I139" s="536"/>
      <c r="J139" s="536"/>
      <c r="K139" s="536"/>
      <c r="L139" s="536"/>
      <c r="M139" s="536"/>
      <c r="N139" s="536"/>
      <c r="O139" s="536"/>
      <c r="P139" s="536"/>
      <c r="Q139" s="536"/>
      <c r="R139" s="536"/>
      <c r="S139" s="536"/>
      <c r="T139" s="538"/>
      <c r="U139" s="538"/>
      <c r="V139" s="538"/>
      <c r="W139" s="538"/>
      <c r="X139" s="538"/>
      <c r="Y139" s="538"/>
      <c r="Z139" s="538"/>
      <c r="AA139" s="538"/>
      <c r="AB139" s="552"/>
      <c r="AC139" s="552"/>
      <c r="AD139" s="536"/>
      <c r="AE139" s="536"/>
      <c r="AF139" s="536"/>
      <c r="AG139" s="536"/>
      <c r="AH139" s="536"/>
      <c r="AI139" s="536"/>
      <c r="AJ139" s="536"/>
      <c r="AK139" s="536"/>
      <c r="AL139" s="536"/>
      <c r="AM139" s="536"/>
      <c r="AN139" s="536"/>
      <c r="AO139" s="536"/>
      <c r="AP139" s="536"/>
      <c r="AQ139" s="537"/>
      <c r="AR139" s="536"/>
      <c r="AS139" s="536"/>
      <c r="AT139" s="536"/>
      <c r="AU139" s="536"/>
      <c r="AV139" s="536"/>
      <c r="AW139" s="536"/>
      <c r="AX139" s="536"/>
      <c r="AY139" s="536"/>
      <c r="AZ139" s="536"/>
      <c r="BA139" s="536"/>
      <c r="BB139" s="536"/>
      <c r="BC139" s="536"/>
      <c r="BD139" s="536"/>
      <c r="BE139" s="536"/>
      <c r="BF139" s="536"/>
    </row>
    <row r="140" spans="1:58" ht="33.950000000000003" customHeight="1" thickBot="1" x14ac:dyDescent="0.25">
      <c r="A140" s="578"/>
      <c r="B140" s="536"/>
      <c r="C140" s="536"/>
      <c r="D140" s="536"/>
      <c r="E140" s="536"/>
      <c r="F140" s="536"/>
      <c r="G140" s="536"/>
      <c r="H140" s="536"/>
      <c r="I140" s="536"/>
      <c r="J140" s="536"/>
      <c r="K140" s="536"/>
      <c r="L140" s="536"/>
      <c r="M140" s="536"/>
      <c r="N140" s="536"/>
      <c r="O140" s="536"/>
      <c r="P140" s="536"/>
      <c r="Q140" s="536"/>
      <c r="R140" s="536"/>
      <c r="S140" s="536"/>
      <c r="T140" s="538"/>
      <c r="U140" s="538"/>
      <c r="V140" s="538"/>
      <c r="W140" s="538"/>
      <c r="X140" s="538"/>
      <c r="Y140" s="538"/>
      <c r="Z140" s="538"/>
      <c r="AA140" s="538"/>
      <c r="AB140" s="552"/>
      <c r="AC140" s="552"/>
      <c r="AD140" s="536"/>
      <c r="AE140" s="536"/>
      <c r="AF140" s="536"/>
      <c r="AG140" s="536"/>
      <c r="AH140" s="536"/>
      <c r="AI140" s="536"/>
      <c r="AJ140" s="536"/>
      <c r="AK140" s="536"/>
      <c r="AL140" s="536"/>
      <c r="AM140" s="536"/>
      <c r="AN140" s="536"/>
      <c r="AO140" s="536"/>
      <c r="AP140" s="536"/>
      <c r="AQ140" s="537"/>
      <c r="AR140" s="536"/>
      <c r="AS140" s="536"/>
      <c r="AT140" s="536"/>
      <c r="AU140" s="536"/>
      <c r="AV140" s="536"/>
      <c r="AW140" s="536"/>
      <c r="AX140" s="536"/>
      <c r="AY140" s="536"/>
      <c r="AZ140" s="536"/>
      <c r="BA140" s="536"/>
      <c r="BB140" s="536"/>
      <c r="BC140" s="536"/>
      <c r="BD140" s="536"/>
      <c r="BE140" s="536"/>
      <c r="BF140" s="536"/>
    </row>
    <row r="141" spans="1:58" ht="33.950000000000003" customHeight="1" thickBot="1" x14ac:dyDescent="0.25">
      <c r="A141" s="578"/>
      <c r="B141" s="1214" t="s">
        <v>173</v>
      </c>
      <c r="C141" s="1217"/>
      <c r="D141" s="1215"/>
      <c r="E141" s="1215"/>
      <c r="F141" s="1215"/>
      <c r="G141" s="1215"/>
      <c r="H141" s="1215"/>
      <c r="I141" s="1215"/>
      <c r="J141" s="1215"/>
      <c r="K141" s="1215"/>
      <c r="L141" s="1215"/>
      <c r="M141" s="1215"/>
      <c r="N141" s="1215"/>
      <c r="O141" s="1215"/>
      <c r="P141" s="1215"/>
      <c r="Q141" s="1215"/>
      <c r="R141" s="1215"/>
      <c r="S141" s="1215"/>
      <c r="T141" s="1215"/>
      <c r="U141" s="1215"/>
      <c r="V141" s="1215"/>
      <c r="W141" s="1216"/>
      <c r="X141" s="538"/>
      <c r="Y141" s="538"/>
      <c r="Z141" s="538"/>
      <c r="AA141" s="538"/>
      <c r="AB141" s="552"/>
      <c r="AC141" s="552"/>
      <c r="AD141" s="536"/>
      <c r="AE141" s="536"/>
      <c r="AF141" s="536"/>
      <c r="AG141" s="536"/>
      <c r="AH141" s="536"/>
      <c r="AI141" s="536"/>
      <c r="AJ141" s="536"/>
      <c r="AK141" s="536"/>
      <c r="AL141" s="536"/>
      <c r="AM141" s="536"/>
      <c r="AN141" s="536"/>
      <c r="AO141" s="536"/>
      <c r="AP141" s="536"/>
      <c r="AQ141" s="537"/>
      <c r="AR141" s="536"/>
      <c r="AS141" s="536"/>
      <c r="AT141" s="536"/>
      <c r="AU141" s="536"/>
      <c r="AV141" s="536"/>
      <c r="AW141" s="536"/>
      <c r="AX141" s="536"/>
      <c r="AY141" s="536"/>
      <c r="AZ141" s="536"/>
      <c r="BA141" s="536"/>
      <c r="BB141" s="536"/>
      <c r="BC141" s="536"/>
      <c r="BD141" s="536"/>
      <c r="BE141" s="536"/>
      <c r="BF141" s="536"/>
    </row>
    <row r="142" spans="1:58" ht="51.75" customHeight="1" thickBot="1" x14ac:dyDescent="0.25">
      <c r="A142" s="578"/>
      <c r="B142" s="1409" t="s">
        <v>174</v>
      </c>
      <c r="C142" s="706"/>
      <c r="D142" s="161" t="s">
        <v>23</v>
      </c>
      <c r="E142" s="162" t="s">
        <v>62</v>
      </c>
      <c r="F142" s="133" t="s">
        <v>74</v>
      </c>
      <c r="G142" s="162" t="s">
        <v>64</v>
      </c>
      <c r="H142" s="162" t="s">
        <v>65</v>
      </c>
      <c r="I142" s="162" t="s">
        <v>66</v>
      </c>
      <c r="J142" s="162" t="s">
        <v>67</v>
      </c>
      <c r="K142" s="163" t="s">
        <v>68</v>
      </c>
      <c r="L142" s="162" t="s">
        <v>175</v>
      </c>
      <c r="M142" s="162" t="s">
        <v>176</v>
      </c>
      <c r="N142" s="162" t="s">
        <v>177</v>
      </c>
      <c r="O142" s="162" t="s">
        <v>178</v>
      </c>
      <c r="P142" s="164" t="s">
        <v>72</v>
      </c>
      <c r="Q142" s="162" t="s">
        <v>179</v>
      </c>
      <c r="R142" s="162" t="s">
        <v>180</v>
      </c>
      <c r="S142" s="164" t="s">
        <v>72</v>
      </c>
      <c r="T142" s="162" t="s">
        <v>181</v>
      </c>
      <c r="U142" s="162" t="s">
        <v>182</v>
      </c>
      <c r="V142" s="164" t="s">
        <v>72</v>
      </c>
      <c r="W142" s="165" t="s">
        <v>183</v>
      </c>
      <c r="X142" s="538"/>
      <c r="Y142" s="538"/>
      <c r="Z142" s="538"/>
      <c r="AA142" s="538"/>
      <c r="AB142" s="552"/>
      <c r="AC142" s="552"/>
      <c r="AD142" s="536"/>
      <c r="AE142" s="536"/>
      <c r="AF142" s="536"/>
      <c r="AG142" s="536"/>
      <c r="AH142" s="536"/>
      <c r="AI142" s="536"/>
      <c r="AJ142" s="536"/>
      <c r="AK142" s="536"/>
      <c r="AL142" s="536"/>
      <c r="AM142" s="536"/>
      <c r="AN142" s="536"/>
      <c r="AO142" s="536"/>
      <c r="AP142" s="536"/>
      <c r="AQ142" s="537"/>
      <c r="AR142" s="536"/>
      <c r="AS142" s="536"/>
      <c r="AT142" s="536"/>
      <c r="AU142" s="536"/>
      <c r="AV142" s="536"/>
      <c r="AW142" s="536"/>
      <c r="AX142" s="536"/>
      <c r="AY142" s="536"/>
      <c r="AZ142" s="536"/>
      <c r="BA142" s="536"/>
      <c r="BB142" s="536"/>
      <c r="BC142" s="536"/>
      <c r="BD142" s="536"/>
      <c r="BE142" s="536"/>
      <c r="BF142" s="536"/>
    </row>
    <row r="143" spans="1:58" ht="33.950000000000003" customHeight="1" thickBot="1" x14ac:dyDescent="0.25">
      <c r="A143" s="578"/>
      <c r="B143" s="1410"/>
      <c r="C143" s="707"/>
      <c r="D143" s="661"/>
      <c r="E143" s="662"/>
      <c r="F143" s="662"/>
      <c r="G143" s="662"/>
      <c r="H143" s="662"/>
      <c r="I143" s="662"/>
      <c r="J143" s="662"/>
      <c r="K143" s="708"/>
      <c r="L143" s="708"/>
      <c r="M143" s="708"/>
      <c r="N143" s="661"/>
      <c r="O143" s="709"/>
      <c r="P143" s="661"/>
      <c r="Q143" s="661"/>
      <c r="R143" s="661"/>
      <c r="S143" s="661"/>
      <c r="T143" s="662"/>
      <c r="U143" s="662"/>
      <c r="V143" s="662"/>
      <c r="W143" s="663"/>
      <c r="X143" s="538"/>
      <c r="Y143" s="538"/>
      <c r="Z143" s="538"/>
      <c r="AA143" s="538"/>
      <c r="AB143" s="552"/>
      <c r="AC143" s="552"/>
      <c r="AD143" s="536"/>
      <c r="AE143" s="536"/>
      <c r="AF143" s="536"/>
      <c r="AG143" s="536"/>
      <c r="AH143" s="536"/>
      <c r="AI143" s="536"/>
      <c r="AJ143" s="536"/>
      <c r="AK143" s="536"/>
      <c r="AL143" s="536"/>
      <c r="AM143" s="536"/>
      <c r="AN143" s="536"/>
      <c r="AO143" s="536"/>
      <c r="AP143" s="536"/>
      <c r="AQ143" s="537"/>
      <c r="AR143" s="536"/>
      <c r="AS143" s="536"/>
      <c r="AT143" s="536"/>
      <c r="AU143" s="536"/>
      <c r="AV143" s="536"/>
      <c r="AW143" s="536"/>
      <c r="AX143" s="536"/>
      <c r="AY143" s="536"/>
      <c r="AZ143" s="536"/>
      <c r="BA143" s="536"/>
      <c r="BB143" s="536"/>
      <c r="BC143" s="536"/>
      <c r="BD143" s="536"/>
      <c r="BE143" s="536"/>
      <c r="BF143" s="536"/>
    </row>
    <row r="144" spans="1:58" ht="33.950000000000003" customHeight="1" x14ac:dyDescent="0.2">
      <c r="A144" s="578"/>
      <c r="B144" s="1411"/>
      <c r="C144" s="402" t="s">
        <v>184</v>
      </c>
      <c r="D144" s="412" t="s">
        <v>185</v>
      </c>
      <c r="E144" s="412">
        <v>5295</v>
      </c>
      <c r="F144" s="412">
        <v>5</v>
      </c>
      <c r="G144" s="412">
        <v>0.05</v>
      </c>
      <c r="H144" s="412">
        <v>5.4999999999999997E-3</v>
      </c>
      <c r="I144" s="412">
        <v>2.0999999999999999E-3</v>
      </c>
      <c r="J144" s="412">
        <v>2</v>
      </c>
      <c r="K144" s="435">
        <v>44469</v>
      </c>
      <c r="L144" s="412" t="s">
        <v>186</v>
      </c>
      <c r="M144" s="432" t="s">
        <v>187</v>
      </c>
      <c r="N144" s="436">
        <v>4.4999999999999997E-3</v>
      </c>
      <c r="O144" s="437">
        <v>4.4999999999999997E-3</v>
      </c>
      <c r="P144" s="438">
        <f>ABS(N144-O144)</f>
        <v>0</v>
      </c>
      <c r="Q144" s="437">
        <v>-6.0000000000000001E-3</v>
      </c>
      <c r="R144" s="437">
        <v>-6.0000000000000001E-3</v>
      </c>
      <c r="S144" s="439">
        <f>ABS(Q144-R144)</f>
        <v>0</v>
      </c>
      <c r="T144" s="437">
        <v>-5.4999999999999997E-3</v>
      </c>
      <c r="U144" s="437">
        <v>-5.4999999999999997E-3</v>
      </c>
      <c r="V144" s="439">
        <f>ABS(T144-U144)</f>
        <v>0</v>
      </c>
      <c r="W144" s="440">
        <f>MAX(V144,S144,P144)</f>
        <v>0</v>
      </c>
      <c r="X144" s="538"/>
      <c r="Y144" s="538"/>
      <c r="Z144" s="538"/>
      <c r="AA144" s="538"/>
      <c r="AB144" s="552"/>
      <c r="AC144" s="552"/>
      <c r="AD144" s="536"/>
      <c r="AE144" s="536"/>
      <c r="AF144" s="536"/>
      <c r="AG144" s="536"/>
      <c r="AH144" s="536"/>
      <c r="AI144" s="538"/>
      <c r="AJ144" s="538"/>
      <c r="AK144" s="538"/>
      <c r="AL144" s="538"/>
      <c r="AM144" s="538"/>
      <c r="AN144" s="538"/>
      <c r="AO144" s="538"/>
      <c r="AP144" s="538"/>
      <c r="AQ144" s="614"/>
      <c r="AR144" s="538"/>
      <c r="AS144" s="538"/>
      <c r="AT144" s="536"/>
      <c r="AU144" s="536"/>
      <c r="AV144" s="536"/>
      <c r="AW144" s="536"/>
      <c r="AX144" s="536"/>
      <c r="AY144" s="536"/>
      <c r="AZ144" s="536"/>
      <c r="BA144" s="536"/>
      <c r="BB144" s="536"/>
      <c r="BC144" s="536"/>
      <c r="BD144" s="536"/>
      <c r="BE144" s="536"/>
      <c r="BF144" s="536"/>
    </row>
    <row r="145" spans="1:58" ht="35.1" customHeight="1" x14ac:dyDescent="0.2">
      <c r="A145" s="578"/>
      <c r="B145" s="1411"/>
      <c r="C145" s="403" t="s">
        <v>188</v>
      </c>
      <c r="D145" s="415" t="s">
        <v>185</v>
      </c>
      <c r="E145" s="415">
        <v>27760</v>
      </c>
      <c r="F145" s="415">
        <v>5.032</v>
      </c>
      <c r="G145" s="415">
        <v>0.05</v>
      </c>
      <c r="H145" s="415">
        <v>-3.2000000000000001E-2</v>
      </c>
      <c r="I145" s="415">
        <v>1.0999999999999999E-2</v>
      </c>
      <c r="J145" s="441">
        <v>2.0299999999999998</v>
      </c>
      <c r="K145" s="435">
        <v>44631</v>
      </c>
      <c r="L145" s="442" t="s">
        <v>189</v>
      </c>
      <c r="M145" s="433" t="s">
        <v>190</v>
      </c>
      <c r="N145" s="443">
        <v>1.006</v>
      </c>
      <c r="O145" s="438">
        <v>1.006</v>
      </c>
      <c r="P145" s="438">
        <f>ABS(N145-O145)</f>
        <v>0</v>
      </c>
      <c r="Q145" s="444">
        <v>3.0169999999999999</v>
      </c>
      <c r="R145" s="444">
        <v>3.0169999999999999</v>
      </c>
      <c r="S145" s="439">
        <f>ABS(Q145-R145)</f>
        <v>0</v>
      </c>
      <c r="T145" s="444">
        <v>5.032</v>
      </c>
      <c r="U145" s="444">
        <v>5.0199999999999996</v>
      </c>
      <c r="V145" s="439">
        <f>ABS(T145-U145)</f>
        <v>1.2000000000000455E-2</v>
      </c>
      <c r="W145" s="440">
        <f>MAX(V145,S145,P145)</f>
        <v>1.2000000000000455E-2</v>
      </c>
      <c r="X145" s="538"/>
      <c r="Y145" s="538"/>
      <c r="Z145" s="538"/>
      <c r="AA145" s="538"/>
      <c r="AB145" s="538"/>
      <c r="AC145" s="536"/>
      <c r="AD145" s="536"/>
      <c r="AE145" s="536"/>
      <c r="AF145" s="536"/>
      <c r="AG145" s="536"/>
      <c r="AH145" s="536"/>
      <c r="AI145" s="536"/>
      <c r="AJ145" s="536"/>
      <c r="AK145" s="536"/>
      <c r="AL145" s="536"/>
      <c r="AM145" s="536"/>
      <c r="AN145" s="536"/>
      <c r="AO145" s="536"/>
      <c r="AP145" s="536"/>
      <c r="AQ145" s="537"/>
      <c r="AR145" s="536"/>
      <c r="AS145" s="538"/>
      <c r="AT145" s="536"/>
      <c r="AU145" s="536"/>
      <c r="AV145" s="536"/>
      <c r="AW145" s="536"/>
      <c r="AX145" s="536"/>
      <c r="AY145" s="536"/>
      <c r="AZ145" s="536"/>
      <c r="BA145" s="536"/>
      <c r="BB145" s="536"/>
      <c r="BC145" s="536"/>
      <c r="BD145" s="536"/>
      <c r="BE145" s="536"/>
      <c r="BF145" s="536"/>
    </row>
    <row r="146" spans="1:58" ht="33.950000000000003" customHeight="1" x14ac:dyDescent="0.2">
      <c r="A146" s="578"/>
      <c r="B146" s="1411"/>
      <c r="C146" s="403" t="s">
        <v>191</v>
      </c>
      <c r="D146" s="415" t="s">
        <v>185</v>
      </c>
      <c r="E146" s="415">
        <v>5293</v>
      </c>
      <c r="F146" s="415">
        <v>9.98</v>
      </c>
      <c r="G146" s="415">
        <v>0.1</v>
      </c>
      <c r="H146" s="415">
        <v>1.4E-2</v>
      </c>
      <c r="I146" s="415">
        <v>1.6000000000000001E-3</v>
      </c>
      <c r="J146" s="415">
        <v>2</v>
      </c>
      <c r="K146" s="435">
        <v>44469</v>
      </c>
      <c r="L146" s="442" t="s">
        <v>192</v>
      </c>
      <c r="M146" s="433" t="s">
        <v>193</v>
      </c>
      <c r="N146" s="443">
        <v>-1.8E-3</v>
      </c>
      <c r="O146" s="444">
        <v>-1.8E-3</v>
      </c>
      <c r="P146" s="438">
        <f>ABS(N146-O146)</f>
        <v>0</v>
      </c>
      <c r="Q146" s="444">
        <v>-1.8E-3</v>
      </c>
      <c r="R146" s="444">
        <v>-1.8E-3</v>
      </c>
      <c r="S146" s="439">
        <f>ABS(Q146-R146)</f>
        <v>0</v>
      </c>
      <c r="T146" s="444">
        <v>-1.41E-2</v>
      </c>
      <c r="U146" s="444">
        <v>-1.41E-2</v>
      </c>
      <c r="V146" s="439">
        <f>ABS(T146-U146)</f>
        <v>0</v>
      </c>
      <c r="W146" s="440">
        <f>MAX(V146,S146,P146)</f>
        <v>0</v>
      </c>
      <c r="X146" s="538"/>
      <c r="Y146" s="538"/>
      <c r="Z146" s="538"/>
      <c r="AA146" s="538"/>
      <c r="AB146" s="536"/>
      <c r="AC146" s="536"/>
      <c r="AD146" s="536"/>
      <c r="AE146" s="536"/>
      <c r="AF146" s="536"/>
      <c r="AG146" s="536"/>
      <c r="AH146" s="536"/>
      <c r="AI146" s="536"/>
      <c r="AJ146" s="536"/>
      <c r="AK146" s="536"/>
      <c r="AL146" s="536"/>
      <c r="AM146" s="536"/>
      <c r="AN146" s="536"/>
      <c r="AO146" s="536"/>
      <c r="AP146" s="536"/>
      <c r="AQ146" s="537"/>
      <c r="AR146" s="536"/>
      <c r="AS146" s="538"/>
      <c r="AT146" s="536"/>
      <c r="AU146" s="536"/>
      <c r="AV146" s="536"/>
      <c r="AW146" s="536"/>
      <c r="AX146" s="536"/>
      <c r="AY146" s="536"/>
      <c r="AZ146" s="536"/>
      <c r="BA146" s="536"/>
      <c r="BB146" s="536"/>
      <c r="BC146" s="536"/>
      <c r="BD146" s="536"/>
      <c r="BE146" s="536"/>
      <c r="BF146" s="536"/>
    </row>
    <row r="147" spans="1:58" ht="33.950000000000003" customHeight="1" x14ac:dyDescent="0.2">
      <c r="A147" s="578"/>
      <c r="B147" s="1411"/>
      <c r="C147" s="403" t="s">
        <v>194</v>
      </c>
      <c r="D147" s="415" t="s">
        <v>185</v>
      </c>
      <c r="E147" s="415">
        <v>27761</v>
      </c>
      <c r="F147" s="415">
        <v>10.048999999999999</v>
      </c>
      <c r="G147" s="415">
        <v>0.1</v>
      </c>
      <c r="H147" s="415">
        <v>4.9000000000000002E-2</v>
      </c>
      <c r="I147" s="415">
        <v>2.1000000000000001E-2</v>
      </c>
      <c r="J147" s="90">
        <v>2.02</v>
      </c>
      <c r="K147" s="435">
        <v>44693</v>
      </c>
      <c r="L147" s="442" t="s">
        <v>195</v>
      </c>
      <c r="M147" s="433" t="s">
        <v>196</v>
      </c>
      <c r="N147" s="443">
        <v>1.004</v>
      </c>
      <c r="O147" s="445">
        <v>1</v>
      </c>
      <c r="P147" s="438">
        <f>ABS(N147-O147)</f>
        <v>4.0000000000000036E-3</v>
      </c>
      <c r="Q147" s="444">
        <v>5.0309999999999997</v>
      </c>
      <c r="R147" s="444">
        <v>5.01</v>
      </c>
      <c r="S147" s="439">
        <f>ABS(Q147-R147)</f>
        <v>2.0999999999999908E-2</v>
      </c>
      <c r="T147" s="444">
        <v>10.048999999999999</v>
      </c>
      <c r="U147" s="444">
        <v>10.02</v>
      </c>
      <c r="V147" s="439">
        <f>ABS(T147-U147)</f>
        <v>2.8999999999999915E-2</v>
      </c>
      <c r="W147" s="440">
        <f>MAX(V147,S147,P147)</f>
        <v>2.8999999999999915E-2</v>
      </c>
      <c r="X147" s="538"/>
      <c r="Y147" s="538"/>
      <c r="Z147" s="538"/>
      <c r="AA147" s="538"/>
      <c r="AB147" s="536"/>
      <c r="AC147" s="536"/>
      <c r="AD147" s="536"/>
      <c r="AE147" s="536"/>
      <c r="AF147" s="536"/>
      <c r="AG147" s="536"/>
      <c r="AH147" s="536"/>
      <c r="AI147" s="536"/>
      <c r="AJ147" s="536"/>
      <c r="AK147" s="536"/>
      <c r="AL147" s="536"/>
      <c r="AM147" s="536"/>
      <c r="AN147" s="536"/>
      <c r="AO147" s="536"/>
      <c r="AP147" s="536"/>
      <c r="AQ147" s="537"/>
      <c r="AR147" s="536"/>
      <c r="AS147" s="536"/>
      <c r="AT147" s="536"/>
      <c r="AU147" s="536"/>
      <c r="AV147" s="536"/>
      <c r="AW147" s="536"/>
      <c r="AX147" s="536"/>
      <c r="AY147" s="536"/>
      <c r="AZ147" s="536"/>
      <c r="BA147" s="536"/>
      <c r="BB147" s="536"/>
      <c r="BC147" s="536"/>
      <c r="BD147" s="536"/>
      <c r="BE147" s="536"/>
      <c r="BF147" s="536"/>
    </row>
    <row r="148" spans="1:58" ht="33.950000000000003" customHeight="1" thickBot="1" x14ac:dyDescent="0.25">
      <c r="A148" s="578"/>
      <c r="B148" s="1412"/>
      <c r="C148" s="404" t="s">
        <v>197</v>
      </c>
      <c r="D148" s="419" t="s">
        <v>185</v>
      </c>
      <c r="E148" s="419">
        <v>27762</v>
      </c>
      <c r="F148" s="419">
        <v>25.085999999999999</v>
      </c>
      <c r="G148" s="419">
        <v>0.1</v>
      </c>
      <c r="H148" s="419">
        <v>8.5999999999999993E-2</v>
      </c>
      <c r="I148" s="419">
        <v>5.8000000000000003E-2</v>
      </c>
      <c r="J148" s="446">
        <v>2.02</v>
      </c>
      <c r="K148" s="447">
        <v>44691</v>
      </c>
      <c r="L148" s="448" t="s">
        <v>198</v>
      </c>
      <c r="M148" s="434" t="s">
        <v>199</v>
      </c>
      <c r="N148" s="449">
        <v>2.5099999999999998</v>
      </c>
      <c r="O148" s="450">
        <v>2.48</v>
      </c>
      <c r="P148" s="451">
        <f>ABS(N148-O148)</f>
        <v>2.9999999999999805E-2</v>
      </c>
      <c r="Q148" s="452">
        <v>12.564</v>
      </c>
      <c r="R148" s="452">
        <v>12.5</v>
      </c>
      <c r="S148" s="453">
        <f>ABS(Q148-R148)</f>
        <v>6.4000000000000057E-2</v>
      </c>
      <c r="T148" s="452">
        <v>25.085999999999999</v>
      </c>
      <c r="U148" s="452">
        <v>24.8</v>
      </c>
      <c r="V148" s="451">
        <f>T148-U148</f>
        <v>0.28599999999999781</v>
      </c>
      <c r="W148" s="454">
        <f>MAX(V148,S148,P148)</f>
        <v>0.28599999999999781</v>
      </c>
      <c r="X148" s="538"/>
      <c r="Y148" s="538"/>
      <c r="Z148" s="538"/>
      <c r="AA148" s="552"/>
      <c r="AB148" s="536"/>
      <c r="AC148" s="536"/>
      <c r="AD148" s="536"/>
      <c r="AE148" s="536"/>
      <c r="AF148" s="536"/>
      <c r="AG148" s="536"/>
      <c r="AH148" s="536"/>
      <c r="AI148" s="536"/>
      <c r="AJ148" s="536"/>
      <c r="AK148" s="536"/>
      <c r="AL148" s="536"/>
      <c r="AM148" s="536"/>
      <c r="AN148" s="536"/>
      <c r="AO148" s="536"/>
      <c r="AP148" s="536"/>
      <c r="AQ148" s="537"/>
      <c r="AR148" s="536"/>
      <c r="AS148" s="536"/>
      <c r="AT148" s="536"/>
      <c r="AU148" s="536"/>
      <c r="AV148" s="536"/>
      <c r="AW148" s="536"/>
      <c r="AX148" s="536"/>
      <c r="AY148" s="536"/>
      <c r="AZ148" s="536"/>
      <c r="BA148" s="536"/>
      <c r="BB148" s="536"/>
      <c r="BC148" s="536"/>
      <c r="BD148" s="536"/>
      <c r="BE148" s="536"/>
      <c r="BF148" s="536"/>
    </row>
    <row r="149" spans="1:58" ht="33.950000000000003" customHeight="1" x14ac:dyDescent="0.2">
      <c r="A149" s="578"/>
      <c r="B149" s="536"/>
      <c r="C149" s="536"/>
      <c r="D149" s="536"/>
      <c r="E149" s="536"/>
      <c r="F149" s="536"/>
      <c r="G149" s="536"/>
      <c r="H149" s="536"/>
      <c r="I149" s="536"/>
      <c r="J149" s="536"/>
      <c r="K149" s="536"/>
      <c r="L149" s="536"/>
      <c r="M149" s="536"/>
      <c r="N149" s="536"/>
      <c r="O149" s="536"/>
      <c r="P149" s="536"/>
      <c r="Q149" s="536"/>
      <c r="R149" s="536"/>
      <c r="S149" s="536"/>
      <c r="T149" s="538"/>
      <c r="U149" s="538"/>
      <c r="V149" s="538"/>
      <c r="W149" s="538"/>
      <c r="X149" s="538"/>
      <c r="Y149" s="538"/>
      <c r="Z149" s="538"/>
      <c r="AA149" s="552"/>
      <c r="AB149" s="536"/>
      <c r="AC149" s="536"/>
      <c r="AD149" s="536"/>
      <c r="AE149" s="536"/>
      <c r="AF149" s="536"/>
      <c r="AG149" s="536"/>
      <c r="AH149" s="536"/>
      <c r="AI149" s="536"/>
      <c r="AJ149" s="536"/>
      <c r="AK149" s="536"/>
      <c r="AL149" s="536"/>
      <c r="AM149" s="536"/>
      <c r="AN149" s="536"/>
      <c r="AO149" s="536"/>
      <c r="AP149" s="536"/>
      <c r="AQ149" s="537"/>
      <c r="AR149" s="536"/>
      <c r="AS149" s="536"/>
      <c r="AT149" s="536"/>
      <c r="AU149" s="536"/>
      <c r="AV149" s="536"/>
      <c r="AW149" s="536"/>
      <c r="AX149" s="536"/>
      <c r="AY149" s="536"/>
      <c r="AZ149" s="536"/>
      <c r="BA149" s="536"/>
      <c r="BB149" s="536"/>
      <c r="BC149" s="536"/>
      <c r="BD149" s="536"/>
      <c r="BE149" s="536"/>
      <c r="BF149" s="536"/>
    </row>
    <row r="150" spans="1:58" ht="33.950000000000003" customHeight="1" x14ac:dyDescent="0.2">
      <c r="A150" s="578"/>
      <c r="B150" s="536"/>
      <c r="C150" s="536"/>
      <c r="D150" s="536"/>
      <c r="E150" s="536"/>
      <c r="F150" s="536"/>
      <c r="G150" s="536"/>
      <c r="H150" s="536"/>
      <c r="I150" s="536"/>
      <c r="J150" s="536"/>
      <c r="K150" s="536"/>
      <c r="L150" s="536"/>
      <c r="M150" s="536"/>
      <c r="N150" s="536"/>
      <c r="O150" s="536"/>
      <c r="P150" s="536"/>
      <c r="Q150" s="536"/>
      <c r="R150" s="536"/>
      <c r="S150" s="536"/>
      <c r="T150" s="538"/>
      <c r="U150" s="538"/>
      <c r="V150" s="538"/>
      <c r="W150" s="538"/>
      <c r="X150" s="538"/>
      <c r="Y150" s="538"/>
      <c r="Z150" s="538"/>
      <c r="AA150" s="552"/>
      <c r="AB150" s="538"/>
      <c r="AC150" s="536"/>
      <c r="AD150" s="536"/>
      <c r="AE150" s="536"/>
      <c r="AF150" s="536"/>
      <c r="AG150" s="536"/>
      <c r="AH150" s="536"/>
      <c r="AI150" s="536"/>
      <c r="AJ150" s="536"/>
      <c r="AK150" s="536"/>
      <c r="AL150" s="536"/>
      <c r="AM150" s="536"/>
      <c r="AN150" s="536"/>
      <c r="AO150" s="536"/>
      <c r="AP150" s="536"/>
      <c r="AQ150" s="537"/>
      <c r="AR150" s="536"/>
      <c r="AS150" s="536"/>
      <c r="AT150" s="536"/>
      <c r="AU150" s="536"/>
      <c r="AV150" s="536"/>
      <c r="AW150" s="536"/>
      <c r="AX150" s="536"/>
      <c r="AY150" s="536"/>
      <c r="AZ150" s="536"/>
      <c r="BA150" s="536"/>
      <c r="BB150" s="536"/>
      <c r="BC150" s="536"/>
      <c r="BD150" s="536"/>
      <c r="BE150" s="536"/>
      <c r="BF150" s="536"/>
    </row>
    <row r="151" spans="1:58" ht="33.950000000000003" customHeight="1" x14ac:dyDescent="0.2">
      <c r="A151" s="578"/>
      <c r="B151" s="536"/>
      <c r="C151" s="536"/>
      <c r="D151" s="536"/>
      <c r="E151" s="536"/>
      <c r="F151" s="536"/>
      <c r="G151" s="536"/>
      <c r="H151" s="536"/>
      <c r="I151" s="536"/>
      <c r="J151" s="536"/>
      <c r="K151" s="536"/>
      <c r="L151" s="536"/>
      <c r="M151" s="536"/>
      <c r="N151" s="536"/>
      <c r="O151" s="536"/>
      <c r="P151" s="536"/>
      <c r="Q151" s="536"/>
      <c r="R151" s="536"/>
      <c r="S151" s="536"/>
      <c r="T151" s="538"/>
      <c r="U151" s="538"/>
      <c r="V151" s="538"/>
      <c r="W151" s="538"/>
      <c r="X151" s="538"/>
      <c r="Y151" s="538"/>
      <c r="Z151" s="538"/>
      <c r="AA151" s="552"/>
      <c r="AB151" s="538"/>
      <c r="AC151" s="536"/>
      <c r="AD151" s="536"/>
      <c r="AE151" s="536"/>
      <c r="AF151" s="536"/>
      <c r="AG151" s="536"/>
      <c r="AH151" s="536"/>
      <c r="AI151" s="536"/>
      <c r="AJ151" s="536"/>
      <c r="AK151" s="536"/>
      <c r="AL151" s="536"/>
      <c r="AM151" s="536"/>
      <c r="AN151" s="536"/>
      <c r="AO151" s="536"/>
      <c r="AP151" s="536"/>
      <c r="AQ151" s="537"/>
      <c r="AR151" s="536"/>
      <c r="AS151" s="536"/>
      <c r="AT151" s="536"/>
      <c r="AU151" s="536"/>
      <c r="AV151" s="536"/>
      <c r="AW151" s="536"/>
      <c r="AX151" s="536"/>
      <c r="AY151" s="536"/>
      <c r="AZ151" s="536"/>
      <c r="BA151" s="536"/>
      <c r="BB151" s="536"/>
      <c r="BC151" s="536"/>
      <c r="BD151" s="536"/>
      <c r="BE151" s="536"/>
      <c r="BF151" s="536"/>
    </row>
    <row r="152" spans="1:58" ht="33.950000000000003" customHeight="1" thickBot="1" x14ac:dyDescent="0.25">
      <c r="A152" s="578"/>
      <c r="B152" s="536"/>
      <c r="C152" s="536"/>
      <c r="D152" s="536"/>
      <c r="E152" s="536"/>
      <c r="F152" s="536"/>
      <c r="G152" s="536"/>
      <c r="H152" s="536"/>
      <c r="I152" s="536"/>
      <c r="J152" s="536"/>
      <c r="K152" s="537"/>
      <c r="L152" s="536"/>
      <c r="M152" s="536"/>
      <c r="N152" s="536"/>
      <c r="O152" s="552"/>
      <c r="P152" s="536"/>
      <c r="Q152" s="536"/>
      <c r="R152" s="536"/>
      <c r="S152" s="536"/>
      <c r="T152" s="552"/>
      <c r="U152" s="552"/>
      <c r="V152" s="552"/>
      <c r="W152" s="538"/>
      <c r="X152" s="538"/>
      <c r="Y152" s="538"/>
      <c r="Z152" s="538"/>
      <c r="AA152" s="552"/>
      <c r="AB152" s="538"/>
      <c r="AC152" s="536"/>
      <c r="AD152" s="536"/>
      <c r="AE152" s="536"/>
      <c r="AF152" s="536"/>
      <c r="AG152" s="536"/>
      <c r="AH152" s="536"/>
      <c r="AI152" s="536"/>
      <c r="AJ152" s="536"/>
      <c r="AK152" s="536"/>
      <c r="AL152" s="536"/>
      <c r="AM152" s="536"/>
      <c r="AN152" s="536"/>
      <c r="AO152" s="536"/>
      <c r="AP152" s="536"/>
      <c r="AQ152" s="537"/>
      <c r="AR152" s="536"/>
      <c r="AS152" s="536"/>
      <c r="AT152" s="536"/>
      <c r="AU152" s="536"/>
      <c r="AV152" s="536"/>
      <c r="AW152" s="536"/>
      <c r="AX152" s="536"/>
      <c r="AY152" s="536"/>
      <c r="AZ152" s="536"/>
      <c r="BA152" s="536"/>
      <c r="BB152" s="536"/>
      <c r="BC152" s="536"/>
      <c r="BD152" s="536"/>
      <c r="BE152" s="536"/>
      <c r="BF152" s="536"/>
    </row>
    <row r="153" spans="1:58" ht="35.1" customHeight="1" thickBot="1" x14ac:dyDescent="0.25">
      <c r="A153" s="578"/>
      <c r="B153" s="1214" t="s">
        <v>173</v>
      </c>
      <c r="C153" s="1217"/>
      <c r="D153" s="1215"/>
      <c r="E153" s="1215"/>
      <c r="F153" s="1215"/>
      <c r="G153" s="1215"/>
      <c r="H153" s="1215"/>
      <c r="I153" s="1215"/>
      <c r="J153" s="1215"/>
      <c r="K153" s="1215"/>
      <c r="L153" s="1215"/>
      <c r="M153" s="1215"/>
      <c r="N153" s="1215"/>
      <c r="O153" s="1215"/>
      <c r="P153" s="1215"/>
      <c r="Q153" s="1215"/>
      <c r="R153" s="1215"/>
      <c r="S153" s="1215"/>
      <c r="T153" s="1215"/>
      <c r="U153" s="1215"/>
      <c r="V153" s="1215"/>
      <c r="W153" s="1215"/>
      <c r="X153" s="1215"/>
      <c r="Y153" s="1215"/>
      <c r="Z153" s="1215"/>
      <c r="AA153" s="1216"/>
      <c r="AB153" s="538"/>
      <c r="AC153" s="536"/>
      <c r="AD153" s="536"/>
      <c r="AE153" s="536"/>
      <c r="AF153" s="536"/>
      <c r="AG153" s="536"/>
      <c r="AH153" s="536"/>
      <c r="AI153" s="536"/>
      <c r="AJ153" s="536"/>
      <c r="AK153" s="536"/>
      <c r="AL153" s="536"/>
      <c r="AM153" s="536"/>
      <c r="AN153" s="536"/>
      <c r="AO153" s="536"/>
      <c r="AP153" s="536"/>
      <c r="AQ153" s="537"/>
      <c r="AR153" s="536"/>
      <c r="AS153" s="536"/>
      <c r="AT153" s="536"/>
      <c r="AU153" s="536"/>
      <c r="AV153" s="536"/>
      <c r="AW153" s="536"/>
      <c r="AX153" s="536"/>
      <c r="AY153" s="536"/>
      <c r="AZ153" s="536"/>
      <c r="BA153" s="536"/>
      <c r="BB153" s="536"/>
      <c r="BC153" s="536"/>
      <c r="BD153" s="536"/>
      <c r="BE153" s="536"/>
      <c r="BF153" s="536"/>
    </row>
    <row r="154" spans="1:58" ht="52.5" customHeight="1" thickBot="1" x14ac:dyDescent="0.25">
      <c r="A154" s="578"/>
      <c r="B154" s="1409" t="s">
        <v>200</v>
      </c>
      <c r="C154" s="706"/>
      <c r="D154" s="57" t="s">
        <v>23</v>
      </c>
      <c r="E154" s="37" t="s">
        <v>201</v>
      </c>
      <c r="F154" s="133" t="s">
        <v>74</v>
      </c>
      <c r="G154" s="37" t="s">
        <v>64</v>
      </c>
      <c r="H154" s="37" t="s">
        <v>65</v>
      </c>
      <c r="I154" s="37" t="s">
        <v>66</v>
      </c>
      <c r="J154" s="37" t="s">
        <v>67</v>
      </c>
      <c r="K154" s="152" t="s">
        <v>68</v>
      </c>
      <c r="L154" s="37" t="s">
        <v>175</v>
      </c>
      <c r="M154" s="37" t="s">
        <v>176</v>
      </c>
      <c r="N154" s="1405" t="s">
        <v>202</v>
      </c>
      <c r="O154" s="1405"/>
      <c r="P154" s="37" t="s">
        <v>203</v>
      </c>
      <c r="Q154" s="37" t="s">
        <v>204</v>
      </c>
      <c r="R154" s="37" t="s">
        <v>177</v>
      </c>
      <c r="S154" s="37" t="s">
        <v>178</v>
      </c>
      <c r="T154" s="51" t="s">
        <v>72</v>
      </c>
      <c r="U154" s="37" t="s">
        <v>179</v>
      </c>
      <c r="V154" s="37" t="s">
        <v>180</v>
      </c>
      <c r="W154" s="51" t="s">
        <v>72</v>
      </c>
      <c r="X154" s="37" t="s">
        <v>181</v>
      </c>
      <c r="Y154" s="37" t="s">
        <v>182</v>
      </c>
      <c r="Z154" s="51" t="s">
        <v>72</v>
      </c>
      <c r="AA154" s="38" t="s">
        <v>183</v>
      </c>
      <c r="AB154" s="538"/>
      <c r="AC154" s="536"/>
      <c r="AD154" s="536"/>
      <c r="AE154" s="536"/>
      <c r="AF154" s="536"/>
      <c r="AG154" s="536"/>
      <c r="AH154" s="536"/>
      <c r="AI154" s="536"/>
      <c r="AJ154" s="536"/>
      <c r="AK154" s="536"/>
      <c r="AL154" s="536"/>
      <c r="AM154" s="536"/>
      <c r="AN154" s="536"/>
      <c r="AO154" s="536"/>
      <c r="AP154" s="536"/>
      <c r="AQ154" s="537"/>
      <c r="AR154" s="536"/>
      <c r="AS154" s="536"/>
      <c r="AT154" s="536"/>
      <c r="AU154" s="536"/>
      <c r="AV154" s="536"/>
      <c r="AW154" s="536"/>
      <c r="AX154" s="536"/>
      <c r="AY154" s="536"/>
      <c r="AZ154" s="536"/>
      <c r="BA154" s="536"/>
      <c r="BB154" s="536"/>
      <c r="BC154" s="536"/>
      <c r="BD154" s="536"/>
      <c r="BE154" s="536"/>
      <c r="BF154" s="536"/>
    </row>
    <row r="155" spans="1:58" ht="35.1" customHeight="1" thickBot="1" x14ac:dyDescent="0.25">
      <c r="A155" s="536"/>
      <c r="B155" s="1410"/>
      <c r="C155" s="706"/>
      <c r="D155" s="536"/>
      <c r="E155" s="538"/>
      <c r="F155" s="538"/>
      <c r="G155" s="538"/>
      <c r="H155" s="538"/>
      <c r="I155" s="538"/>
      <c r="J155" s="538"/>
      <c r="K155" s="614"/>
      <c r="L155" s="536"/>
      <c r="M155" s="614"/>
      <c r="N155" s="552"/>
      <c r="O155" s="538"/>
      <c r="P155" s="538"/>
      <c r="Q155" s="552"/>
      <c r="R155" s="536"/>
      <c r="S155" s="552"/>
      <c r="T155" s="536"/>
      <c r="U155" s="536"/>
      <c r="V155" s="536"/>
      <c r="W155" s="536"/>
      <c r="X155" s="538"/>
      <c r="Y155" s="538"/>
      <c r="Z155" s="538"/>
      <c r="AA155" s="710"/>
      <c r="AB155" s="538"/>
      <c r="AC155" s="536"/>
      <c r="AD155" s="536"/>
      <c r="AE155" s="536"/>
      <c r="AF155" s="536"/>
      <c r="AG155" s="536"/>
      <c r="AH155" s="536"/>
      <c r="AI155" s="536"/>
      <c r="AJ155" s="536"/>
      <c r="AK155" s="536"/>
      <c r="AL155" s="536"/>
      <c r="AM155" s="536"/>
      <c r="AN155" s="536"/>
      <c r="AO155" s="536"/>
      <c r="AP155" s="536"/>
      <c r="AQ155" s="537"/>
      <c r="AR155" s="536"/>
      <c r="AS155" s="536"/>
      <c r="AT155" s="536"/>
      <c r="AU155" s="536"/>
      <c r="AV155" s="536"/>
      <c r="AW155" s="536"/>
      <c r="AX155" s="536"/>
      <c r="AY155" s="536"/>
      <c r="AZ155" s="536"/>
      <c r="BA155" s="536"/>
      <c r="BB155" s="536"/>
      <c r="BC155" s="536"/>
      <c r="BD155" s="536"/>
      <c r="BE155" s="536"/>
      <c r="BF155" s="536"/>
    </row>
    <row r="156" spans="1:58" ht="35.1" customHeight="1" x14ac:dyDescent="0.2">
      <c r="A156" s="536"/>
      <c r="B156" s="1411"/>
      <c r="C156" s="402" t="s">
        <v>205</v>
      </c>
      <c r="D156" s="412" t="s">
        <v>206</v>
      </c>
      <c r="E156" s="412" t="s">
        <v>207</v>
      </c>
      <c r="F156" s="412" t="s">
        <v>208</v>
      </c>
      <c r="G156" s="455">
        <v>1</v>
      </c>
      <c r="H156" s="412">
        <v>-0.69</v>
      </c>
      <c r="I156" s="198">
        <v>0.15</v>
      </c>
      <c r="J156" s="198">
        <v>2.02</v>
      </c>
      <c r="K156" s="456">
        <v>44582</v>
      </c>
      <c r="L156" s="457" t="s">
        <v>209</v>
      </c>
      <c r="M156" s="412" t="s">
        <v>210</v>
      </c>
      <c r="N156" s="412">
        <v>10</v>
      </c>
      <c r="O156" s="412">
        <v>100</v>
      </c>
      <c r="P156" s="412">
        <v>11.59</v>
      </c>
      <c r="Q156" s="412">
        <v>100.69</v>
      </c>
      <c r="R156" s="437">
        <v>11.59</v>
      </c>
      <c r="S156" s="437">
        <v>10.3</v>
      </c>
      <c r="T156" s="458">
        <f>ABS(R156-S156)</f>
        <v>1.2899999999999991</v>
      </c>
      <c r="U156" s="437">
        <v>51.11</v>
      </c>
      <c r="V156" s="437">
        <v>50.16</v>
      </c>
      <c r="W156" s="458">
        <f>ABS(U156-V156)</f>
        <v>0.95000000000000284</v>
      </c>
      <c r="X156" s="437">
        <v>100.69</v>
      </c>
      <c r="Y156" s="437">
        <v>100.24</v>
      </c>
      <c r="Z156" s="458">
        <f>ABS(X156-Y156)</f>
        <v>0.45000000000000284</v>
      </c>
      <c r="AA156" s="459">
        <f>ABS(MAX(T156,W156,Z156))</f>
        <v>1.2899999999999991</v>
      </c>
      <c r="AB156" s="538"/>
      <c r="AC156" s="536"/>
      <c r="AD156" s="536"/>
      <c r="AE156" s="536"/>
      <c r="AF156" s="536"/>
      <c r="AG156" s="536"/>
      <c r="AH156" s="536"/>
      <c r="AI156" s="536"/>
      <c r="AJ156" s="536"/>
      <c r="AK156" s="536"/>
      <c r="AL156" s="536"/>
      <c r="AM156" s="536"/>
      <c r="AN156" s="536"/>
      <c r="AO156" s="536"/>
      <c r="AP156" s="536"/>
      <c r="AQ156" s="537"/>
      <c r="AR156" s="536"/>
      <c r="AS156" s="536"/>
      <c r="AT156" s="536"/>
      <c r="AU156" s="536"/>
      <c r="AV156" s="536"/>
      <c r="AW156" s="536"/>
      <c r="AX156" s="536"/>
      <c r="AY156" s="536"/>
      <c r="AZ156" s="536"/>
      <c r="BA156" s="536"/>
      <c r="BB156" s="536"/>
      <c r="BC156" s="536"/>
      <c r="BD156" s="536"/>
      <c r="BE156" s="536"/>
      <c r="BF156" s="536"/>
    </row>
    <row r="157" spans="1:58" ht="51.75" customHeight="1" x14ac:dyDescent="0.2">
      <c r="A157" s="536"/>
      <c r="B157" s="1411"/>
      <c r="C157" s="403" t="s">
        <v>211</v>
      </c>
      <c r="D157" s="415" t="s">
        <v>185</v>
      </c>
      <c r="E157" s="415">
        <v>27755</v>
      </c>
      <c r="F157" s="90">
        <v>499.6</v>
      </c>
      <c r="G157" s="441">
        <v>5</v>
      </c>
      <c r="H157" s="90">
        <v>0.4</v>
      </c>
      <c r="I157" s="415">
        <v>0.78</v>
      </c>
      <c r="J157" s="441">
        <v>2.02</v>
      </c>
      <c r="K157" s="435">
        <v>44656</v>
      </c>
      <c r="L157" s="415" t="s">
        <v>212</v>
      </c>
      <c r="M157" s="415" t="s">
        <v>213</v>
      </c>
      <c r="N157" s="415">
        <v>50</v>
      </c>
      <c r="O157" s="415">
        <v>500</v>
      </c>
      <c r="P157" s="415">
        <v>49.29</v>
      </c>
      <c r="Q157" s="90">
        <v>499.6</v>
      </c>
      <c r="R157" s="444">
        <v>49.29</v>
      </c>
      <c r="S157" s="444">
        <v>50.14</v>
      </c>
      <c r="T157" s="460">
        <f t="shared" ref="T157:T161" si="3">ABS(R157-S157)</f>
        <v>0.85000000000000142</v>
      </c>
      <c r="U157" s="444">
        <v>249.63</v>
      </c>
      <c r="V157" s="444">
        <v>249.77</v>
      </c>
      <c r="W157" s="460">
        <f>ABS(U157-V157)</f>
        <v>0.14000000000001478</v>
      </c>
      <c r="X157" s="445">
        <v>499.6</v>
      </c>
      <c r="Y157" s="444">
        <v>500.66699999999997</v>
      </c>
      <c r="Z157" s="460">
        <f t="shared" ref="Z157:Z161" si="4">ABS(X157-Y157)</f>
        <v>1.0669999999999504</v>
      </c>
      <c r="AA157" s="461">
        <f t="shared" ref="AA157:AA161" si="5">ABS(MAX(T157,W157,Z157))</f>
        <v>1.0669999999999504</v>
      </c>
      <c r="AB157" s="538"/>
      <c r="AC157" s="536"/>
      <c r="AD157" s="536"/>
      <c r="AE157" s="536"/>
      <c r="AF157" s="536"/>
      <c r="AG157" s="536"/>
      <c r="AH157" s="536"/>
      <c r="AI157" s="536"/>
      <c r="AJ157" s="536"/>
      <c r="AK157" s="536"/>
      <c r="AL157" s="536"/>
      <c r="AM157" s="536"/>
      <c r="AN157" s="536"/>
      <c r="AO157" s="536"/>
      <c r="AP157" s="536"/>
      <c r="AQ157" s="537"/>
      <c r="AR157" s="536"/>
      <c r="AS157" s="536"/>
      <c r="AT157" s="536"/>
      <c r="AU157" s="536"/>
      <c r="AV157" s="536"/>
      <c r="AW157" s="536"/>
      <c r="AX157" s="536"/>
      <c r="AY157" s="536"/>
      <c r="AZ157" s="536"/>
      <c r="BA157" s="536"/>
      <c r="BB157" s="536"/>
      <c r="BC157" s="536"/>
      <c r="BD157" s="536"/>
      <c r="BE157" s="536"/>
      <c r="BF157" s="536"/>
    </row>
    <row r="158" spans="1:58" ht="35.1" customHeight="1" x14ac:dyDescent="0.2">
      <c r="A158" s="536"/>
      <c r="B158" s="1411"/>
      <c r="C158" s="403" t="s">
        <v>214</v>
      </c>
      <c r="D158" s="415" t="s">
        <v>206</v>
      </c>
      <c r="E158" s="415" t="s">
        <v>207</v>
      </c>
      <c r="F158" s="415">
        <v>99.31</v>
      </c>
      <c r="G158" s="441">
        <v>1</v>
      </c>
      <c r="H158" s="415">
        <v>0.69</v>
      </c>
      <c r="I158" s="415">
        <v>9.5000000000000001E-2</v>
      </c>
      <c r="J158" s="415">
        <v>2.02</v>
      </c>
      <c r="K158" s="435">
        <v>42534</v>
      </c>
      <c r="L158" s="415" t="s">
        <v>215</v>
      </c>
      <c r="M158" s="415" t="s">
        <v>210</v>
      </c>
      <c r="N158" s="415">
        <v>10</v>
      </c>
      <c r="O158" s="415">
        <v>100</v>
      </c>
      <c r="P158" s="415">
        <v>19.510000000000002</v>
      </c>
      <c r="Q158" s="415">
        <v>99.31</v>
      </c>
      <c r="R158" s="445">
        <v>19.510000000000002</v>
      </c>
      <c r="S158" s="444">
        <v>19.510000000000002</v>
      </c>
      <c r="T158" s="460">
        <f t="shared" si="3"/>
        <v>0</v>
      </c>
      <c r="U158" s="444">
        <v>39.299999999999997</v>
      </c>
      <c r="V158" s="444">
        <v>39.299999999999997</v>
      </c>
      <c r="W158" s="460">
        <f>ABS(U158-V158)</f>
        <v>0</v>
      </c>
      <c r="X158" s="444">
        <v>99.31</v>
      </c>
      <c r="Y158" s="444">
        <v>99.31</v>
      </c>
      <c r="Z158" s="460">
        <f t="shared" si="4"/>
        <v>0</v>
      </c>
      <c r="AA158" s="461">
        <f>ABS(MAX(T158,W158,Z158))</f>
        <v>0</v>
      </c>
      <c r="AB158" s="538"/>
      <c r="AC158" s="536"/>
      <c r="AD158" s="536"/>
      <c r="AE158" s="536"/>
      <c r="AF158" s="536"/>
      <c r="AG158" s="536"/>
      <c r="AH158" s="536"/>
      <c r="AI158" s="536"/>
      <c r="AJ158" s="536"/>
      <c r="AK158" s="536"/>
      <c r="AL158" s="536"/>
      <c r="AM158" s="536"/>
      <c r="AN158" s="536"/>
      <c r="AO158" s="536"/>
      <c r="AP158" s="536"/>
      <c r="AQ158" s="537"/>
      <c r="AR158" s="536"/>
      <c r="AS158" s="536"/>
      <c r="AT158" s="536"/>
      <c r="AU158" s="536"/>
      <c r="AV158" s="536"/>
      <c r="AW158" s="536"/>
      <c r="AX158" s="536"/>
      <c r="AY158" s="536"/>
      <c r="AZ158" s="536"/>
      <c r="BA158" s="536"/>
      <c r="BB158" s="536"/>
      <c r="BC158" s="536"/>
      <c r="BD158" s="536"/>
      <c r="BE158" s="536"/>
      <c r="BF158" s="536"/>
    </row>
    <row r="159" spans="1:58" ht="45.95" customHeight="1" x14ac:dyDescent="0.2">
      <c r="A159" s="536"/>
      <c r="B159" s="1411"/>
      <c r="C159" s="403" t="s">
        <v>216</v>
      </c>
      <c r="D159" s="415" t="s">
        <v>185</v>
      </c>
      <c r="E159" s="415">
        <v>27757</v>
      </c>
      <c r="F159" s="90">
        <v>499.7</v>
      </c>
      <c r="G159" s="441">
        <v>5</v>
      </c>
      <c r="H159" s="90">
        <v>0.3</v>
      </c>
      <c r="I159" s="415">
        <v>0.77</v>
      </c>
      <c r="J159" s="441">
        <v>2.02</v>
      </c>
      <c r="K159" s="435">
        <v>44655</v>
      </c>
      <c r="L159" s="415" t="s">
        <v>217</v>
      </c>
      <c r="M159" s="415" t="s">
        <v>213</v>
      </c>
      <c r="N159" s="415">
        <v>50</v>
      </c>
      <c r="O159" s="415">
        <v>500</v>
      </c>
      <c r="P159" s="90">
        <v>50.07</v>
      </c>
      <c r="Q159" s="90">
        <v>499.7</v>
      </c>
      <c r="R159" s="444">
        <v>50.07</v>
      </c>
      <c r="S159" s="444">
        <v>50.7</v>
      </c>
      <c r="T159" s="460">
        <f t="shared" si="3"/>
        <v>0.63000000000000256</v>
      </c>
      <c r="U159" s="444">
        <v>250.08</v>
      </c>
      <c r="V159" s="444">
        <v>250.64</v>
      </c>
      <c r="W159" s="460">
        <f t="shared" ref="W159:W161" si="6">ABS(U159-V159)</f>
        <v>0.55999999999997385</v>
      </c>
      <c r="X159" s="445">
        <v>499.7</v>
      </c>
      <c r="Y159" s="444">
        <v>499.20800000000003</v>
      </c>
      <c r="Z159" s="460">
        <f t="shared" si="4"/>
        <v>0.4919999999999618</v>
      </c>
      <c r="AA159" s="461">
        <f t="shared" si="5"/>
        <v>0.63000000000000256</v>
      </c>
      <c r="AB159" s="538"/>
      <c r="AC159" s="536"/>
      <c r="AD159" s="536"/>
      <c r="AE159" s="536"/>
      <c r="AF159" s="536"/>
      <c r="AG159" s="536"/>
      <c r="AH159" s="536"/>
      <c r="AI159" s="536"/>
      <c r="AJ159" s="536"/>
      <c r="AK159" s="536"/>
      <c r="AL159" s="536"/>
      <c r="AM159" s="536"/>
      <c r="AN159" s="536"/>
      <c r="AO159" s="536"/>
      <c r="AP159" s="536"/>
      <c r="AQ159" s="537"/>
      <c r="AR159" s="536"/>
      <c r="AS159" s="536"/>
      <c r="AT159" s="536"/>
      <c r="AU159" s="536"/>
      <c r="AV159" s="536"/>
      <c r="AW159" s="536"/>
      <c r="AX159" s="536"/>
      <c r="AY159" s="536"/>
      <c r="AZ159" s="536"/>
      <c r="BA159" s="536"/>
      <c r="BB159" s="536"/>
      <c r="BC159" s="536"/>
      <c r="BD159" s="536"/>
      <c r="BE159" s="536"/>
      <c r="BF159" s="536"/>
    </row>
    <row r="160" spans="1:58" ht="45.95" customHeight="1" x14ac:dyDescent="0.2">
      <c r="A160" s="536"/>
      <c r="B160" s="1411"/>
      <c r="C160" s="403" t="s">
        <v>218</v>
      </c>
      <c r="D160" s="415" t="s">
        <v>185</v>
      </c>
      <c r="E160" s="415">
        <v>27758</v>
      </c>
      <c r="F160" s="90">
        <v>499.9</v>
      </c>
      <c r="G160" s="441">
        <v>5</v>
      </c>
      <c r="H160" s="90">
        <v>0.1</v>
      </c>
      <c r="I160" s="415">
        <v>0.78</v>
      </c>
      <c r="J160" s="415">
        <v>2.02</v>
      </c>
      <c r="K160" s="435">
        <v>44649</v>
      </c>
      <c r="L160" s="415" t="s">
        <v>219</v>
      </c>
      <c r="M160" s="415" t="s">
        <v>213</v>
      </c>
      <c r="N160" s="415">
        <v>50</v>
      </c>
      <c r="O160" s="415">
        <v>500</v>
      </c>
      <c r="P160" s="415">
        <v>49.37</v>
      </c>
      <c r="Q160" s="90">
        <v>499.9</v>
      </c>
      <c r="R160" s="444">
        <v>49.37</v>
      </c>
      <c r="S160" s="444">
        <v>49.37</v>
      </c>
      <c r="T160" s="460">
        <f t="shared" si="3"/>
        <v>0</v>
      </c>
      <c r="U160" s="444">
        <v>249.77</v>
      </c>
      <c r="V160" s="444">
        <v>249.77</v>
      </c>
      <c r="W160" s="460">
        <f t="shared" si="6"/>
        <v>0</v>
      </c>
      <c r="X160" s="444">
        <v>499.9</v>
      </c>
      <c r="Y160" s="444">
        <v>500.34800000000001</v>
      </c>
      <c r="Z160" s="460">
        <f t="shared" si="4"/>
        <v>0.44800000000003593</v>
      </c>
      <c r="AA160" s="461">
        <f>ABS(MAX(T160,W160,Z160))</f>
        <v>0.44800000000003593</v>
      </c>
      <c r="AB160" s="538"/>
      <c r="AC160" s="536"/>
      <c r="AD160" s="536"/>
      <c r="AE160" s="536"/>
      <c r="AF160" s="536"/>
      <c r="AG160" s="536"/>
      <c r="AH160" s="536"/>
      <c r="AI160" s="536"/>
      <c r="AJ160" s="536"/>
      <c r="AK160" s="536"/>
      <c r="AL160" s="536"/>
      <c r="AM160" s="536"/>
      <c r="AN160" s="536"/>
      <c r="AO160" s="536"/>
      <c r="AP160" s="536"/>
      <c r="AQ160" s="537"/>
      <c r="AR160" s="536"/>
      <c r="AS160" s="536"/>
      <c r="AT160" s="536"/>
      <c r="AU160" s="536"/>
      <c r="AV160" s="536"/>
      <c r="AW160" s="536"/>
      <c r="AX160" s="536"/>
      <c r="AY160" s="536"/>
      <c r="AZ160" s="536"/>
      <c r="BA160" s="536"/>
      <c r="BB160" s="536"/>
      <c r="BC160" s="536"/>
      <c r="BD160" s="536"/>
      <c r="BE160" s="536"/>
      <c r="BF160" s="536"/>
    </row>
    <row r="161" spans="2:27" ht="45.95" customHeight="1" thickBot="1" x14ac:dyDescent="0.25">
      <c r="B161" s="1412"/>
      <c r="C161" s="404" t="s">
        <v>220</v>
      </c>
      <c r="D161" s="419" t="s">
        <v>185</v>
      </c>
      <c r="E161" s="419">
        <v>27759</v>
      </c>
      <c r="F161" s="419">
        <v>1000</v>
      </c>
      <c r="G161" s="462">
        <v>10</v>
      </c>
      <c r="H161" s="419">
        <v>0</v>
      </c>
      <c r="I161" s="419">
        <v>1.3</v>
      </c>
      <c r="J161" s="419">
        <v>2.02</v>
      </c>
      <c r="K161" s="447">
        <v>44659</v>
      </c>
      <c r="L161" s="419" t="s">
        <v>221</v>
      </c>
      <c r="M161" s="419" t="s">
        <v>222</v>
      </c>
      <c r="N161" s="419">
        <v>100</v>
      </c>
      <c r="O161" s="419">
        <v>1000</v>
      </c>
      <c r="P161" s="419">
        <v>99.8</v>
      </c>
      <c r="Q161" s="419">
        <v>1000</v>
      </c>
      <c r="R161" s="452">
        <v>99.8</v>
      </c>
      <c r="S161" s="452">
        <v>99.8</v>
      </c>
      <c r="T161" s="463">
        <f t="shared" si="3"/>
        <v>0</v>
      </c>
      <c r="U161" s="452">
        <v>500.7</v>
      </c>
      <c r="V161" s="452">
        <v>500.7</v>
      </c>
      <c r="W161" s="463">
        <f t="shared" si="6"/>
        <v>0</v>
      </c>
      <c r="X161" s="452">
        <v>1000</v>
      </c>
      <c r="Y161" s="452">
        <v>1000.625</v>
      </c>
      <c r="Z161" s="463">
        <f t="shared" si="4"/>
        <v>0.625</v>
      </c>
      <c r="AA161" s="464">
        <f t="shared" si="5"/>
        <v>0.625</v>
      </c>
    </row>
    <row r="162" spans="2:27" ht="45.95" customHeight="1" x14ac:dyDescent="0.2">
      <c r="B162" s="536"/>
      <c r="C162" s="536"/>
      <c r="D162" s="536"/>
      <c r="E162" s="536"/>
      <c r="F162" s="536"/>
      <c r="G162" s="536"/>
      <c r="H162" s="536"/>
      <c r="I162" s="536"/>
      <c r="J162" s="536"/>
      <c r="K162" s="536"/>
      <c r="L162" s="536"/>
      <c r="M162" s="536"/>
      <c r="N162" s="536"/>
      <c r="O162" s="536"/>
      <c r="P162" s="536"/>
      <c r="Q162" s="536"/>
      <c r="R162" s="536"/>
      <c r="S162" s="536"/>
      <c r="T162" s="538"/>
      <c r="U162" s="538"/>
      <c r="V162" s="538"/>
      <c r="W162" s="552"/>
      <c r="X162" s="552"/>
      <c r="Y162" s="552"/>
      <c r="Z162" s="552"/>
      <c r="AA162" s="552"/>
    </row>
    <row r="163" spans="2:27" ht="45.95" customHeight="1" x14ac:dyDescent="0.2">
      <c r="B163" s="536"/>
      <c r="C163" s="536"/>
      <c r="D163" s="536"/>
      <c r="E163" s="536"/>
      <c r="F163" s="536"/>
      <c r="G163" s="536"/>
      <c r="H163" s="536"/>
      <c r="I163" s="536"/>
      <c r="J163" s="536"/>
      <c r="K163" s="536"/>
      <c r="L163" s="536"/>
      <c r="M163" s="536"/>
      <c r="N163" s="536"/>
      <c r="O163" s="536"/>
      <c r="P163" s="536"/>
      <c r="Q163" s="536"/>
      <c r="R163" s="536"/>
      <c r="S163" s="536"/>
      <c r="T163" s="538"/>
      <c r="U163" s="538"/>
      <c r="V163" s="538"/>
      <c r="W163" s="538"/>
      <c r="X163" s="538"/>
      <c r="Y163" s="538"/>
      <c r="Z163" s="538"/>
      <c r="AA163" s="538"/>
    </row>
    <row r="164" spans="2:27" ht="35.1" customHeight="1" thickBot="1" x14ac:dyDescent="0.25">
      <c r="B164" s="536"/>
      <c r="C164" s="536"/>
      <c r="D164" s="536"/>
      <c r="E164" s="536"/>
      <c r="F164" s="536"/>
      <c r="G164" s="536"/>
      <c r="H164" s="536"/>
      <c r="I164" s="536"/>
      <c r="J164" s="536"/>
      <c r="K164" s="536"/>
      <c r="L164" s="536"/>
      <c r="M164" s="536"/>
      <c r="N164" s="536"/>
      <c r="O164" s="536"/>
      <c r="P164" s="536"/>
      <c r="Q164" s="536"/>
      <c r="R164" s="536"/>
      <c r="S164" s="536"/>
      <c r="T164" s="538"/>
      <c r="U164" s="538"/>
      <c r="V164" s="538"/>
      <c r="W164" s="538"/>
      <c r="X164" s="538"/>
      <c r="Y164" s="538"/>
      <c r="Z164" s="538"/>
      <c r="AA164" s="538"/>
    </row>
    <row r="165" spans="2:27" ht="35.1" customHeight="1" thickBot="1" x14ac:dyDescent="0.25">
      <c r="B165" s="1350" t="s">
        <v>223</v>
      </c>
      <c r="C165" s="1351"/>
      <c r="D165" s="1353"/>
      <c r="E165" s="1353"/>
      <c r="F165" s="1353"/>
      <c r="G165" s="1353"/>
      <c r="H165" s="1353"/>
      <c r="I165" s="1353"/>
      <c r="J165" s="1353"/>
      <c r="K165" s="1353"/>
      <c r="L165" s="1354"/>
      <c r="M165" s="536"/>
      <c r="N165" s="536"/>
      <c r="O165" s="536"/>
      <c r="P165" s="536"/>
      <c r="Q165" s="536"/>
      <c r="R165" s="536"/>
      <c r="S165" s="536"/>
      <c r="T165" s="538"/>
      <c r="U165" s="538"/>
      <c r="V165" s="538"/>
      <c r="W165" s="538"/>
      <c r="X165" s="538"/>
      <c r="Y165" s="538"/>
      <c r="Z165" s="538"/>
      <c r="AA165" s="538"/>
    </row>
    <row r="166" spans="2:27" ht="46.5" customHeight="1" thickBot="1" x14ac:dyDescent="0.25">
      <c r="B166" s="1399" t="s">
        <v>224</v>
      </c>
      <c r="C166" s="707"/>
      <c r="D166" s="57" t="s">
        <v>23</v>
      </c>
      <c r="E166" s="37" t="s">
        <v>62</v>
      </c>
      <c r="F166" s="133" t="s">
        <v>74</v>
      </c>
      <c r="G166" s="37" t="s">
        <v>64</v>
      </c>
      <c r="H166" s="37" t="s">
        <v>65</v>
      </c>
      <c r="I166" s="37" t="s">
        <v>66</v>
      </c>
      <c r="J166" s="37" t="s">
        <v>67</v>
      </c>
      <c r="K166" s="152" t="s">
        <v>68</v>
      </c>
      <c r="L166" s="38" t="s">
        <v>175</v>
      </c>
      <c r="M166" s="536"/>
      <c r="N166" s="536"/>
      <c r="O166" s="536"/>
      <c r="P166" s="536"/>
      <c r="Q166" s="536"/>
      <c r="R166" s="536"/>
      <c r="S166" s="536"/>
      <c r="T166" s="538"/>
      <c r="U166" s="538"/>
      <c r="V166" s="538"/>
      <c r="W166" s="538"/>
      <c r="X166" s="538"/>
      <c r="Y166" s="538"/>
      <c r="Z166" s="538"/>
      <c r="AA166" s="538"/>
    </row>
    <row r="167" spans="2:27" ht="35.1" customHeight="1" thickBot="1" x14ac:dyDescent="0.25">
      <c r="B167" s="1229"/>
      <c r="C167" s="707"/>
      <c r="D167" s="711"/>
      <c r="E167" s="673"/>
      <c r="F167" s="673"/>
      <c r="G167" s="673"/>
      <c r="H167" s="673"/>
      <c r="I167" s="673"/>
      <c r="J167" s="673"/>
      <c r="K167" s="712"/>
      <c r="L167" s="713"/>
      <c r="M167" s="536"/>
      <c r="N167" s="536"/>
      <c r="O167" s="536"/>
      <c r="P167" s="536"/>
      <c r="Q167" s="536"/>
      <c r="R167" s="536"/>
      <c r="S167" s="536"/>
      <c r="T167" s="538"/>
      <c r="U167" s="538"/>
      <c r="V167" s="538"/>
      <c r="W167" s="538"/>
      <c r="X167" s="538"/>
      <c r="Y167" s="538"/>
      <c r="Z167" s="538"/>
      <c r="AA167" s="538"/>
    </row>
    <row r="168" spans="2:27" ht="35.1" customHeight="1" thickBot="1" x14ac:dyDescent="0.25">
      <c r="B168" s="1400"/>
      <c r="C168" s="465" t="s">
        <v>225</v>
      </c>
      <c r="D168" s="466" t="s">
        <v>226</v>
      </c>
      <c r="E168" s="466">
        <v>4044</v>
      </c>
      <c r="F168" s="466">
        <v>120</v>
      </c>
      <c r="G168" s="466">
        <v>0.01</v>
      </c>
      <c r="H168" s="467">
        <v>0.18239</v>
      </c>
      <c r="I168" s="468">
        <v>2.9E-4</v>
      </c>
      <c r="J168" s="466">
        <v>2.2999999999999998</v>
      </c>
      <c r="K168" s="469">
        <v>43801</v>
      </c>
      <c r="L168" s="470" t="s">
        <v>227</v>
      </c>
      <c r="M168" s="536"/>
      <c r="N168" s="536"/>
      <c r="O168" s="536"/>
      <c r="P168" s="536"/>
      <c r="Q168" s="536"/>
      <c r="R168" s="536"/>
      <c r="S168" s="536"/>
      <c r="T168" s="538"/>
      <c r="U168" s="538"/>
      <c r="V168" s="538"/>
      <c r="W168" s="538"/>
      <c r="X168" s="538"/>
      <c r="Y168" s="538"/>
      <c r="Z168" s="538"/>
      <c r="AA168" s="538"/>
    </row>
    <row r="170" spans="2:27" ht="35.1" customHeight="1" thickBot="1" x14ac:dyDescent="0.25">
      <c r="B170" s="536"/>
      <c r="C170" s="536"/>
      <c r="D170" s="536"/>
      <c r="E170" s="536"/>
      <c r="F170" s="536"/>
      <c r="G170" s="536"/>
      <c r="H170" s="536"/>
      <c r="I170" s="536"/>
      <c r="J170" s="536"/>
      <c r="K170" s="536"/>
      <c r="L170" s="536"/>
      <c r="M170" s="536"/>
      <c r="N170" s="536"/>
      <c r="O170" s="536"/>
      <c r="P170" s="536"/>
      <c r="Q170" s="536"/>
      <c r="R170" s="536"/>
      <c r="S170" s="536"/>
      <c r="T170" s="538"/>
      <c r="U170" s="538"/>
      <c r="V170" s="538"/>
      <c r="W170" s="538"/>
      <c r="X170" s="538"/>
      <c r="Y170" s="538"/>
      <c r="Z170" s="538"/>
      <c r="AA170" s="538"/>
    </row>
    <row r="171" spans="2:27" ht="35.1" customHeight="1" thickBot="1" x14ac:dyDescent="0.25">
      <c r="B171" s="1350" t="s">
        <v>228</v>
      </c>
      <c r="C171" s="1351"/>
      <c r="D171" s="1351"/>
      <c r="E171" s="1351"/>
      <c r="F171" s="1351"/>
      <c r="G171" s="1351"/>
      <c r="H171" s="1351"/>
      <c r="I171" s="1351"/>
      <c r="J171" s="1351"/>
      <c r="K171" s="1351"/>
      <c r="L171" s="1352"/>
      <c r="M171" s="536"/>
      <c r="N171" s="536"/>
      <c r="O171" s="536"/>
      <c r="P171" s="536"/>
      <c r="Q171" s="536"/>
      <c r="R171" s="536"/>
      <c r="S171" s="536"/>
      <c r="T171" s="538"/>
      <c r="U171" s="538"/>
      <c r="V171" s="538"/>
      <c r="W171" s="538"/>
      <c r="X171" s="538"/>
      <c r="Y171" s="538"/>
      <c r="Z171" s="538"/>
      <c r="AA171" s="538"/>
    </row>
    <row r="172" spans="2:27" ht="45" customHeight="1" thickBot="1" x14ac:dyDescent="0.25">
      <c r="B172" s="536"/>
      <c r="C172" s="538"/>
      <c r="D172" s="57" t="s">
        <v>23</v>
      </c>
      <c r="E172" s="59" t="s">
        <v>62</v>
      </c>
      <c r="F172" s="133" t="s">
        <v>74</v>
      </c>
      <c r="G172" s="37" t="s">
        <v>64</v>
      </c>
      <c r="H172" s="37" t="s">
        <v>65</v>
      </c>
      <c r="I172" s="37" t="s">
        <v>66</v>
      </c>
      <c r="J172" s="37" t="s">
        <v>67</v>
      </c>
      <c r="K172" s="166" t="s">
        <v>68</v>
      </c>
      <c r="L172" s="38" t="s">
        <v>175</v>
      </c>
      <c r="M172" s="536"/>
      <c r="N172" s="536"/>
      <c r="O172" s="536"/>
      <c r="P172" s="536"/>
      <c r="Q172" s="536"/>
      <c r="R172" s="536"/>
      <c r="S172" s="536"/>
      <c r="T172" s="538"/>
      <c r="U172" s="538"/>
      <c r="V172" s="538"/>
      <c r="W172" s="538"/>
      <c r="X172" s="538"/>
      <c r="Y172" s="538"/>
      <c r="Z172" s="538"/>
      <c r="AA172" s="538"/>
    </row>
    <row r="173" spans="2:27" ht="35.1" customHeight="1" thickBot="1" x14ac:dyDescent="0.25">
      <c r="B173" s="536"/>
      <c r="C173" s="538"/>
      <c r="D173" s="714"/>
      <c r="E173" s="604"/>
      <c r="F173" s="604"/>
      <c r="G173" s="604"/>
      <c r="H173" s="604"/>
      <c r="I173" s="604"/>
      <c r="J173" s="604"/>
      <c r="K173" s="671"/>
      <c r="L173" s="582"/>
      <c r="M173" s="536"/>
      <c r="N173" s="536"/>
      <c r="O173" s="536"/>
      <c r="P173" s="536"/>
      <c r="Q173" s="536"/>
      <c r="R173" s="536"/>
      <c r="S173" s="536"/>
      <c r="T173" s="538"/>
      <c r="U173" s="538"/>
      <c r="V173" s="538"/>
      <c r="W173" s="538"/>
      <c r="X173" s="538"/>
      <c r="Y173" s="538"/>
      <c r="Z173" s="538"/>
      <c r="AA173" s="538"/>
    </row>
    <row r="174" spans="2:27" ht="35.1" customHeight="1" x14ac:dyDescent="0.2">
      <c r="B174" s="1294" t="s">
        <v>229</v>
      </c>
      <c r="C174" s="423" t="s">
        <v>230</v>
      </c>
      <c r="D174" s="1355" t="s">
        <v>231</v>
      </c>
      <c r="E174" s="412">
        <v>16901291</v>
      </c>
      <c r="F174" s="471">
        <v>5</v>
      </c>
      <c r="G174" s="412">
        <v>0.01</v>
      </c>
      <c r="H174" s="472">
        <v>0</v>
      </c>
      <c r="I174" s="473">
        <v>8.0000000000000002E-3</v>
      </c>
      <c r="J174" s="455">
        <v>2</v>
      </c>
      <c r="K174" s="392">
        <v>44636</v>
      </c>
      <c r="L174" s="474" t="s">
        <v>232</v>
      </c>
      <c r="M174" s="536"/>
      <c r="N174" s="536"/>
      <c r="O174" s="536"/>
      <c r="P174" s="536"/>
      <c r="Q174" s="536"/>
      <c r="R174" s="536"/>
      <c r="S174" s="536"/>
      <c r="T174" s="538"/>
      <c r="U174" s="538"/>
      <c r="V174" s="538"/>
      <c r="W174" s="538"/>
      <c r="X174" s="538"/>
      <c r="Y174" s="538"/>
      <c r="Z174" s="538"/>
      <c r="AA174" s="538"/>
    </row>
    <row r="175" spans="2:27" ht="35.1" customHeight="1" x14ac:dyDescent="0.2">
      <c r="B175" s="1295"/>
      <c r="C175" s="424" t="s">
        <v>233</v>
      </c>
      <c r="D175" s="1356"/>
      <c r="E175" s="415">
        <v>16901291</v>
      </c>
      <c r="F175" s="445">
        <v>20</v>
      </c>
      <c r="G175" s="415">
        <v>0.01</v>
      </c>
      <c r="H175" s="438">
        <v>4.0000000000000001E-3</v>
      </c>
      <c r="I175" s="475">
        <v>0.01</v>
      </c>
      <c r="J175" s="441">
        <v>2</v>
      </c>
      <c r="K175" s="396">
        <v>44636</v>
      </c>
      <c r="L175" s="476" t="s">
        <v>232</v>
      </c>
      <c r="M175" s="536"/>
      <c r="N175" s="536"/>
      <c r="O175" s="536"/>
      <c r="P175" s="536"/>
      <c r="Q175" s="536"/>
      <c r="R175" s="536"/>
      <c r="S175" s="536"/>
      <c r="T175" s="538"/>
      <c r="U175" s="538"/>
      <c r="V175" s="538"/>
      <c r="W175" s="538"/>
      <c r="X175" s="538"/>
      <c r="Y175" s="538"/>
      <c r="Z175" s="538"/>
      <c r="AA175" s="538"/>
    </row>
    <row r="176" spans="2:27" ht="35.1" customHeight="1" x14ac:dyDescent="0.2">
      <c r="B176" s="1295"/>
      <c r="C176" s="424" t="s">
        <v>234</v>
      </c>
      <c r="D176" s="1356"/>
      <c r="E176" s="415">
        <v>16901291</v>
      </c>
      <c r="F176" s="445">
        <v>50</v>
      </c>
      <c r="G176" s="415">
        <v>0.01</v>
      </c>
      <c r="H176" s="438">
        <v>4.0000000000000001E-3</v>
      </c>
      <c r="I176" s="475">
        <v>0.01</v>
      </c>
      <c r="J176" s="441">
        <v>2</v>
      </c>
      <c r="K176" s="396">
        <v>44636</v>
      </c>
      <c r="L176" s="476" t="s">
        <v>232</v>
      </c>
      <c r="M176" s="536"/>
      <c r="N176" s="536"/>
      <c r="O176" s="536"/>
      <c r="P176" s="536"/>
      <c r="Q176" s="536"/>
      <c r="R176" s="536"/>
      <c r="S176" s="536"/>
      <c r="T176" s="538"/>
      <c r="U176" s="538"/>
      <c r="V176" s="538"/>
      <c r="W176" s="538"/>
      <c r="X176" s="538"/>
      <c r="Y176" s="538"/>
      <c r="Z176" s="538"/>
      <c r="AA176" s="538"/>
    </row>
    <row r="177" spans="2:12" ht="35.1" customHeight="1" x14ac:dyDescent="0.2">
      <c r="B177" s="1295"/>
      <c r="C177" s="424" t="s">
        <v>235</v>
      </c>
      <c r="D177" s="1356"/>
      <c r="E177" s="415">
        <v>16901291</v>
      </c>
      <c r="F177" s="445">
        <v>70</v>
      </c>
      <c r="G177" s="415">
        <v>0.01</v>
      </c>
      <c r="H177" s="438">
        <v>-4.0000000000000001E-3</v>
      </c>
      <c r="I177" s="475">
        <v>0.01</v>
      </c>
      <c r="J177" s="441">
        <v>2</v>
      </c>
      <c r="K177" s="396">
        <v>44636</v>
      </c>
      <c r="L177" s="476" t="s">
        <v>232</v>
      </c>
    </row>
    <row r="178" spans="2:12" ht="35.1" customHeight="1" x14ac:dyDescent="0.2">
      <c r="B178" s="1295"/>
      <c r="C178" s="424" t="s">
        <v>236</v>
      </c>
      <c r="D178" s="1356"/>
      <c r="E178" s="415">
        <v>16901291</v>
      </c>
      <c r="F178" s="445">
        <v>100</v>
      </c>
      <c r="G178" s="415">
        <v>0.01</v>
      </c>
      <c r="H178" s="438">
        <v>-2E-3</v>
      </c>
      <c r="I178" s="475">
        <v>8.9999999999999993E-3</v>
      </c>
      <c r="J178" s="441">
        <v>2</v>
      </c>
      <c r="K178" s="396">
        <v>44636</v>
      </c>
      <c r="L178" s="476" t="s">
        <v>232</v>
      </c>
    </row>
    <row r="179" spans="2:12" ht="35.1" customHeight="1" x14ac:dyDescent="0.2">
      <c r="B179" s="1295"/>
      <c r="C179" s="424" t="s">
        <v>237</v>
      </c>
      <c r="D179" s="1356"/>
      <c r="E179" s="415">
        <v>16901291</v>
      </c>
      <c r="F179" s="445">
        <v>150</v>
      </c>
      <c r="G179" s="415">
        <v>0.01</v>
      </c>
      <c r="H179" s="438">
        <v>-4.0000000000000001E-3</v>
      </c>
      <c r="I179" s="475">
        <v>0.01</v>
      </c>
      <c r="J179" s="441">
        <v>2</v>
      </c>
      <c r="K179" s="396">
        <v>44636</v>
      </c>
      <c r="L179" s="476" t="s">
        <v>232</v>
      </c>
    </row>
    <row r="180" spans="2:12" ht="35.1" customHeight="1" thickBot="1" x14ac:dyDescent="0.25">
      <c r="B180" s="1296"/>
      <c r="C180" s="425" t="s">
        <v>238</v>
      </c>
      <c r="D180" s="1357"/>
      <c r="E180" s="419">
        <v>16901291</v>
      </c>
      <c r="F180" s="450">
        <v>200</v>
      </c>
      <c r="G180" s="419">
        <v>0.01</v>
      </c>
      <c r="H180" s="451">
        <v>-4.0000000000000001E-3</v>
      </c>
      <c r="I180" s="477">
        <v>0.01</v>
      </c>
      <c r="J180" s="462">
        <v>2</v>
      </c>
      <c r="K180" s="400">
        <v>44636</v>
      </c>
      <c r="L180" s="478" t="s">
        <v>232</v>
      </c>
    </row>
    <row r="181" spans="2:12" ht="35.1" customHeight="1" thickBot="1" x14ac:dyDescent="0.25">
      <c r="B181" s="307"/>
      <c r="C181" s="307"/>
      <c r="D181" s="307"/>
      <c r="E181" s="479"/>
      <c r="F181" s="480"/>
      <c r="G181" s="480"/>
      <c r="H181" s="481"/>
      <c r="I181" s="480"/>
      <c r="J181" s="480"/>
      <c r="K181" s="482"/>
      <c r="L181" s="483"/>
    </row>
    <row r="182" spans="2:12" ht="35.1" customHeight="1" x14ac:dyDescent="0.2">
      <c r="B182" s="1294" t="s">
        <v>239</v>
      </c>
      <c r="C182" s="423" t="s">
        <v>230</v>
      </c>
      <c r="D182" s="1355" t="s">
        <v>231</v>
      </c>
      <c r="E182" s="412">
        <v>16901291</v>
      </c>
      <c r="F182" s="471">
        <v>5</v>
      </c>
      <c r="G182" s="412">
        <v>0.01</v>
      </c>
      <c r="H182" s="472">
        <v>0</v>
      </c>
      <c r="I182" s="473">
        <v>1.7000000000000001E-2</v>
      </c>
      <c r="J182" s="455">
        <v>2</v>
      </c>
      <c r="K182" s="392">
        <v>44636</v>
      </c>
      <c r="L182" s="474" t="s">
        <v>232</v>
      </c>
    </row>
    <row r="183" spans="2:12" ht="35.1" customHeight="1" x14ac:dyDescent="0.2">
      <c r="B183" s="1295"/>
      <c r="C183" s="424" t="s">
        <v>233</v>
      </c>
      <c r="D183" s="1356"/>
      <c r="E183" s="415">
        <v>16901291</v>
      </c>
      <c r="F183" s="445">
        <v>20</v>
      </c>
      <c r="G183" s="415">
        <v>0.01</v>
      </c>
      <c r="H183" s="438">
        <v>0</v>
      </c>
      <c r="I183" s="475">
        <v>1.7000000000000001E-2</v>
      </c>
      <c r="J183" s="441">
        <v>2</v>
      </c>
      <c r="K183" s="396">
        <v>44636</v>
      </c>
      <c r="L183" s="476" t="s">
        <v>232</v>
      </c>
    </row>
    <row r="184" spans="2:12" ht="35.1" customHeight="1" x14ac:dyDescent="0.2">
      <c r="B184" s="1295"/>
      <c r="C184" s="424" t="s">
        <v>234</v>
      </c>
      <c r="D184" s="1356"/>
      <c r="E184" s="415">
        <v>16901291</v>
      </c>
      <c r="F184" s="445">
        <v>50</v>
      </c>
      <c r="G184" s="415">
        <v>0.01</v>
      </c>
      <c r="H184" s="438">
        <v>0</v>
      </c>
      <c r="I184" s="475">
        <v>1.7000000000000001E-2</v>
      </c>
      <c r="J184" s="441">
        <v>2</v>
      </c>
      <c r="K184" s="396">
        <v>44636</v>
      </c>
      <c r="L184" s="476" t="s">
        <v>232</v>
      </c>
    </row>
    <row r="185" spans="2:12" ht="35.1" customHeight="1" x14ac:dyDescent="0.2">
      <c r="B185" s="1295"/>
      <c r="C185" s="424" t="s">
        <v>235</v>
      </c>
      <c r="D185" s="1356"/>
      <c r="E185" s="415">
        <v>16901291</v>
      </c>
      <c r="F185" s="445">
        <v>70.010000000000005</v>
      </c>
      <c r="G185" s="415">
        <v>0.01</v>
      </c>
      <c r="H185" s="438">
        <v>-6.0000000000000001E-3</v>
      </c>
      <c r="I185" s="475">
        <v>1.7999999999999999E-2</v>
      </c>
      <c r="J185" s="441">
        <v>2</v>
      </c>
      <c r="K185" s="396">
        <v>44636</v>
      </c>
      <c r="L185" s="476" t="s">
        <v>232</v>
      </c>
    </row>
    <row r="186" spans="2:12" ht="35.1" customHeight="1" x14ac:dyDescent="0.2">
      <c r="B186" s="1295"/>
      <c r="C186" s="424" t="s">
        <v>236</v>
      </c>
      <c r="D186" s="1356"/>
      <c r="E186" s="415">
        <v>16901291</v>
      </c>
      <c r="F186" s="445">
        <v>100.01</v>
      </c>
      <c r="G186" s="415">
        <v>0.01</v>
      </c>
      <c r="H186" s="438">
        <v>-0.01</v>
      </c>
      <c r="I186" s="475">
        <v>1.7000000000000001E-2</v>
      </c>
      <c r="J186" s="441">
        <v>2</v>
      </c>
      <c r="K186" s="396">
        <v>44636</v>
      </c>
      <c r="L186" s="476" t="s">
        <v>232</v>
      </c>
    </row>
    <row r="187" spans="2:12" ht="35.1" customHeight="1" x14ac:dyDescent="0.2">
      <c r="B187" s="1295"/>
      <c r="C187" s="424" t="s">
        <v>237</v>
      </c>
      <c r="D187" s="1356"/>
      <c r="E187" s="415">
        <v>16901291</v>
      </c>
      <c r="F187" s="445">
        <v>150.01</v>
      </c>
      <c r="G187" s="415">
        <v>0.01</v>
      </c>
      <c r="H187" s="438">
        <v>-8.0000000000000002E-3</v>
      </c>
      <c r="I187" s="475">
        <v>1.7999999999999999E-2</v>
      </c>
      <c r="J187" s="441">
        <v>2</v>
      </c>
      <c r="K187" s="396">
        <v>44636</v>
      </c>
      <c r="L187" s="476" t="s">
        <v>232</v>
      </c>
    </row>
    <row r="188" spans="2:12" ht="35.1" customHeight="1" thickBot="1" x14ac:dyDescent="0.25">
      <c r="B188" s="1296"/>
      <c r="C188" s="425" t="s">
        <v>240</v>
      </c>
      <c r="D188" s="1357"/>
      <c r="E188" s="419">
        <v>16901291</v>
      </c>
      <c r="F188" s="450">
        <v>200.01</v>
      </c>
      <c r="G188" s="419">
        <v>0.01</v>
      </c>
      <c r="H188" s="451">
        <v>-1.4E-2</v>
      </c>
      <c r="I188" s="477">
        <v>1.7999999999999999E-2</v>
      </c>
      <c r="J188" s="462">
        <v>2</v>
      </c>
      <c r="K188" s="400">
        <v>44636</v>
      </c>
      <c r="L188" s="478" t="s">
        <v>232</v>
      </c>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5C" sheet="1" objects="1" scenarios="1"/>
  <dataConsolidate link="1"/>
  <mergeCells count="154">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B35:R35"/>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B29:B32"/>
    <mergeCell ref="E1:AI1"/>
    <mergeCell ref="S32:V32"/>
  </mergeCells>
  <phoneticPr fontId="57" type="noConversion"/>
  <dataValidations count="2">
    <dataValidation type="list" allowBlank="1" showInputMessage="1" showErrorMessage="1" sqref="H14">
      <formula1>$Y$59:$Y$64</formula1>
    </dataValidation>
    <dataValidation type="list" allowBlank="1" showInputMessage="1" showErrorMessage="1" sqref="J14">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12"/>
  <sheetViews>
    <sheetView showGridLines="0" view="pageBreakPreview" zoomScale="80" zoomScaleNormal="100" zoomScaleSheetLayoutView="80" workbookViewId="0">
      <selection activeCell="M11" sqref="M11"/>
    </sheetView>
  </sheetViews>
  <sheetFormatPr baseColWidth="10" defaultColWidth="11.42578125" defaultRowHeight="15.75" x14ac:dyDescent="0.25"/>
  <cols>
    <col min="1" max="1" width="5.7109375" style="300" customWidth="1"/>
    <col min="2" max="2" width="13.5703125" style="300" customWidth="1"/>
    <col min="3" max="8" width="12.710937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8"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626</v>
      </c>
      <c r="J3" s="1733">
        <f>'DATOS ¬'!N15</f>
        <v>0</v>
      </c>
      <c r="K3" s="1733"/>
    </row>
    <row r="4" spans="1:11" ht="26.1" customHeight="1" x14ac:dyDescent="0.25">
      <c r="A4" s="1736" t="s">
        <v>529</v>
      </c>
      <c r="B4" s="1736"/>
      <c r="C4" s="1736"/>
      <c r="D4" s="1736"/>
      <c r="E4" s="303"/>
      <c r="F4" s="304"/>
    </row>
    <row r="5" spans="1:11" ht="18" customHeight="1" x14ac:dyDescent="0.25">
      <c r="A5" s="305"/>
      <c r="B5" s="305"/>
      <c r="C5" s="305"/>
      <c r="D5" s="304"/>
      <c r="E5" s="304"/>
      <c r="F5" s="304"/>
    </row>
    <row r="6" spans="1:11" ht="26.1" customHeight="1" x14ac:dyDescent="0.25">
      <c r="A6" s="1727" t="s">
        <v>530</v>
      </c>
      <c r="B6" s="1727"/>
      <c r="C6" s="504"/>
      <c r="D6" s="1727">
        <f>'DATOS ¬'!K8</f>
        <v>0</v>
      </c>
      <c r="E6" s="1727"/>
      <c r="F6" s="1727"/>
      <c r="G6" s="1727"/>
      <c r="H6" s="1727"/>
      <c r="I6" s="1727"/>
      <c r="J6" s="1727"/>
      <c r="K6" s="1727"/>
    </row>
    <row r="7" spans="1:11" ht="26.1" customHeight="1" x14ac:dyDescent="0.25">
      <c r="A7" s="1726" t="s">
        <v>531</v>
      </c>
      <c r="B7" s="1726"/>
      <c r="C7" s="502"/>
      <c r="D7" s="1727">
        <f>'DATOS ¬'!L8</f>
        <v>0</v>
      </c>
      <c r="E7" s="1727"/>
      <c r="F7" s="1727"/>
      <c r="G7" s="1727"/>
      <c r="H7" s="1727"/>
      <c r="I7" s="1727"/>
      <c r="J7" s="1727"/>
      <c r="K7" s="1727"/>
    </row>
    <row r="8" spans="1:11" ht="26.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c r="I10" s="1729"/>
      <c r="J10" s="1728"/>
      <c r="K10" s="1728"/>
    </row>
    <row r="11" spans="1:11" ht="26.1" customHeight="1" x14ac:dyDescent="0.25">
      <c r="A11" s="1740"/>
      <c r="B11" s="1740"/>
      <c r="C11" s="306"/>
      <c r="D11" s="1740"/>
      <c r="E11" s="1740"/>
      <c r="F11" s="1740"/>
    </row>
    <row r="12" spans="1:11" ht="26.1" customHeight="1" x14ac:dyDescent="0.25">
      <c r="A12" s="1811" t="s">
        <v>627</v>
      </c>
      <c r="B12" s="1811"/>
      <c r="C12" s="1811"/>
      <c r="D12" s="1811"/>
      <c r="E12" s="1811"/>
      <c r="F12" s="1811"/>
      <c r="G12" s="1811"/>
      <c r="H12" s="1811"/>
      <c r="I12" s="1811"/>
      <c r="J12" s="1811"/>
    </row>
    <row r="13" spans="1:11" ht="18" customHeight="1" x14ac:dyDescent="0.25">
      <c r="A13" s="504"/>
      <c r="B13" s="504"/>
      <c r="C13" s="504"/>
      <c r="D13" s="504"/>
      <c r="E13" s="504"/>
      <c r="F13" s="209"/>
      <c r="G13" s="307"/>
      <c r="H13" s="307"/>
      <c r="I13" s="307"/>
      <c r="J13" s="307"/>
    </row>
    <row r="14" spans="1:11" ht="26.1" customHeight="1" x14ac:dyDescent="0.25">
      <c r="A14" s="1727" t="s">
        <v>536</v>
      </c>
      <c r="B14" s="1727"/>
      <c r="C14" s="1727"/>
      <c r="D14" s="1727"/>
      <c r="E14" s="1731" t="s">
        <v>537</v>
      </c>
      <c r="F14" s="1731"/>
      <c r="G14" s="1731"/>
      <c r="H14" s="1731"/>
      <c r="I14" s="307"/>
      <c r="J14" s="307"/>
    </row>
    <row r="15" spans="1:11" ht="26.1" customHeight="1" x14ac:dyDescent="0.25">
      <c r="A15" s="1727" t="s">
        <v>538</v>
      </c>
      <c r="B15" s="1727"/>
      <c r="C15" s="1727"/>
      <c r="D15" s="1727"/>
      <c r="E15" s="1727">
        <f>'DATOS ¬'!C15</f>
        <v>0</v>
      </c>
      <c r="F15" s="1727"/>
      <c r="G15" s="1727"/>
      <c r="H15" s="1727"/>
      <c r="I15" s="503"/>
      <c r="J15" s="307"/>
    </row>
    <row r="16" spans="1:11" ht="26.1" customHeight="1" x14ac:dyDescent="0.25">
      <c r="A16" s="1727" t="s">
        <v>539</v>
      </c>
      <c r="B16" s="1727"/>
      <c r="C16" s="1727"/>
      <c r="D16" s="1727"/>
      <c r="E16" s="1727">
        <f>'DATOS ¬'!E15</f>
        <v>0</v>
      </c>
      <c r="F16" s="1727"/>
      <c r="G16" s="1727"/>
      <c r="H16" s="1727"/>
      <c r="I16" s="503"/>
      <c r="J16" s="307"/>
    </row>
    <row r="17" spans="1:25" ht="26.1" customHeight="1" x14ac:dyDescent="0.25">
      <c r="A17" s="1727" t="s">
        <v>540</v>
      </c>
      <c r="B17" s="1727"/>
      <c r="C17" s="1727"/>
      <c r="D17" s="1727"/>
      <c r="E17" s="1730">
        <f>'DATOS ¬'!D15</f>
        <v>0</v>
      </c>
      <c r="F17" s="1730"/>
      <c r="G17" s="1730"/>
      <c r="H17" s="1730"/>
      <c r="I17" s="503"/>
      <c r="J17" s="307"/>
    </row>
    <row r="18" spans="1:25" ht="26.1" customHeight="1" x14ac:dyDescent="0.25">
      <c r="A18" s="1727" t="s">
        <v>541</v>
      </c>
      <c r="B18" s="1727"/>
      <c r="C18" s="1727"/>
      <c r="D18" s="1727"/>
      <c r="E18" s="1731" t="s">
        <v>542</v>
      </c>
      <c r="F18" s="1731"/>
      <c r="G18" s="1731"/>
      <c r="H18" s="1731"/>
      <c r="I18" s="503"/>
      <c r="J18" s="307"/>
    </row>
    <row r="19" spans="1:25" ht="26.1" customHeight="1" x14ac:dyDescent="0.25">
      <c r="A19" s="1727" t="s">
        <v>543</v>
      </c>
      <c r="B19" s="1727"/>
      <c r="C19" s="1727"/>
      <c r="D19" s="1727"/>
      <c r="E19" s="1195">
        <f>'DATOS ¬'!G15</f>
        <v>0</v>
      </c>
      <c r="F19" s="503"/>
      <c r="G19" s="503"/>
      <c r="H19" s="503"/>
      <c r="I19" s="503"/>
      <c r="J19" s="307"/>
      <c r="S19" s="1740"/>
      <c r="T19" s="1740"/>
      <c r="U19" s="1740"/>
      <c r="V19" s="1740"/>
      <c r="W19" s="1740"/>
    </row>
    <row r="20" spans="1:25" ht="26.1" customHeight="1" x14ac:dyDescent="0.25">
      <c r="A20" s="1727" t="s">
        <v>544</v>
      </c>
      <c r="B20" s="1727"/>
      <c r="C20" s="1727"/>
      <c r="D20" s="1727"/>
      <c r="E20" s="1204" t="s">
        <v>668</v>
      </c>
      <c r="F20" s="308" t="e">
        <f>'DATOS ¬'!H15</f>
        <v>#N/A</v>
      </c>
      <c r="G20" s="309"/>
      <c r="H20" s="309"/>
      <c r="I20" s="503"/>
      <c r="J20" s="307"/>
    </row>
    <row r="21" spans="1:25" ht="26.1" customHeight="1" x14ac:dyDescent="0.25">
      <c r="A21" s="1727" t="s">
        <v>545</v>
      </c>
      <c r="B21" s="1727"/>
      <c r="C21" s="1727"/>
      <c r="D21" s="1727"/>
      <c r="E21" s="1810" t="s">
        <v>546</v>
      </c>
      <c r="F21" s="1810"/>
      <c r="G21" s="1810"/>
      <c r="H21" s="1810"/>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23.1" customHeight="1" x14ac:dyDescent="0.25">
      <c r="A23" s="1811" t="s">
        <v>628</v>
      </c>
      <c r="B23" s="1811"/>
      <c r="C23" s="1811"/>
      <c r="D23" s="1811"/>
      <c r="E23" s="1811"/>
      <c r="F23" s="1811"/>
      <c r="G23" s="1811"/>
      <c r="H23" s="1811"/>
      <c r="I23" s="1811"/>
      <c r="J23" s="1811"/>
      <c r="K23" s="1811"/>
    </row>
    <row r="24" spans="1:25" ht="18" customHeight="1" x14ac:dyDescent="0.25">
      <c r="A24" s="307"/>
      <c r="B24" s="307"/>
      <c r="C24" s="307"/>
      <c r="D24" s="307"/>
      <c r="E24" s="307"/>
      <c r="F24" s="307"/>
      <c r="G24" s="307"/>
      <c r="H24" s="307"/>
      <c r="I24" s="307"/>
      <c r="J24" s="307"/>
      <c r="K24" s="307"/>
    </row>
    <row r="25" spans="1:25" ht="23.1"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23.1" customHeight="1" x14ac:dyDescent="0.25">
      <c r="A29" s="1738" t="s">
        <v>629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809"/>
      <c r="B31" s="1809"/>
      <c r="C31" s="1809"/>
      <c r="D31" s="1809"/>
      <c r="E31" s="1809"/>
      <c r="F31" s="1809"/>
      <c r="G31" s="1809"/>
      <c r="H31" s="1809"/>
      <c r="I31" s="1809"/>
      <c r="J31" s="1809"/>
      <c r="K31" s="1809"/>
    </row>
    <row r="32" spans="1:25" ht="20.100000000000001" customHeight="1" x14ac:dyDescent="0.25">
      <c r="A32" s="1809"/>
      <c r="B32" s="1809"/>
      <c r="C32" s="1809"/>
      <c r="D32" s="1809"/>
      <c r="E32" s="1809"/>
      <c r="F32" s="1809"/>
      <c r="G32" s="1809"/>
      <c r="H32" s="1809"/>
      <c r="I32" s="1809"/>
      <c r="J32" s="1809"/>
      <c r="K32" s="1809"/>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626</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C54" s="1735"/>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c r="D60" s="1727"/>
      <c r="E60" s="1727"/>
      <c r="F60" s="1727"/>
      <c r="G60" s="325"/>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20.100000000000001" customHeight="1" x14ac:dyDescent="0.25">
      <c r="A71" s="1808"/>
      <c r="B71" s="1808"/>
      <c r="C71" s="1808"/>
      <c r="D71" s="1808"/>
      <c r="E71" s="1808"/>
      <c r="F71" s="1808"/>
      <c r="G71" s="1808"/>
      <c r="H71" s="1808"/>
      <c r="I71" s="1808"/>
      <c r="J71" s="1808"/>
      <c r="K71" s="1808"/>
    </row>
    <row r="72" spans="1:12" ht="15" customHeight="1" x14ac:dyDescent="0.25">
      <c r="A72" s="508"/>
      <c r="B72" s="508"/>
      <c r="C72" s="508"/>
      <c r="D72" s="508"/>
      <c r="E72" s="508"/>
      <c r="F72" s="508"/>
      <c r="G72" s="508"/>
      <c r="H72" s="508"/>
      <c r="I72" s="508"/>
      <c r="J72" s="508"/>
      <c r="K72" s="508"/>
    </row>
    <row r="73" spans="1:12" ht="30" customHeight="1" x14ac:dyDescent="0.25">
      <c r="A73" s="503"/>
      <c r="B73" s="503"/>
      <c r="C73" s="1724"/>
      <c r="D73" s="1724"/>
      <c r="E73" s="1724"/>
      <c r="F73" s="1724"/>
      <c r="G73" s="1724"/>
      <c r="H73" s="1724"/>
      <c r="I73" s="503"/>
      <c r="J73" s="311"/>
      <c r="K73" s="307"/>
    </row>
    <row r="74" spans="1:12" ht="30" customHeight="1" x14ac:dyDescent="0.25">
      <c r="A74" s="503"/>
      <c r="C74" s="385"/>
      <c r="D74" s="500"/>
      <c r="E74" s="385"/>
      <c r="F74" s="500"/>
      <c r="G74" s="385"/>
      <c r="H74" s="500"/>
      <c r="I74" s="1724"/>
      <c r="J74" s="1724"/>
      <c r="K74" s="307"/>
    </row>
    <row r="75" spans="1:12" ht="30" customHeight="1" x14ac:dyDescent="0.25">
      <c r="A75" s="503"/>
      <c r="C75" s="385"/>
      <c r="D75" s="500"/>
      <c r="E75" s="385"/>
      <c r="F75" s="500"/>
      <c r="G75" s="385"/>
      <c r="H75" s="500"/>
      <c r="I75" s="500"/>
      <c r="J75" s="500"/>
      <c r="K75" s="307"/>
    </row>
    <row r="76" spans="1:12" ht="32.1" customHeight="1" x14ac:dyDescent="0.25">
      <c r="A76" s="506"/>
    </row>
    <row r="77" spans="1:12" ht="125.1" customHeight="1" x14ac:dyDescent="0.25">
      <c r="A77" s="341"/>
      <c r="B77" s="341"/>
      <c r="C77" s="341"/>
      <c r="D77" s="341"/>
      <c r="E77" s="341"/>
      <c r="F77" s="341"/>
      <c r="G77" s="341"/>
      <c r="H77" s="341"/>
      <c r="I77" s="368"/>
      <c r="J77" s="341"/>
      <c r="K77" s="341"/>
    </row>
    <row r="78" spans="1:12" ht="35.1" customHeight="1" x14ac:dyDescent="0.25">
      <c r="A78" s="341"/>
      <c r="B78" s="341"/>
      <c r="C78" s="341"/>
      <c r="D78" s="341"/>
      <c r="E78" s="341"/>
      <c r="F78" s="341"/>
      <c r="G78" s="341"/>
      <c r="H78" s="341"/>
      <c r="I78" s="368"/>
      <c r="J78" s="341"/>
      <c r="K78" s="341"/>
    </row>
    <row r="79" spans="1:12" ht="65.099999999999994" customHeight="1" x14ac:dyDescent="0.25">
      <c r="A79" s="341"/>
      <c r="B79" s="341"/>
      <c r="C79" s="341"/>
      <c r="D79" s="341"/>
      <c r="E79" s="341"/>
      <c r="F79" s="341"/>
      <c r="G79" s="341"/>
      <c r="H79" s="341"/>
      <c r="I79" s="370" t="s">
        <v>244</v>
      </c>
      <c r="J79" s="1797">
        <f>J3</f>
        <v>0</v>
      </c>
      <c r="K79" s="1798"/>
    </row>
    <row r="80" spans="1:12" ht="24" customHeight="1" x14ac:dyDescent="0.25">
      <c r="A80" s="1736" t="s">
        <v>630</v>
      </c>
      <c r="B80" s="1736"/>
      <c r="C80" s="1736"/>
      <c r="D80" s="1736"/>
      <c r="E80" s="1736"/>
      <c r="F80" s="1736"/>
      <c r="G80" s="307"/>
      <c r="H80" s="307"/>
      <c r="I80" s="307"/>
      <c r="J80" s="307"/>
      <c r="K80" s="307"/>
    </row>
    <row r="81" spans="1:12" ht="12" customHeight="1" x14ac:dyDescent="0.25">
      <c r="A81" s="504"/>
      <c r="B81" s="504"/>
      <c r="C81" s="504"/>
      <c r="D81" s="504"/>
      <c r="E81" s="504"/>
      <c r="F81" s="504"/>
      <c r="G81" s="307"/>
      <c r="H81" s="307"/>
      <c r="I81" s="307"/>
      <c r="J81" s="307"/>
      <c r="K81" s="307"/>
    </row>
    <row r="82" spans="1:12" ht="33" customHeight="1" x14ac:dyDescent="0.25">
      <c r="A82" s="500"/>
      <c r="B82" s="1735"/>
      <c r="C82" s="1735"/>
      <c r="D82" s="1735"/>
      <c r="E82" s="1735"/>
      <c r="F82" s="1735"/>
      <c r="G82" s="1735"/>
      <c r="H82" s="1735"/>
      <c r="I82" s="1735"/>
      <c r="J82" s="1735"/>
      <c r="K82" s="1735"/>
    </row>
    <row r="83" spans="1:12" ht="33" customHeight="1" x14ac:dyDescent="0.25">
      <c r="A83" s="500"/>
      <c r="B83" s="1735"/>
      <c r="C83" s="1735"/>
      <c r="D83" s="1735"/>
      <c r="E83" s="1735"/>
      <c r="F83" s="1735"/>
      <c r="G83" s="1735"/>
      <c r="H83" s="1735"/>
      <c r="I83" s="1735"/>
      <c r="J83" s="1735"/>
      <c r="K83" s="1735"/>
    </row>
    <row r="84" spans="1:12" ht="33" customHeight="1" x14ac:dyDescent="0.25">
      <c r="A84" s="500"/>
      <c r="B84" s="1735"/>
      <c r="C84" s="1735"/>
      <c r="D84" s="1735"/>
      <c r="E84" s="1735"/>
      <c r="F84" s="1735"/>
      <c r="G84" s="1735"/>
      <c r="H84" s="1735"/>
      <c r="I84" s="1735"/>
      <c r="J84" s="1735"/>
      <c r="K84" s="1735"/>
    </row>
    <row r="85" spans="1:12" s="378" customFormat="1" ht="23.1" customHeight="1" x14ac:dyDescent="0.25">
      <c r="A85" s="500"/>
      <c r="B85" s="1735"/>
      <c r="C85" s="1735"/>
      <c r="D85" s="1735"/>
      <c r="E85" s="1735"/>
      <c r="F85" s="1735"/>
      <c r="G85" s="1735"/>
      <c r="H85" s="1735"/>
      <c r="I85" s="1735"/>
      <c r="J85" s="1735"/>
      <c r="K85" s="1735"/>
    </row>
    <row r="86" spans="1:12" s="378" customFormat="1" ht="23.1" customHeight="1" x14ac:dyDescent="0.25">
      <c r="A86" s="500"/>
      <c r="B86" s="1735"/>
      <c r="C86" s="1735"/>
      <c r="D86" s="1735"/>
      <c r="E86" s="1735"/>
      <c r="F86" s="1735"/>
      <c r="G86" s="1735"/>
      <c r="H86" s="1735"/>
      <c r="I86" s="1735"/>
      <c r="J86" s="1735"/>
      <c r="K86" s="1735"/>
    </row>
    <row r="87" spans="1:12" s="378" customFormat="1" ht="23.1" customHeight="1" x14ac:dyDescent="0.25">
      <c r="A87" s="500"/>
      <c r="B87" s="1735"/>
      <c r="C87" s="1735"/>
      <c r="D87" s="1735"/>
      <c r="E87" s="1735"/>
      <c r="F87" s="1735"/>
      <c r="G87" s="1735"/>
      <c r="H87" s="1735"/>
      <c r="I87" s="1735"/>
      <c r="J87" s="1735"/>
      <c r="K87" s="1735"/>
    </row>
    <row r="88" spans="1:12" ht="23.1" customHeight="1" x14ac:dyDescent="0.25">
      <c r="A88" s="500"/>
      <c r="B88" s="1735"/>
      <c r="C88" s="1735"/>
      <c r="D88" s="1735"/>
      <c r="E88" s="1735"/>
      <c r="F88" s="1735"/>
      <c r="G88" s="1735"/>
      <c r="H88" s="1735"/>
      <c r="I88" s="1735"/>
      <c r="J88" s="1735"/>
      <c r="K88" s="1735"/>
    </row>
    <row r="89" spans="1:12" s="378" customFormat="1" ht="23.1" customHeight="1" x14ac:dyDescent="0.25">
      <c r="A89" s="500"/>
      <c r="B89" s="1735"/>
      <c r="C89" s="1735"/>
      <c r="D89" s="1735"/>
      <c r="E89" s="1735"/>
      <c r="F89" s="1735"/>
      <c r="G89" s="1735"/>
      <c r="H89" s="1735"/>
      <c r="I89" s="1735"/>
      <c r="J89" s="1735"/>
      <c r="K89" s="1735"/>
      <c r="L89" s="379"/>
    </row>
    <row r="90" spans="1:12" s="378" customFormat="1" ht="23.1" customHeight="1" x14ac:dyDescent="0.25">
      <c r="A90" s="500"/>
      <c r="B90" s="1727"/>
      <c r="C90" s="1727"/>
      <c r="D90" s="1727"/>
      <c r="E90" s="1727"/>
      <c r="F90" s="1727"/>
      <c r="G90" s="1727"/>
      <c r="H90" s="1727"/>
      <c r="I90" s="1727"/>
      <c r="J90" s="1727"/>
      <c r="K90" s="1727"/>
      <c r="L90" s="379"/>
    </row>
    <row r="91" spans="1:12" ht="23.1" customHeight="1" x14ac:dyDescent="0.25">
      <c r="A91" s="500"/>
      <c r="B91" s="1735"/>
      <c r="C91" s="1735"/>
      <c r="D91" s="1735"/>
      <c r="E91" s="1735"/>
      <c r="F91" s="1735"/>
      <c r="G91" s="1735"/>
      <c r="H91" s="1735"/>
      <c r="I91" s="1735"/>
      <c r="J91" s="1735"/>
      <c r="K91" s="1735"/>
      <c r="L91" s="380"/>
    </row>
    <row r="92" spans="1:12" ht="23.1" customHeight="1" x14ac:dyDescent="0.25">
      <c r="A92" s="512"/>
      <c r="B92" s="1735"/>
      <c r="C92" s="1735"/>
      <c r="D92" s="1735"/>
      <c r="E92" s="1735"/>
      <c r="F92" s="1735"/>
      <c r="G92" s="1735"/>
      <c r="H92" s="1735"/>
      <c r="I92" s="1735"/>
      <c r="J92" s="1735"/>
      <c r="K92" s="1735"/>
      <c r="L92" s="381"/>
    </row>
    <row r="93" spans="1:12" ht="33" customHeight="1" x14ac:dyDescent="0.25">
      <c r="A93" s="500"/>
      <c r="B93" s="1735"/>
      <c r="C93" s="1735"/>
      <c r="D93" s="1735"/>
      <c r="E93" s="1735"/>
      <c r="F93" s="1735"/>
      <c r="G93" s="1735"/>
      <c r="H93" s="1735"/>
      <c r="I93" s="1735"/>
      <c r="J93" s="1735"/>
      <c r="K93" s="1735"/>
    </row>
    <row r="94" spans="1:12" ht="23.1" customHeight="1" x14ac:dyDescent="0.25">
      <c r="A94" s="500"/>
      <c r="B94" s="1735"/>
      <c r="C94" s="1735"/>
      <c r="D94" s="1735"/>
      <c r="E94" s="1735"/>
      <c r="F94" s="1735"/>
      <c r="G94" s="1735"/>
      <c r="H94" s="1735"/>
      <c r="I94" s="1735"/>
      <c r="J94" s="1735"/>
      <c r="K94" s="1735"/>
    </row>
    <row r="95" spans="1:12" ht="23.1" customHeight="1" x14ac:dyDescent="0.25">
      <c r="A95" s="500"/>
      <c r="B95" s="1735"/>
      <c r="C95" s="1735"/>
      <c r="D95" s="1735"/>
      <c r="E95" s="1735"/>
      <c r="F95" s="1735"/>
      <c r="G95" s="1735"/>
      <c r="H95" s="1735"/>
      <c r="I95" s="1735"/>
      <c r="J95" s="1735"/>
      <c r="K95" s="1735"/>
    </row>
    <row r="96" spans="1:12" ht="23.1" customHeight="1" x14ac:dyDescent="0.25">
      <c r="A96" s="500"/>
      <c r="B96" s="1735"/>
      <c r="C96" s="1735"/>
      <c r="D96" s="1735"/>
      <c r="E96" s="1735"/>
      <c r="F96" s="1735"/>
      <c r="G96" s="1735"/>
      <c r="H96" s="1735"/>
      <c r="I96" s="1735"/>
      <c r="J96" s="1735"/>
      <c r="K96" s="1735"/>
    </row>
    <row r="97" spans="1:11" ht="23.1" customHeight="1" x14ac:dyDescent="0.25">
      <c r="A97" s="500"/>
      <c r="B97" s="1735"/>
      <c r="C97" s="1735"/>
      <c r="D97" s="1735"/>
      <c r="E97" s="1735"/>
      <c r="F97" s="1735"/>
      <c r="G97" s="1735"/>
      <c r="H97" s="1735"/>
      <c r="I97" s="1735"/>
      <c r="J97" s="1735"/>
      <c r="K97" s="1735"/>
    </row>
    <row r="98" spans="1:11" ht="23.1" customHeight="1" x14ac:dyDescent="0.25">
      <c r="A98" s="500"/>
      <c r="B98" s="1735"/>
      <c r="C98" s="1735"/>
      <c r="D98" s="1735"/>
      <c r="E98" s="1735"/>
      <c r="F98" s="1735"/>
      <c r="G98" s="1735"/>
      <c r="H98" s="1735"/>
      <c r="I98" s="1735"/>
      <c r="J98" s="1735"/>
      <c r="K98" s="1735"/>
    </row>
    <row r="99" spans="1:11" ht="23.1" customHeight="1" x14ac:dyDescent="0.25">
      <c r="A99" s="500"/>
      <c r="B99" s="1735"/>
      <c r="C99" s="1735"/>
      <c r="D99" s="1735"/>
      <c r="E99" s="1735"/>
      <c r="F99" s="1735"/>
      <c r="G99" s="1735"/>
      <c r="H99" s="1735"/>
      <c r="I99" s="1735"/>
      <c r="J99" s="1735"/>
      <c r="K99" s="1735"/>
    </row>
    <row r="100" spans="1:11" ht="15" customHeight="1" x14ac:dyDescent="0.25">
      <c r="E100" s="307"/>
      <c r="F100" s="307"/>
      <c r="G100" s="307"/>
      <c r="H100" s="307"/>
      <c r="I100" s="307"/>
      <c r="J100" s="307"/>
      <c r="K100" s="307"/>
    </row>
    <row r="101" spans="1:11" ht="15" customHeight="1" x14ac:dyDescent="0.25">
      <c r="A101" s="1802" t="s">
        <v>620</v>
      </c>
      <c r="B101" s="1802"/>
      <c r="C101" s="1802"/>
      <c r="D101" s="1802"/>
      <c r="E101" s="307"/>
      <c r="F101" s="307"/>
      <c r="G101" s="307"/>
      <c r="H101" s="307"/>
      <c r="I101" s="307"/>
      <c r="J101" s="307"/>
      <c r="K101" s="307"/>
    </row>
    <row r="102" spans="1:11" ht="15" customHeight="1" x14ac:dyDescent="0.25">
      <c r="A102" s="512"/>
      <c r="B102" s="512"/>
      <c r="C102" s="512"/>
      <c r="D102" s="512"/>
      <c r="E102" s="307"/>
      <c r="F102" s="307"/>
      <c r="G102" s="307"/>
      <c r="H102" s="307"/>
      <c r="I102" s="307"/>
      <c r="J102" s="307"/>
      <c r="K102" s="307"/>
    </row>
    <row r="103" spans="1:11" ht="15" customHeight="1" x14ac:dyDescent="0.25">
      <c r="A103" s="307"/>
      <c r="B103" s="307"/>
      <c r="C103" s="307"/>
      <c r="D103" s="307"/>
      <c r="E103" s="307"/>
      <c r="F103" s="307"/>
      <c r="G103" s="307"/>
      <c r="H103" s="307"/>
      <c r="I103" s="307"/>
      <c r="J103" s="307"/>
      <c r="K103" s="307"/>
    </row>
    <row r="104" spans="1:11" ht="15" customHeight="1" x14ac:dyDescent="0.25">
      <c r="A104" s="307"/>
      <c r="B104" s="307"/>
      <c r="C104" s="307"/>
      <c r="D104" s="307"/>
      <c r="E104" s="307"/>
      <c r="F104" s="307"/>
      <c r="G104" s="307"/>
      <c r="H104" s="307"/>
      <c r="I104" s="307"/>
      <c r="J104" s="307"/>
      <c r="K104" s="307"/>
    </row>
    <row r="105" spans="1:11" ht="15" customHeight="1" x14ac:dyDescent="0.25">
      <c r="A105" s="382" t="s">
        <v>13</v>
      </c>
      <c r="B105" s="1803"/>
      <c r="C105" s="1803"/>
      <c r="D105" s="1803"/>
      <c r="E105" s="1803"/>
      <c r="F105" s="307"/>
      <c r="G105" s="1803"/>
      <c r="H105" s="1803"/>
      <c r="I105" s="1803"/>
      <c r="J105" s="1803"/>
      <c r="K105" s="382" t="s">
        <v>18</v>
      </c>
    </row>
    <row r="106" spans="1:11" ht="15" customHeight="1" x14ac:dyDescent="0.25">
      <c r="A106" s="307"/>
      <c r="B106" s="1807" t="s">
        <v>631</v>
      </c>
      <c r="C106" s="1807"/>
      <c r="D106" s="1807"/>
      <c r="E106" s="1807"/>
      <c r="F106" s="307"/>
      <c r="G106" s="1807" t="s">
        <v>632</v>
      </c>
      <c r="H106" s="1807"/>
      <c r="I106" s="1807"/>
      <c r="J106" s="1807"/>
      <c r="K106" s="307"/>
    </row>
    <row r="107" spans="1:11" ht="21" customHeight="1" x14ac:dyDescent="0.25">
      <c r="B107" s="1806" t="str">
        <f>VLOOKUP(A105,'DATOS ¬'!P9:S13,4,FALSE)</f>
        <v>Sustituto del Responsable de la Dirección Técnica</v>
      </c>
      <c r="C107" s="1806"/>
      <c r="D107" s="1806"/>
      <c r="E107" s="1806"/>
      <c r="F107" s="386"/>
      <c r="G107" s="1805" t="str">
        <f>VLOOKUP(K105,'DATOS ¬'!P9:U13,6,FALSE)</f>
        <v>Metrólogo de Masa y Volumen</v>
      </c>
      <c r="H107" s="1805"/>
      <c r="I107" s="1805"/>
      <c r="J107" s="1805"/>
      <c r="K107" s="307"/>
    </row>
    <row r="108" spans="1:11" ht="15" customHeight="1" x14ac:dyDescent="0.25">
      <c r="A108" s="307"/>
      <c r="B108" s="1802" t="str">
        <f>VLOOKUP(A105,'DATOS ¬'!P9:S13,2,FALSE)</f>
        <v>Stivinson Córdoba Sánchez</v>
      </c>
      <c r="C108" s="1802"/>
      <c r="D108" s="1802"/>
      <c r="E108" s="1802"/>
      <c r="F108" s="383"/>
      <c r="G108" s="1802" t="str">
        <f>VLOOKUP(K105,'DATOS ¬'!P9:U13,2,FALSE)</f>
        <v>Luis Henry Barreto Rojas</v>
      </c>
      <c r="H108" s="1802"/>
      <c r="I108" s="1802"/>
      <c r="J108" s="1802"/>
      <c r="K108" s="383"/>
    </row>
    <row r="109" spans="1:11" ht="15" customHeight="1" x14ac:dyDescent="0.25">
      <c r="D109" s="307"/>
      <c r="E109" s="307"/>
      <c r="F109" s="307"/>
      <c r="G109" s="307"/>
      <c r="H109" s="307"/>
      <c r="I109" s="307"/>
      <c r="J109" s="307"/>
      <c r="K109" s="307"/>
    </row>
    <row r="110" spans="1:11" ht="15" customHeight="1" x14ac:dyDescent="0.25">
      <c r="A110" s="307"/>
      <c r="B110" s="1801" t="s">
        <v>623</v>
      </c>
      <c r="C110" s="1801"/>
      <c r="D110" s="384"/>
      <c r="E110" s="307"/>
      <c r="F110" s="307"/>
      <c r="G110" s="1801" t="s">
        <v>624</v>
      </c>
      <c r="H110" s="1801"/>
      <c r="I110" s="210"/>
      <c r="J110" s="307"/>
      <c r="K110" s="210"/>
    </row>
    <row r="111" spans="1:11" ht="15" customHeight="1" x14ac:dyDescent="0.25">
      <c r="A111" s="307"/>
      <c r="J111" s="307"/>
      <c r="K111" s="307"/>
    </row>
    <row r="112" spans="1:11" ht="15.75" customHeight="1" x14ac:dyDescent="0.25">
      <c r="A112" s="1724" t="s">
        <v>625</v>
      </c>
      <c r="B112" s="1724"/>
      <c r="C112" s="1724"/>
      <c r="D112" s="1724"/>
      <c r="E112" s="1724"/>
      <c r="F112" s="1724"/>
      <c r="G112" s="1724"/>
      <c r="H112" s="1724"/>
      <c r="I112" s="1724"/>
      <c r="J112" s="1724"/>
      <c r="K112" s="1724"/>
    </row>
  </sheetData>
  <sheetProtection password="CF5C"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(2022-02-28)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tabSelected="1" zoomScale="40" zoomScaleNormal="40" zoomScaleSheetLayoutView="40" workbookViewId="0">
      <selection activeCell="I24" sqref="I24:R24"/>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500"/>
      <c r="B1" s="1501"/>
      <c r="C1" s="1502"/>
      <c r="D1" s="1489" t="s">
        <v>0</v>
      </c>
      <c r="E1" s="1490"/>
      <c r="F1" s="1490"/>
      <c r="G1" s="1490"/>
      <c r="H1" s="1490"/>
      <c r="I1" s="1490"/>
      <c r="J1" s="1490"/>
      <c r="K1" s="1490"/>
      <c r="L1" s="1490"/>
      <c r="M1" s="1490"/>
      <c r="N1" s="1490"/>
      <c r="O1" s="1490"/>
      <c r="P1" s="1490"/>
      <c r="Q1" s="1490"/>
      <c r="R1" s="1491"/>
      <c r="S1" s="715"/>
    </row>
    <row r="2" spans="1:19" s="12" customFormat="1" ht="5.0999999999999996" customHeight="1" thickBot="1" x14ac:dyDescent="0.35">
      <c r="A2" s="677"/>
      <c r="B2" s="677"/>
      <c r="C2" s="633"/>
      <c r="D2" s="91"/>
      <c r="E2" s="91"/>
      <c r="F2" s="91"/>
      <c r="G2" s="91"/>
      <c r="H2" s="91"/>
      <c r="I2" s="91"/>
      <c r="J2" s="91"/>
      <c r="K2" s="91"/>
      <c r="L2" s="91"/>
      <c r="M2" s="91"/>
      <c r="N2" s="91"/>
      <c r="O2" s="91"/>
      <c r="P2" s="91"/>
      <c r="Q2" s="91"/>
      <c r="R2" s="91"/>
      <c r="S2" s="633"/>
    </row>
    <row r="3" spans="1:19" s="13" customFormat="1" ht="31.5" customHeight="1" thickBot="1" x14ac:dyDescent="0.3">
      <c r="A3" s="92" t="s">
        <v>241</v>
      </c>
      <c r="B3" s="299" t="e">
        <f>VLOOKUP($S3,'DATOS ¬'!$D$7:$N$19,2,FALSE)</f>
        <v>#N/A</v>
      </c>
      <c r="C3" s="93" t="s">
        <v>3</v>
      </c>
      <c r="D3" s="1492" t="e">
        <f>VLOOKUP($S$3,'DATOS ¬'!$D$7:$N$19,3,FALSE)</f>
        <v>#N/A</v>
      </c>
      <c r="E3" s="1493"/>
      <c r="F3" s="93" t="s">
        <v>242</v>
      </c>
      <c r="G3" s="1494" t="e">
        <f>VLOOKUP($S$3,'DATOS ¬'!$D$7:$N$19,7,FALSE)</f>
        <v>#N/A</v>
      </c>
      <c r="H3" s="1494"/>
      <c r="I3" s="93" t="s">
        <v>243</v>
      </c>
      <c r="J3" s="1494" t="e">
        <f>VLOOKUP($S$3,'DATOS ¬'!$D$7:$N$19,4,FALSE)</f>
        <v>#N/A</v>
      </c>
      <c r="K3" s="1494"/>
      <c r="L3" s="93" t="s">
        <v>5</v>
      </c>
      <c r="M3" s="1492" t="e">
        <f>VLOOKUP($S$3,'DATOS ¬'!$D$7:$N$19,6,FALSE)</f>
        <v>#N/A</v>
      </c>
      <c r="N3" s="1493"/>
      <c r="O3" s="176" t="s">
        <v>244</v>
      </c>
      <c r="P3" s="1494" t="e">
        <f>VLOOKUP($S$3,'DATOS ¬'!$D$7:$N$19,11,FALSE)</f>
        <v>#N/A</v>
      </c>
      <c r="Q3" s="1494"/>
      <c r="R3" s="1495"/>
      <c r="S3" s="7"/>
    </row>
    <row r="4" spans="1:19" s="13" customFormat="1" ht="5.0999999999999996" customHeight="1" thickBot="1" x14ac:dyDescent="0.35">
      <c r="A4" s="716"/>
      <c r="B4" s="716"/>
      <c r="C4" s="716"/>
      <c r="D4" s="716"/>
      <c r="E4" s="716"/>
      <c r="F4" s="716"/>
      <c r="G4" s="716"/>
      <c r="H4" s="716"/>
      <c r="I4" s="716"/>
      <c r="J4" s="716"/>
      <c r="K4" s="716"/>
      <c r="L4" s="716"/>
      <c r="M4" s="716"/>
      <c r="N4" s="716"/>
      <c r="O4" s="716"/>
      <c r="P4" s="716"/>
      <c r="Q4" s="716"/>
      <c r="R4" s="716"/>
      <c r="S4" s="716"/>
    </row>
    <row r="5" spans="1:19" s="13" customFormat="1" ht="30" customHeight="1" thickBot="1" x14ac:dyDescent="0.35">
      <c r="A5" s="1505" t="s">
        <v>245</v>
      </c>
      <c r="B5" s="1506"/>
      <c r="C5" s="1506"/>
      <c r="D5" s="1506"/>
      <c r="E5" s="1506"/>
      <c r="F5" s="1506"/>
      <c r="G5" s="1506"/>
      <c r="H5" s="1506"/>
      <c r="I5" s="1506"/>
      <c r="J5" s="1506"/>
      <c r="K5" s="1506"/>
      <c r="L5" s="1506"/>
      <c r="M5" s="1506"/>
      <c r="N5" s="1506"/>
      <c r="O5" s="1506"/>
      <c r="P5" s="1506"/>
      <c r="Q5" s="1506"/>
      <c r="R5" s="1507"/>
      <c r="S5" s="716"/>
    </row>
    <row r="6" spans="1:19" s="12" customFormat="1" ht="67.5" customHeight="1" thickBot="1" x14ac:dyDescent="0.3">
      <c r="A6" s="94" t="s">
        <v>246</v>
      </c>
      <c r="B6" s="88" t="s">
        <v>247</v>
      </c>
      <c r="C6" s="95" t="s">
        <v>248</v>
      </c>
      <c r="D6" s="95" t="s">
        <v>132</v>
      </c>
      <c r="E6" s="95" t="s">
        <v>64</v>
      </c>
      <c r="F6" s="95" t="s">
        <v>132</v>
      </c>
      <c r="G6" s="95" t="s">
        <v>65</v>
      </c>
      <c r="H6" s="95" t="s">
        <v>132</v>
      </c>
      <c r="I6" s="95" t="s">
        <v>66</v>
      </c>
      <c r="J6" s="95" t="s">
        <v>132</v>
      </c>
      <c r="K6" s="170" t="s">
        <v>249</v>
      </c>
      <c r="L6" s="95" t="s">
        <v>132</v>
      </c>
      <c r="M6" s="95" t="s">
        <v>250</v>
      </c>
      <c r="N6" s="95" t="s">
        <v>132</v>
      </c>
      <c r="O6" s="95" t="s">
        <v>67</v>
      </c>
      <c r="P6" s="95" t="s">
        <v>68</v>
      </c>
      <c r="Q6" s="1508" t="s">
        <v>251</v>
      </c>
      <c r="R6" s="1509"/>
      <c r="S6" s="633"/>
    </row>
    <row r="7" spans="1:19" s="12" customFormat="1" ht="29.25" customHeight="1" thickBot="1" x14ac:dyDescent="0.35">
      <c r="A7" s="96" t="s">
        <v>252</v>
      </c>
      <c r="B7" s="717" t="e">
        <f>VLOOKUP(S7,'DATOS ¬'!C31:O33,3,FALSE)</f>
        <v>#N/A</v>
      </c>
      <c r="C7" s="718" t="e">
        <f>VLOOKUP(S7,'DATOS ¬'!C31:O33,4,FALSE)</f>
        <v>#N/A</v>
      </c>
      <c r="D7" s="719" t="s">
        <v>120</v>
      </c>
      <c r="E7" s="720" t="e">
        <f>VLOOKUP(S7,'DATOS ¬'!C31:O33,5,FALSE)</f>
        <v>#N/A</v>
      </c>
      <c r="F7" s="719" t="s">
        <v>120</v>
      </c>
      <c r="G7" s="718" t="e">
        <f>VLOOKUP(S7,'DATOS ¬'!C31:O33,6,FALSE)</f>
        <v>#N/A</v>
      </c>
      <c r="H7" s="719" t="s">
        <v>253</v>
      </c>
      <c r="I7" s="721" t="e">
        <f>VLOOKUP(S7,'DATOS ¬'!C31:O33,7,FALSE)</f>
        <v>#N/A</v>
      </c>
      <c r="J7" s="719" t="s">
        <v>120</v>
      </c>
      <c r="K7" s="722" t="e">
        <f>VLOOKUP(S7,'DATOS ¬'!C31:O33,13,FALSE)</f>
        <v>#N/A</v>
      </c>
      <c r="L7" s="719" t="s">
        <v>120</v>
      </c>
      <c r="M7" s="723" t="e">
        <f>SQRT((I7/2)^2+(K7/SQRT(12))^2)</f>
        <v>#N/A</v>
      </c>
      <c r="N7" s="719" t="s">
        <v>120</v>
      </c>
      <c r="O7" s="720" t="e">
        <f>VLOOKUP(S7,'DATOS ¬'!C31:O33,8,FALSE)</f>
        <v>#N/A</v>
      </c>
      <c r="P7" s="724" t="e">
        <f>VLOOKUP(S7,'DATOS ¬'!C31:O33,9,FALSE)</f>
        <v>#N/A</v>
      </c>
      <c r="Q7" s="725"/>
      <c r="R7" s="726"/>
      <c r="S7" s="97"/>
    </row>
    <row r="8" spans="1:19" s="12" customFormat="1" ht="30" customHeight="1" x14ac:dyDescent="0.25">
      <c r="A8" s="1510" t="s">
        <v>254</v>
      </c>
      <c r="B8" s="727" t="e">
        <f>VLOOKUP(S8,'DATOS ¬'!$C$37:$R$48,3,FALSE)</f>
        <v>#N/A</v>
      </c>
      <c r="C8" s="728" t="e">
        <f>VLOOKUP(S8,'DATOS ¬'!$C$37:$R$49,4,FALSE)</f>
        <v>#N/A</v>
      </c>
      <c r="D8" s="729" t="s">
        <v>134</v>
      </c>
      <c r="E8" s="728" t="e">
        <f>VLOOKUP(S8,'DATOS ¬'!$C$37:$R$49,5,FALSE)</f>
        <v>#N/A</v>
      </c>
      <c r="F8" s="730" t="s">
        <v>134</v>
      </c>
      <c r="G8" s="728" t="e">
        <f>VLOOKUP(S8,'DATOS ¬'!$C$37:$R$49,6,FALSE)</f>
        <v>#N/A</v>
      </c>
      <c r="H8" s="730" t="s">
        <v>134</v>
      </c>
      <c r="I8" s="728" t="e">
        <f>VLOOKUP(S8,'DATOS ¬'!$C$37:$R$49,7,FALSE)</f>
        <v>#N/A</v>
      </c>
      <c r="J8" s="730" t="s">
        <v>134</v>
      </c>
      <c r="K8" s="731" t="e">
        <f>VLOOKUP(S8,'DATOS ¬'!$C$37:$R$49,16,FALSE)</f>
        <v>#N/A</v>
      </c>
      <c r="L8" s="730" t="s">
        <v>134</v>
      </c>
      <c r="M8" s="723" t="e">
        <f t="shared" ref="M8:M19" si="0">SQRT((I8/2)^2+(K8/SQRT(12))^2)</f>
        <v>#N/A</v>
      </c>
      <c r="N8" s="730" t="s">
        <v>134</v>
      </c>
      <c r="O8" s="732" t="e">
        <f>VLOOKUP(S8,'DATOS ¬'!$C$37:$R$49,8,FALSE)</f>
        <v>#N/A</v>
      </c>
      <c r="P8" s="724" t="e">
        <f>VLOOKUP(S8,'DATOS ¬'!$C$37:$R$49,9,FALSE)</f>
        <v>#N/A</v>
      </c>
      <c r="Q8" s="733"/>
      <c r="R8" s="734"/>
      <c r="S8" s="98"/>
    </row>
    <row r="9" spans="1:19" s="12" customFormat="1" ht="30" customHeight="1" x14ac:dyDescent="0.25">
      <c r="A9" s="1511"/>
      <c r="B9" s="727" t="e">
        <f>VLOOKUP(S9,'DATOS ¬'!$C$37:$R$48,3,FALSE)</f>
        <v>#N/A</v>
      </c>
      <c r="C9" s="728" t="e">
        <f>VLOOKUP(S9,'DATOS ¬'!$C$37:$R$49,4,FALSE)</f>
        <v>#N/A</v>
      </c>
      <c r="D9" s="729" t="s">
        <v>134</v>
      </c>
      <c r="E9" s="728" t="e">
        <f>VLOOKUP(S9,'DATOS ¬'!$C$37:$R$49,5,FALSE)</f>
        <v>#N/A</v>
      </c>
      <c r="F9" s="730" t="s">
        <v>134</v>
      </c>
      <c r="G9" s="728" t="e">
        <f>VLOOKUP(S9,'DATOS ¬'!$C$37:$R$49,6,FALSE)</f>
        <v>#N/A</v>
      </c>
      <c r="H9" s="730" t="s">
        <v>134</v>
      </c>
      <c r="I9" s="728" t="e">
        <f>VLOOKUP(S9,'DATOS ¬'!$C$37:$R$49,7,FALSE)</f>
        <v>#N/A</v>
      </c>
      <c r="J9" s="730" t="s">
        <v>134</v>
      </c>
      <c r="K9" s="731" t="e">
        <f>VLOOKUP(S9,'DATOS ¬'!$C$37:$R$49,16,FALSE)</f>
        <v>#N/A</v>
      </c>
      <c r="L9" s="730" t="s">
        <v>134</v>
      </c>
      <c r="M9" s="723" t="e">
        <f t="shared" si="0"/>
        <v>#N/A</v>
      </c>
      <c r="N9" s="730" t="s">
        <v>134</v>
      </c>
      <c r="O9" s="732" t="e">
        <f>VLOOKUP(S9,'DATOS ¬'!$C$37:$R$49,8,FALSE)</f>
        <v>#N/A</v>
      </c>
      <c r="P9" s="724" t="e">
        <f>VLOOKUP(S9,'DATOS ¬'!$C$37:$R$49,9,FALSE)</f>
        <v>#N/A</v>
      </c>
      <c r="Q9" s="735"/>
      <c r="R9" s="736"/>
      <c r="S9" s="99"/>
    </row>
    <row r="10" spans="1:19" s="12" customFormat="1" ht="30" customHeight="1" x14ac:dyDescent="0.25">
      <c r="A10" s="1511"/>
      <c r="B10" s="727" t="e">
        <f>VLOOKUP(S10,'DATOS ¬'!$C$37:$R$48,3,FALSE)</f>
        <v>#N/A</v>
      </c>
      <c r="C10" s="728" t="e">
        <f>VLOOKUP(S10,'DATOS ¬'!$C$37:$R$49,4,FALSE)</f>
        <v>#N/A</v>
      </c>
      <c r="D10" s="729" t="s">
        <v>134</v>
      </c>
      <c r="E10" s="728" t="e">
        <f>VLOOKUP(S10,'DATOS ¬'!$C$37:$R$49,5,FALSE)</f>
        <v>#N/A</v>
      </c>
      <c r="F10" s="730" t="s">
        <v>255</v>
      </c>
      <c r="G10" s="728" t="e">
        <f>VLOOKUP(S10,'DATOS ¬'!$C$37:$R$49,6,FALSE)</f>
        <v>#N/A</v>
      </c>
      <c r="H10" s="730" t="s">
        <v>134</v>
      </c>
      <c r="I10" s="737" t="e">
        <f>VLOOKUP(S10,'DATOS ¬'!$C$37:$R$49,7,FALSE)</f>
        <v>#N/A</v>
      </c>
      <c r="J10" s="730" t="s">
        <v>134</v>
      </c>
      <c r="K10" s="731" t="e">
        <f>VLOOKUP(S10,'DATOS ¬'!$C$37:$R$49,16,FALSE)</f>
        <v>#N/A</v>
      </c>
      <c r="L10" s="730" t="s">
        <v>134</v>
      </c>
      <c r="M10" s="723" t="e">
        <f t="shared" si="0"/>
        <v>#N/A</v>
      </c>
      <c r="N10" s="730" t="s">
        <v>134</v>
      </c>
      <c r="O10" s="732" t="e">
        <f>VLOOKUP(S10,'DATOS ¬'!$C$37:$R$49,8,FALSE)</f>
        <v>#N/A</v>
      </c>
      <c r="P10" s="724" t="e">
        <f>VLOOKUP(S10,'DATOS ¬'!$C$37:$R$49,9,FALSE)</f>
        <v>#N/A</v>
      </c>
      <c r="Q10" s="735"/>
      <c r="R10" s="734"/>
      <c r="S10" s="99"/>
    </row>
    <row r="11" spans="1:19" s="12" customFormat="1" ht="30" customHeight="1" x14ac:dyDescent="0.25">
      <c r="A11" s="1511"/>
      <c r="B11" s="727" t="e">
        <f>VLOOKUP(S11,'DATOS ¬'!$C$37:$R$49,3,FALSE)</f>
        <v>#N/A</v>
      </c>
      <c r="C11" s="728" t="e">
        <f>VLOOKUP(S11,'DATOS ¬'!$C$37:$R$49,4,FALSE)</f>
        <v>#N/A</v>
      </c>
      <c r="D11" s="729" t="s">
        <v>134</v>
      </c>
      <c r="E11" s="728" t="e">
        <f>VLOOKUP(S11,'DATOS ¬'!$C$37:$R$49,5,FALSE)</f>
        <v>#N/A</v>
      </c>
      <c r="F11" s="730" t="s">
        <v>255</v>
      </c>
      <c r="G11" s="728" t="e">
        <f>VLOOKUP(S11,'DATOS ¬'!$C$37:$R$49,6,FALSE)</f>
        <v>#N/A</v>
      </c>
      <c r="H11" s="730" t="s">
        <v>134</v>
      </c>
      <c r="I11" s="728" t="e">
        <f>VLOOKUP(S11,'DATOS ¬'!$C$37:$R$49,7,FALSE)</f>
        <v>#N/A</v>
      </c>
      <c r="J11" s="730" t="s">
        <v>134</v>
      </c>
      <c r="K11" s="731" t="e">
        <f>VLOOKUP(S11,'DATOS ¬'!$C$37:$R$49,16,FALSE)</f>
        <v>#N/A</v>
      </c>
      <c r="L11" s="730" t="s">
        <v>134</v>
      </c>
      <c r="M11" s="723" t="e">
        <f t="shared" si="0"/>
        <v>#N/A</v>
      </c>
      <c r="N11" s="730" t="s">
        <v>134</v>
      </c>
      <c r="O11" s="732" t="e">
        <f>VLOOKUP(S11,'DATOS ¬'!$C$37:$R$49,8,FALSE)</f>
        <v>#N/A</v>
      </c>
      <c r="P11" s="724" t="e">
        <f>VLOOKUP(S11,'DATOS ¬'!$C$37:$R$49,9,FALSE)</f>
        <v>#N/A</v>
      </c>
      <c r="Q11" s="735"/>
      <c r="R11" s="100"/>
      <c r="S11" s="99"/>
    </row>
    <row r="12" spans="1:19" s="12" customFormat="1" ht="30" customHeight="1" thickBot="1" x14ac:dyDescent="0.3">
      <c r="A12" s="1512"/>
      <c r="B12" s="727" t="e">
        <f>VLOOKUP(S12,'DATOS ¬'!$C$37:$R$49,3,FALSE)</f>
        <v>#N/A</v>
      </c>
      <c r="C12" s="728" t="e">
        <f>VLOOKUP(S12,'DATOS ¬'!$C$37:$R$49,4,FALSE)</f>
        <v>#N/A</v>
      </c>
      <c r="D12" s="729" t="s">
        <v>134</v>
      </c>
      <c r="E12" s="728" t="e">
        <f>VLOOKUP(S12,'DATOS ¬'!$C$37:$R$49,5,FALSE)</f>
        <v>#N/A</v>
      </c>
      <c r="F12" s="730" t="s">
        <v>255</v>
      </c>
      <c r="G12" s="728" t="e">
        <f>VLOOKUP(S12,'DATOS ¬'!$C$37:$R$49,6,FALSE)</f>
        <v>#N/A</v>
      </c>
      <c r="H12" s="730" t="s">
        <v>134</v>
      </c>
      <c r="I12" s="728" t="e">
        <f>VLOOKUP(S12,'DATOS ¬'!$C$37:$R$49,7,FALSE)</f>
        <v>#N/A</v>
      </c>
      <c r="J12" s="730" t="s">
        <v>134</v>
      </c>
      <c r="K12" s="731" t="e">
        <f>VLOOKUP(S12,'DATOS ¬'!$C$37:$R$49,16,FALSE)</f>
        <v>#N/A</v>
      </c>
      <c r="L12" s="730" t="s">
        <v>134</v>
      </c>
      <c r="M12" s="723" t="e">
        <f t="shared" si="0"/>
        <v>#N/A</v>
      </c>
      <c r="N12" s="730" t="s">
        <v>134</v>
      </c>
      <c r="O12" s="732" t="e">
        <f>VLOOKUP(S12,'DATOS ¬'!$C$37:$R$49,8,FALSE)</f>
        <v>#N/A</v>
      </c>
      <c r="P12" s="724" t="e">
        <f>VLOOKUP(S12,'DATOS ¬'!$C$37:$R$49,9,FALSE)</f>
        <v>#N/A</v>
      </c>
      <c r="Q12" s="735"/>
      <c r="R12" s="100"/>
      <c r="S12" s="101"/>
    </row>
    <row r="13" spans="1:19" s="12" customFormat="1" ht="30" customHeight="1" x14ac:dyDescent="0.25">
      <c r="A13" s="1510" t="s">
        <v>256</v>
      </c>
      <c r="B13" s="727" t="e">
        <f>VLOOKUP(S13,'DATOS ¬'!$C$37:$R$49,3,FALSE)</f>
        <v>#N/A</v>
      </c>
      <c r="C13" s="728" t="e">
        <f>VLOOKUP(S13,'DATOS ¬'!$C$37:$R$49,4,FALSE)</f>
        <v>#N/A</v>
      </c>
      <c r="D13" s="729" t="s">
        <v>134</v>
      </c>
      <c r="E13" s="728" t="e">
        <f>VLOOKUP(S13,'DATOS ¬'!$C$37:$R$49,5,FALSE)</f>
        <v>#N/A</v>
      </c>
      <c r="F13" s="730" t="s">
        <v>134</v>
      </c>
      <c r="G13" s="728" t="e">
        <f>VLOOKUP(S13,'DATOS ¬'!$C$37:$R$49,6,FALSE)</f>
        <v>#N/A</v>
      </c>
      <c r="H13" s="730" t="s">
        <v>134</v>
      </c>
      <c r="I13" s="728" t="e">
        <f>VLOOKUP(S13,'DATOS ¬'!$C$37:$R$49,7,FALSE)</f>
        <v>#N/A</v>
      </c>
      <c r="J13" s="730" t="s">
        <v>134</v>
      </c>
      <c r="K13" s="731" t="e">
        <f>VLOOKUP(S13,'DATOS ¬'!$C$37:$R$49,16,FALSE)</f>
        <v>#N/A</v>
      </c>
      <c r="L13" s="730" t="s">
        <v>134</v>
      </c>
      <c r="M13" s="723" t="e">
        <f t="shared" si="0"/>
        <v>#N/A</v>
      </c>
      <c r="N13" s="730" t="s">
        <v>134</v>
      </c>
      <c r="O13" s="732" t="e">
        <f>VLOOKUP(S13,'DATOS ¬'!$C$37:$R$49,8,FALSE)</f>
        <v>#N/A</v>
      </c>
      <c r="P13" s="724" t="e">
        <f>VLOOKUP(S13,'DATOS ¬'!$C$37:$R$49,9,FALSE)</f>
        <v>#N/A</v>
      </c>
      <c r="Q13" s="735"/>
      <c r="R13" s="734"/>
      <c r="S13" s="98"/>
    </row>
    <row r="14" spans="1:19" s="12" customFormat="1" ht="30" customHeight="1" x14ac:dyDescent="0.25">
      <c r="A14" s="1511"/>
      <c r="B14" s="727" t="e">
        <f>VLOOKUP(S14,'DATOS ¬'!$C$43:$R$48,3,FALSE)</f>
        <v>#N/A</v>
      </c>
      <c r="C14" s="728" t="e">
        <f>VLOOKUP(S14,'DATOS ¬'!$C$37:$R$49,4,FALSE)</f>
        <v>#N/A</v>
      </c>
      <c r="D14" s="729" t="s">
        <v>134</v>
      </c>
      <c r="E14" s="738" t="e">
        <f>VLOOKUP(S14,'DATOS ¬'!$C$37:$R$49,5,FALSE)</f>
        <v>#N/A</v>
      </c>
      <c r="F14" s="730" t="s">
        <v>134</v>
      </c>
      <c r="G14" s="728" t="e">
        <f>VLOOKUP(S14,'DATOS ¬'!$C$37:$R$49,6,FALSE)</f>
        <v>#N/A</v>
      </c>
      <c r="H14" s="730" t="s">
        <v>134</v>
      </c>
      <c r="I14" s="728" t="e">
        <f>VLOOKUP(S14,'DATOS ¬'!$C$37:$R$49,7,FALSE)</f>
        <v>#N/A</v>
      </c>
      <c r="J14" s="730" t="s">
        <v>134</v>
      </c>
      <c r="K14" s="731" t="e">
        <f>VLOOKUP(S14,'DATOS ¬'!$C$37:$R$49,16,FALSE)</f>
        <v>#N/A</v>
      </c>
      <c r="L14" s="730" t="s">
        <v>134</v>
      </c>
      <c r="M14" s="723" t="e">
        <f t="shared" si="0"/>
        <v>#N/A</v>
      </c>
      <c r="N14" s="730" t="s">
        <v>134</v>
      </c>
      <c r="O14" s="732" t="e">
        <f>VLOOKUP(S14,'DATOS ¬'!$C$37:$R$49,8,FALSE)</f>
        <v>#N/A</v>
      </c>
      <c r="P14" s="724" t="e">
        <f>VLOOKUP(S14,'DATOS ¬'!$C$37:$R$49,9,FALSE)</f>
        <v>#N/A</v>
      </c>
      <c r="Q14" s="735"/>
      <c r="R14" s="734"/>
      <c r="S14" s="99"/>
    </row>
    <row r="15" spans="1:19" s="12" customFormat="1" ht="30" customHeight="1" x14ac:dyDescent="0.25">
      <c r="A15" s="1511"/>
      <c r="B15" s="727" t="e">
        <f>VLOOKUP(S15,'DATOS ¬'!$C$43:$R$48,3,FALSE)</f>
        <v>#N/A</v>
      </c>
      <c r="C15" s="728" t="e">
        <f>VLOOKUP(S15,'DATOS ¬'!$C$37:$R$49,4,FALSE)</f>
        <v>#N/A</v>
      </c>
      <c r="D15" s="729" t="s">
        <v>134</v>
      </c>
      <c r="E15" s="738" t="e">
        <f>VLOOKUP(S15,'DATOS ¬'!$C$37:$R$49,5,FALSE)</f>
        <v>#N/A</v>
      </c>
      <c r="F15" s="730" t="s">
        <v>134</v>
      </c>
      <c r="G15" s="728" t="e">
        <f>VLOOKUP(S15,'DATOS ¬'!$C$37:$R$49,6,FALSE)</f>
        <v>#N/A</v>
      </c>
      <c r="H15" s="730" t="s">
        <v>134</v>
      </c>
      <c r="I15" s="728" t="e">
        <f>VLOOKUP(S15,'DATOS ¬'!$C$37:$R$49,7,FALSE)</f>
        <v>#N/A</v>
      </c>
      <c r="J15" s="730" t="s">
        <v>134</v>
      </c>
      <c r="K15" s="731" t="e">
        <f>VLOOKUP(S15,'DATOS ¬'!$C$37:$R$49,16,FALSE)</f>
        <v>#N/A</v>
      </c>
      <c r="L15" s="730" t="s">
        <v>134</v>
      </c>
      <c r="M15" s="723" t="e">
        <f t="shared" si="0"/>
        <v>#N/A</v>
      </c>
      <c r="N15" s="730" t="s">
        <v>134</v>
      </c>
      <c r="O15" s="732" t="e">
        <f>VLOOKUP(S15,'DATOS ¬'!$C$37:$R$49,8,FALSE)</f>
        <v>#N/A</v>
      </c>
      <c r="P15" s="724" t="e">
        <f>VLOOKUP(S15,'DATOS ¬'!$C$37:$R$49,9,FALSE)</f>
        <v>#N/A</v>
      </c>
      <c r="Q15" s="735"/>
      <c r="R15" s="734"/>
      <c r="S15" s="99"/>
    </row>
    <row r="16" spans="1:19" s="12" customFormat="1" ht="30" customHeight="1" x14ac:dyDescent="0.25">
      <c r="A16" s="1511"/>
      <c r="B16" s="727" t="e">
        <f>VLOOKUP(S16,'DATOS ¬'!$C$37:$R$49,3,FALSE)</f>
        <v>#N/A</v>
      </c>
      <c r="C16" s="728" t="e">
        <f>VLOOKUP(S16,'DATOS ¬'!$C$37:$R$49,4,FALSE)</f>
        <v>#N/A</v>
      </c>
      <c r="D16" s="729" t="s">
        <v>134</v>
      </c>
      <c r="E16" s="738" t="e">
        <f>VLOOKUP(S16,'DATOS ¬'!$C$37:$R$49,5,FALSE)</f>
        <v>#N/A</v>
      </c>
      <c r="F16" s="730" t="s">
        <v>134</v>
      </c>
      <c r="G16" s="728" t="e">
        <f>VLOOKUP(S16,'DATOS ¬'!$C$37:$R$49,6,FALSE)</f>
        <v>#N/A</v>
      </c>
      <c r="H16" s="730" t="s">
        <v>134</v>
      </c>
      <c r="I16" s="728" t="e">
        <f>VLOOKUP(S16,'DATOS ¬'!$C$37:$R$49,7,FALSE)</f>
        <v>#N/A</v>
      </c>
      <c r="J16" s="730" t="s">
        <v>134</v>
      </c>
      <c r="K16" s="731" t="e">
        <f>VLOOKUP(S16,'DATOS ¬'!$C$37:$R$49,16,FALSE)</f>
        <v>#N/A</v>
      </c>
      <c r="L16" s="730" t="s">
        <v>134</v>
      </c>
      <c r="M16" s="723" t="e">
        <f t="shared" si="0"/>
        <v>#N/A</v>
      </c>
      <c r="N16" s="730" t="s">
        <v>134</v>
      </c>
      <c r="O16" s="732" t="e">
        <f>VLOOKUP(S16,'DATOS ¬'!$C$37:$R$49,8,FALSE)</f>
        <v>#N/A</v>
      </c>
      <c r="P16" s="724" t="e">
        <f>VLOOKUP(S16,'DATOS ¬'!$C$37:$R$49,9,FALSE)</f>
        <v>#N/A</v>
      </c>
      <c r="Q16" s="735"/>
      <c r="R16" s="100"/>
      <c r="S16" s="99"/>
    </row>
    <row r="17" spans="1:20" s="12" customFormat="1" ht="30" customHeight="1" thickBot="1" x14ac:dyDescent="0.3">
      <c r="A17" s="1512"/>
      <c r="B17" s="727" t="e">
        <f>VLOOKUP(S17,'DATOS ¬'!$C$37:$R$49,3,FALSE)</f>
        <v>#N/A</v>
      </c>
      <c r="C17" s="728" t="e">
        <f>VLOOKUP(S17,'DATOS ¬'!$C$37:$R$49,4,FALSE)</f>
        <v>#N/A</v>
      </c>
      <c r="D17" s="729" t="s">
        <v>134</v>
      </c>
      <c r="E17" s="738" t="e">
        <f>VLOOKUP(S17,'DATOS ¬'!$C$37:$R$49,5,FALSE)</f>
        <v>#N/A</v>
      </c>
      <c r="F17" s="730" t="s">
        <v>134</v>
      </c>
      <c r="G17" s="728" t="e">
        <f>VLOOKUP(S17,'DATOS ¬'!$C$37:$R$49,6,FALSE)</f>
        <v>#N/A</v>
      </c>
      <c r="H17" s="730" t="s">
        <v>134</v>
      </c>
      <c r="I17" s="728" t="e">
        <f>VLOOKUP(S17,'DATOS ¬'!$C$37:$R$49,7,FALSE)</f>
        <v>#N/A</v>
      </c>
      <c r="J17" s="730" t="s">
        <v>134</v>
      </c>
      <c r="K17" s="731" t="e">
        <f>VLOOKUP(S17,'DATOS ¬'!$C$37:$R$49,16,FALSE)</f>
        <v>#N/A</v>
      </c>
      <c r="L17" s="730" t="s">
        <v>134</v>
      </c>
      <c r="M17" s="723" t="e">
        <f t="shared" si="0"/>
        <v>#N/A</v>
      </c>
      <c r="N17" s="730" t="s">
        <v>134</v>
      </c>
      <c r="O17" s="732" t="e">
        <f>VLOOKUP(S17,'DATOS ¬'!$C$37:$R$49,8,FALSE)</f>
        <v>#N/A</v>
      </c>
      <c r="P17" s="724" t="e">
        <f>VLOOKUP(S17,'DATOS ¬'!$C$37:$R$49,9,FALSE)</f>
        <v>#N/A</v>
      </c>
      <c r="Q17" s="735"/>
      <c r="R17" s="100"/>
      <c r="S17" s="101"/>
      <c r="T17" s="633"/>
    </row>
    <row r="18" spans="1:20" s="12" customFormat="1" ht="81" customHeight="1" thickBot="1" x14ac:dyDescent="0.3">
      <c r="A18" s="102" t="s">
        <v>257</v>
      </c>
      <c r="B18" s="739" t="e">
        <f>VLOOKUP(S18,'DATOS ¬'!$C$131:$W$152,3,FALSE)</f>
        <v>#N/A</v>
      </c>
      <c r="C18" s="738" t="e">
        <f>VLOOKUP(S18,'DATOS ¬'!$C$131:$W$152,4,FALSE)</f>
        <v>#N/A</v>
      </c>
      <c r="D18" s="729" t="s">
        <v>120</v>
      </c>
      <c r="E18" s="738" t="e">
        <f>VLOOKUP(S18,'DATOS ¬'!$C$131:$W$152,5,FALSE)</f>
        <v>#N/A</v>
      </c>
      <c r="F18" s="729" t="s">
        <v>120</v>
      </c>
      <c r="G18" s="738" t="e">
        <f>VLOOKUP(S18,'DATOS ¬'!$C$131:$W$152,6,FALSE)</f>
        <v>#N/A</v>
      </c>
      <c r="H18" s="729" t="s">
        <v>120</v>
      </c>
      <c r="I18" s="738" t="e">
        <f>VLOOKUP(S18,'DATOS ¬'!$C$131:$W$152,7,FALSE)</f>
        <v>#N/A</v>
      </c>
      <c r="J18" s="740" t="s">
        <v>120</v>
      </c>
      <c r="K18" s="741" t="e">
        <f>VLOOKUP(S18,'DATOS ¬'!$C$131:$W$152,21,FALSE)</f>
        <v>#N/A</v>
      </c>
      <c r="L18" s="729" t="s">
        <v>120</v>
      </c>
      <c r="M18" s="723" t="e">
        <f t="shared" si="0"/>
        <v>#N/A</v>
      </c>
      <c r="N18" s="729" t="s">
        <v>120</v>
      </c>
      <c r="O18" s="732" t="e">
        <f>VLOOKUP(S18,'DATOS ¬'!$C$131:$W$152,8,FALSE)</f>
        <v>#N/A</v>
      </c>
      <c r="P18" s="724" t="e">
        <f>VLOOKUP(S18,'DATOS ¬'!$C$131:$W$152,9,FALSE)</f>
        <v>#N/A</v>
      </c>
      <c r="Q18" s="742" t="s">
        <v>258</v>
      </c>
      <c r="R18" s="743" t="s">
        <v>259</v>
      </c>
      <c r="S18" s="103"/>
      <c r="T18" s="633"/>
    </row>
    <row r="19" spans="1:20" s="12" customFormat="1" ht="30" customHeight="1" x14ac:dyDescent="0.25">
      <c r="A19" s="1503" t="s">
        <v>260</v>
      </c>
      <c r="B19" s="1538" t="e">
        <f>VLOOKUP(S19,'DATOS ¬'!$C$155:$AA$161,3,FALSE)</f>
        <v>#N/A</v>
      </c>
      <c r="C19" s="1540" t="e">
        <f>VLOOKUP(S19,'DATOS ¬'!$C$155:$AA$161,4,FALSE)</f>
        <v>#N/A</v>
      </c>
      <c r="D19" s="1536" t="s">
        <v>120</v>
      </c>
      <c r="E19" s="1534" t="e">
        <f>VLOOKUP(S19,'DATOS ¬'!$C$155:$AA$161,5,FALSE)</f>
        <v>#N/A</v>
      </c>
      <c r="F19" s="1536" t="s">
        <v>120</v>
      </c>
      <c r="G19" s="1540" t="e">
        <f>VLOOKUP(S19,'DATOS ¬'!$C$155:$AA$161,6,FALSE)</f>
        <v>#N/A</v>
      </c>
      <c r="H19" s="1536" t="s">
        <v>120</v>
      </c>
      <c r="I19" s="1534" t="e">
        <f>VLOOKUP(S19,'DATOS ¬'!$C$155:$AA$161,7,FALSE)</f>
        <v>#N/A</v>
      </c>
      <c r="J19" s="1536" t="s">
        <v>120</v>
      </c>
      <c r="K19" s="1549" t="e">
        <f>VLOOKUP(S19,'DATOS ¬'!$C$155:$AA$161,25,FALSE)</f>
        <v>#N/A</v>
      </c>
      <c r="L19" s="1496" t="s">
        <v>120</v>
      </c>
      <c r="M19" s="1498" t="e">
        <f t="shared" si="0"/>
        <v>#N/A</v>
      </c>
      <c r="N19" s="1496" t="s">
        <v>120</v>
      </c>
      <c r="O19" s="1526" t="e">
        <f>VLOOKUP(S19,'DATOS ¬'!$C$155:$AA$161,8,FALSE)</f>
        <v>#N/A</v>
      </c>
      <c r="P19" s="1528" t="e">
        <f>VLOOKUP(S19,'DATOS ¬'!$C$155:$AA$161,9,FALSE)</f>
        <v>#N/A</v>
      </c>
      <c r="Q19" s="491" t="e">
        <f>VLOOKUP(S19,'DATOS ¬'!$C$155:$AA$161,12,FALSE)</f>
        <v>#N/A</v>
      </c>
      <c r="R19" s="492" t="e">
        <f>VLOOKUP(S19,'DATOS ¬'!$C$155:$AA$161,14,FALSE)</f>
        <v>#N/A</v>
      </c>
      <c r="S19" s="1513"/>
      <c r="T19" s="633"/>
    </row>
    <row r="20" spans="1:20" s="12" customFormat="1" ht="30" customHeight="1" thickBot="1" x14ac:dyDescent="0.3">
      <c r="A20" s="1504"/>
      <c r="B20" s="1539"/>
      <c r="C20" s="1541"/>
      <c r="D20" s="1537"/>
      <c r="E20" s="1535"/>
      <c r="F20" s="1537"/>
      <c r="G20" s="1541"/>
      <c r="H20" s="1537"/>
      <c r="I20" s="1535"/>
      <c r="J20" s="1537"/>
      <c r="K20" s="1549"/>
      <c r="L20" s="1497"/>
      <c r="M20" s="1499"/>
      <c r="N20" s="1497"/>
      <c r="O20" s="1527"/>
      <c r="P20" s="1529"/>
      <c r="Q20" s="493" t="e">
        <f>VLOOKUP(S19,'DATOS ¬'!$C$155:$AA$161,13,FALSE)</f>
        <v>#N/A</v>
      </c>
      <c r="R20" s="494" t="e">
        <f>VLOOKUP(S19,'DATOS ¬'!$C$155:$AA$161,15,FALSE)</f>
        <v>#N/A</v>
      </c>
      <c r="S20" s="1514"/>
      <c r="T20" s="633"/>
    </row>
    <row r="21" spans="1:20" s="13" customFormat="1" ht="27.75" customHeight="1" thickBot="1" x14ac:dyDescent="0.3">
      <c r="A21" s="104" t="s">
        <v>261</v>
      </c>
      <c r="B21" s="739" t="e">
        <f>VLOOKUP(S21,'DATOS ¬'!$C$167:$K$168,3,FALSE)</f>
        <v>#N/A</v>
      </c>
      <c r="C21" s="744" t="e">
        <f>VLOOKUP(S21,'DATOS ¬'!$C$167:$K$168,4,FALSE)</f>
        <v>#N/A</v>
      </c>
      <c r="D21" s="729" t="s">
        <v>262</v>
      </c>
      <c r="E21" s="745" t="e">
        <f>VLOOKUP(S21,'DATOS ¬'!$C$167:$K$168,5,FALSE)</f>
        <v>#N/A</v>
      </c>
      <c r="F21" s="729" t="s">
        <v>262</v>
      </c>
      <c r="G21" s="746" t="e">
        <f>VLOOKUP(S21,'DATOS ¬'!$C$167:$K$168,6,FALSE)</f>
        <v>#N/A</v>
      </c>
      <c r="H21" s="729" t="s">
        <v>262</v>
      </c>
      <c r="I21" s="746" t="e">
        <f>VLOOKUP(S21,'DATOS ¬'!$C$167:$K$168,7,FALSE)</f>
        <v>#N/A</v>
      </c>
      <c r="J21" s="740" t="s">
        <v>262</v>
      </c>
      <c r="K21" s="747" t="e">
        <f>(I21/2)/SQRT(12)</f>
        <v>#N/A</v>
      </c>
      <c r="L21" s="729" t="s">
        <v>262</v>
      </c>
      <c r="M21" s="723" t="e">
        <f>SQRT((I21/2)^2+(K21)^2)</f>
        <v>#N/A</v>
      </c>
      <c r="N21" s="748" t="s">
        <v>262</v>
      </c>
      <c r="O21" s="732" t="e">
        <f>VLOOKUP(S21,'DATOS ¬'!$C$167:$K$168,8,FALSE)</f>
        <v>#N/A</v>
      </c>
      <c r="P21" s="724" t="e">
        <f>VLOOKUP(S21,'DATOS ¬'!$C$167:$K$168,9,FALSE)</f>
        <v>#N/A</v>
      </c>
      <c r="Q21" s="749"/>
      <c r="R21" s="750"/>
      <c r="S21" s="97"/>
      <c r="T21" s="716"/>
    </row>
    <row r="22" spans="1:20" s="12" customFormat="1" ht="30" customHeight="1" thickBot="1" x14ac:dyDescent="0.35">
      <c r="A22" s="105" t="s">
        <v>263</v>
      </c>
      <c r="B22" s="751" t="e">
        <f>VLOOKUP(S22,'DATOS ¬'!$C$173:$K$188,3,FALSE)</f>
        <v>#N/A</v>
      </c>
      <c r="C22" s="752" t="e">
        <f>VLOOKUP(S22,'DATOS ¬'!$C$173:$K$188,4,FALSE)</f>
        <v>#N/A</v>
      </c>
      <c r="D22" s="753" t="s">
        <v>264</v>
      </c>
      <c r="E22" s="754" t="e">
        <f>VLOOKUP(S22,'DATOS ¬'!$C$173:$K$188,5,FALSE)</f>
        <v>#N/A</v>
      </c>
      <c r="F22" s="753" t="s">
        <v>264</v>
      </c>
      <c r="G22" s="755" t="e">
        <f>VLOOKUP(S22,'DATOS ¬'!$C$173:$K$188,6,FALSE)</f>
        <v>#N/A</v>
      </c>
      <c r="H22" s="753" t="s">
        <v>264</v>
      </c>
      <c r="I22" s="756" t="e">
        <f>VLOOKUP(S22,'DATOS ¬'!$C$173:$K$188,7,FALSE)</f>
        <v>#N/A</v>
      </c>
      <c r="J22" s="753" t="s">
        <v>264</v>
      </c>
      <c r="K22" s="757" t="e">
        <f>(I22/2)/SQRT(12)</f>
        <v>#N/A</v>
      </c>
      <c r="L22" s="753" t="s">
        <v>264</v>
      </c>
      <c r="M22" s="758" t="e">
        <f>SQRT((I22/2)^2+(K22)^2)</f>
        <v>#N/A</v>
      </c>
      <c r="N22" s="753" t="s">
        <v>264</v>
      </c>
      <c r="O22" s="759" t="e">
        <f>VLOOKUP(S22,'DATOS ¬'!$C$173:$K$188,8,FALSE)</f>
        <v>#N/A</v>
      </c>
      <c r="P22" s="760" t="e">
        <f>VLOOKUP(S22,'DATOS ¬'!$C$173:$K$188,9,FALSE)</f>
        <v>#N/A</v>
      </c>
      <c r="Q22" s="761"/>
      <c r="R22" s="762"/>
      <c r="S22" s="101"/>
      <c r="T22" s="633"/>
    </row>
    <row r="23" spans="1:20" s="12" customFormat="1" ht="30" customHeight="1" thickBot="1" x14ac:dyDescent="0.35">
      <c r="A23" s="633"/>
      <c r="B23" s="633"/>
      <c r="C23" s="633"/>
      <c r="D23" s="633"/>
      <c r="E23" s="633"/>
      <c r="F23" s="633"/>
      <c r="G23" s="633"/>
      <c r="H23" s="633"/>
      <c r="I23" s="633"/>
      <c r="J23" s="633"/>
      <c r="K23" s="633"/>
      <c r="L23" s="633"/>
      <c r="M23" s="633"/>
      <c r="N23" s="633"/>
      <c r="O23" s="633"/>
      <c r="P23" s="633"/>
      <c r="Q23" s="633"/>
      <c r="R23" s="633"/>
      <c r="S23" s="633"/>
      <c r="T23" s="633"/>
    </row>
    <row r="24" spans="1:20" s="12" customFormat="1" ht="30" customHeight="1" thickBot="1" x14ac:dyDescent="0.35">
      <c r="A24" s="716"/>
      <c r="B24" s="1515" t="s">
        <v>265</v>
      </c>
      <c r="C24" s="1516"/>
      <c r="D24" s="1516"/>
      <c r="E24" s="1516"/>
      <c r="F24" s="1516"/>
      <c r="G24" s="1517"/>
      <c r="H24" s="716"/>
      <c r="I24" s="1515" t="s">
        <v>266</v>
      </c>
      <c r="J24" s="1516"/>
      <c r="K24" s="1516"/>
      <c r="L24" s="1516"/>
      <c r="M24" s="1516"/>
      <c r="N24" s="1516"/>
      <c r="O24" s="1516"/>
      <c r="P24" s="1516"/>
      <c r="Q24" s="1516"/>
      <c r="R24" s="1517"/>
      <c r="S24" s="633"/>
      <c r="T24" s="633"/>
    </row>
    <row r="25" spans="1:20" s="12" customFormat="1" ht="30" customHeight="1" thickBot="1" x14ac:dyDescent="0.3">
      <c r="A25" s="716"/>
      <c r="B25" s="87" t="s">
        <v>267</v>
      </c>
      <c r="C25" s="106"/>
      <c r="D25" s="1542" t="s">
        <v>252</v>
      </c>
      <c r="E25" s="1543"/>
      <c r="F25" s="1508" t="s">
        <v>268</v>
      </c>
      <c r="G25" s="1509"/>
      <c r="H25" s="716"/>
      <c r="I25" s="1524" t="s">
        <v>132</v>
      </c>
      <c r="J25" s="1544" t="s">
        <v>269</v>
      </c>
      <c r="K25" s="1544" t="s">
        <v>270</v>
      </c>
      <c r="L25" s="1544" t="s">
        <v>271</v>
      </c>
      <c r="M25" s="1532" t="s">
        <v>272</v>
      </c>
      <c r="N25" s="716"/>
      <c r="O25" s="1524" t="s">
        <v>273</v>
      </c>
      <c r="P25" s="1524" t="s">
        <v>274</v>
      </c>
      <c r="Q25" s="1524" t="s">
        <v>275</v>
      </c>
      <c r="R25" s="1522" t="s">
        <v>276</v>
      </c>
      <c r="S25" s="633"/>
      <c r="T25" s="633"/>
    </row>
    <row r="26" spans="1:20" s="12" customFormat="1" ht="30" customHeight="1" thickBot="1" x14ac:dyDescent="0.3">
      <c r="A26" s="7" t="s">
        <v>45</v>
      </c>
      <c r="B26" s="1520" t="s">
        <v>23</v>
      </c>
      <c r="C26" s="1521"/>
      <c r="D26" s="1518" t="str">
        <f>VLOOKUP($A$26,'DATOS ¬'!$B$24:$O$26,2,FALSE)</f>
        <v>Serhapin test Measure</v>
      </c>
      <c r="E26" s="1519"/>
      <c r="F26" s="1530" t="e">
        <f>VLOOKUP($H$26,'DATOS ¬'!$B$14:$N$16,2,FALSE)</f>
        <v>#N/A</v>
      </c>
      <c r="G26" s="1531"/>
      <c r="H26" s="7"/>
      <c r="I26" s="1525"/>
      <c r="J26" s="1545"/>
      <c r="K26" s="1545"/>
      <c r="L26" s="1545"/>
      <c r="M26" s="1533"/>
      <c r="N26" s="716"/>
      <c r="O26" s="1525"/>
      <c r="P26" s="1525"/>
      <c r="Q26" s="1525"/>
      <c r="R26" s="1523"/>
      <c r="S26" s="633"/>
      <c r="T26" s="763"/>
    </row>
    <row r="27" spans="1:20" s="12" customFormat="1" ht="30" customHeight="1" thickBot="1" x14ac:dyDescent="0.3">
      <c r="A27" s="716"/>
      <c r="B27" s="1520" t="s">
        <v>24</v>
      </c>
      <c r="C27" s="1521"/>
      <c r="D27" s="1554" t="str">
        <f>VLOOKUP($A$26,'DATOS ¬'!$B$24:$O$26,3,FALSE)</f>
        <v>Series "M"</v>
      </c>
      <c r="E27" s="1555"/>
      <c r="F27" s="1550" t="e">
        <f>VLOOKUP($H$26,'DATOS ¬'!$B$14:$N$16,3,FALSE)</f>
        <v>#N/A</v>
      </c>
      <c r="G27" s="1551"/>
      <c r="H27" s="716"/>
      <c r="I27" s="49" t="s">
        <v>277</v>
      </c>
      <c r="J27" s="764">
        <v>3.785412</v>
      </c>
      <c r="K27" s="764">
        <v>3785.4110000000001</v>
      </c>
      <c r="L27" s="764">
        <v>231.00006956708521</v>
      </c>
      <c r="M27" s="765">
        <v>5</v>
      </c>
      <c r="N27" s="107"/>
      <c r="O27" s="766" t="e">
        <f>O30/K27</f>
        <v>#N/A</v>
      </c>
      <c r="P27" s="587" t="e">
        <f>P30/K27</f>
        <v>#N/A</v>
      </c>
      <c r="Q27" s="691" t="e">
        <f>P27-O27</f>
        <v>#N/A</v>
      </c>
      <c r="R27" s="171" t="e">
        <f>ABS(Q27)</f>
        <v>#N/A</v>
      </c>
      <c r="S27" s="633"/>
      <c r="T27" s="633"/>
    </row>
    <row r="28" spans="1:20" s="12" customFormat="1" ht="30" customHeight="1" thickBot="1" x14ac:dyDescent="0.3">
      <c r="A28" s="716"/>
      <c r="B28" s="1520" t="s">
        <v>278</v>
      </c>
      <c r="C28" s="1521"/>
      <c r="D28" s="1554" t="str">
        <f>VLOOKUP($A$26,'DATOS ¬'!$B$24:$O$26,4,FALSE)</f>
        <v xml:space="preserve">16-5935702    C-I V-005         </v>
      </c>
      <c r="E28" s="1555"/>
      <c r="F28" s="1552" t="e">
        <f>VLOOKUP($H$26,'DATOS ¬'!$B$14:$N$16,4,FALSE)</f>
        <v>#N/A</v>
      </c>
      <c r="G28" s="1553"/>
      <c r="H28" s="716"/>
      <c r="I28" s="31" t="s">
        <v>279</v>
      </c>
      <c r="J28" s="697">
        <v>1.6387059999999998E-2</v>
      </c>
      <c r="K28" s="697">
        <v>16.387059999999998</v>
      </c>
      <c r="L28" s="697">
        <v>1</v>
      </c>
      <c r="M28" s="655">
        <v>1155.0000427166315</v>
      </c>
      <c r="N28" s="716"/>
      <c r="O28" s="767" t="e">
        <f>O30/K28</f>
        <v>#N/A</v>
      </c>
      <c r="P28" s="768" t="e">
        <f>(P30*L28)/K28</f>
        <v>#N/A</v>
      </c>
      <c r="Q28" s="769" t="e">
        <f>P28-O28</f>
        <v>#N/A</v>
      </c>
      <c r="R28" s="172" t="e">
        <f>ABS(Q28)</f>
        <v>#N/A</v>
      </c>
      <c r="S28" s="633"/>
      <c r="T28" s="633"/>
    </row>
    <row r="29" spans="1:20" s="12" customFormat="1" ht="30" customHeight="1" thickBot="1" x14ac:dyDescent="0.3">
      <c r="A29" s="716"/>
      <c r="B29" s="1520" t="s">
        <v>280</v>
      </c>
      <c r="C29" s="1521"/>
      <c r="D29" s="770">
        <f>VLOOKUP($A$26,'DATOS ¬'!$B$24:$O$26,5,FALSE)</f>
        <v>15.56</v>
      </c>
      <c r="E29" s="748" t="s">
        <v>134</v>
      </c>
      <c r="F29" s="748" t="e">
        <f>VLOOKUP($H$26,'DATOS ¬'!$B$14:$N$16,5,FALSE)</f>
        <v>#N/A</v>
      </c>
      <c r="G29" s="771" t="s">
        <v>134</v>
      </c>
      <c r="H29" s="716"/>
      <c r="I29" s="31" t="s">
        <v>281</v>
      </c>
      <c r="J29" s="697">
        <v>1</v>
      </c>
      <c r="K29" s="697">
        <v>1000</v>
      </c>
      <c r="L29" s="697">
        <v>1.6387059999999998E-2</v>
      </c>
      <c r="M29" s="655">
        <v>18.927054999999999</v>
      </c>
      <c r="N29" s="716"/>
      <c r="O29" s="772" t="e">
        <f>O30/K29</f>
        <v>#N/A</v>
      </c>
      <c r="P29" s="768" t="e">
        <f>(P30*J29)/K29</f>
        <v>#N/A</v>
      </c>
      <c r="Q29" s="769" t="e">
        <f>P29-O29</f>
        <v>#N/A</v>
      </c>
      <c r="R29" s="172" t="e">
        <f>ABS(Q29)</f>
        <v>#N/A</v>
      </c>
      <c r="S29" s="633"/>
      <c r="T29" s="633"/>
    </row>
    <row r="30" spans="1:20" s="12" customFormat="1" ht="30" customHeight="1" thickBot="1" x14ac:dyDescent="0.35">
      <c r="A30" s="716"/>
      <c r="B30" s="1520" t="s">
        <v>282</v>
      </c>
      <c r="C30" s="1521"/>
      <c r="D30" s="773">
        <f>VLOOKUP($A$26,'DATOS ¬'!$B$24:$O$26,6,FALSE)</f>
        <v>5</v>
      </c>
      <c r="E30" s="748" t="s">
        <v>283</v>
      </c>
      <c r="F30" s="774" t="e">
        <f>VLOOKUP($H$26,'DATOS ¬'!$B$14:$N$16,6,FALSE)</f>
        <v>#N/A</v>
      </c>
      <c r="G30" s="771" t="s">
        <v>283</v>
      </c>
      <c r="H30" s="716"/>
      <c r="I30" s="31" t="s">
        <v>284</v>
      </c>
      <c r="J30" s="571">
        <v>1E-3</v>
      </c>
      <c r="K30" s="697">
        <v>1</v>
      </c>
      <c r="L30" s="697">
        <v>16.387059999999998</v>
      </c>
      <c r="M30" s="775">
        <v>18927.055</v>
      </c>
      <c r="N30" s="716"/>
      <c r="O30" s="776" t="e">
        <f>C7</f>
        <v>#N/A</v>
      </c>
      <c r="P30" s="571" t="e">
        <f>H58</f>
        <v>#N/A</v>
      </c>
      <c r="Q30" s="769" t="e">
        <f>P30-O30</f>
        <v>#N/A</v>
      </c>
      <c r="R30" s="172" t="e">
        <f>ABS(Q30)</f>
        <v>#N/A</v>
      </c>
      <c r="S30" s="633"/>
      <c r="T30" s="633"/>
    </row>
    <row r="31" spans="1:20" s="12" customFormat="1" ht="30" customHeight="1" thickBot="1" x14ac:dyDescent="0.3">
      <c r="A31" s="716"/>
      <c r="B31" s="1520" t="s">
        <v>285</v>
      </c>
      <c r="C31" s="1521"/>
      <c r="D31" s="770">
        <f>VLOOKUP($A$26,'DATOS ¬'!$B$24:$O$26,7,FALSE)</f>
        <v>4.0967700000000002</v>
      </c>
      <c r="E31" s="748" t="s">
        <v>120</v>
      </c>
      <c r="F31" s="748" t="e">
        <f>VLOOKUP($H$26,'DATOS ¬'!$B$14:$N$16,7,FALSE)</f>
        <v>#N/A</v>
      </c>
      <c r="G31" s="771" t="s">
        <v>120</v>
      </c>
      <c r="H31" s="716"/>
      <c r="I31" s="32" t="s">
        <v>286</v>
      </c>
      <c r="J31" s="592">
        <v>1E-3</v>
      </c>
      <c r="K31" s="591">
        <v>1</v>
      </c>
      <c r="L31" s="591">
        <v>16.387059999999998</v>
      </c>
      <c r="M31" s="777">
        <v>18927.055</v>
      </c>
      <c r="N31" s="716"/>
      <c r="O31" s="778" t="e">
        <f>O30</f>
        <v>#N/A</v>
      </c>
      <c r="P31" s="592" t="e">
        <f>P30</f>
        <v>#N/A</v>
      </c>
      <c r="Q31" s="779" t="e">
        <f>P31-O31</f>
        <v>#N/A</v>
      </c>
      <c r="R31" s="173" t="e">
        <f>ABS(Q31)</f>
        <v>#N/A</v>
      </c>
      <c r="S31" s="633"/>
      <c r="T31" s="780"/>
    </row>
    <row r="32" spans="1:20" s="12" customFormat="1" ht="30" customHeight="1" thickBot="1" x14ac:dyDescent="0.3">
      <c r="A32" s="716"/>
      <c r="B32" s="1520" t="s">
        <v>287</v>
      </c>
      <c r="C32" s="1521"/>
      <c r="D32" s="770">
        <f>VLOOKUP($A$26,'DATOS ¬'!$B$24:$O$26,8,FALSE)</f>
        <v>4.0967700000000002</v>
      </c>
      <c r="E32" s="748" t="s">
        <v>120</v>
      </c>
      <c r="F32" s="748" t="e">
        <f>VLOOKUP($H$26,'DATOS ¬'!$B$14:$N$16,8,FALSE)</f>
        <v>#N/A</v>
      </c>
      <c r="G32" s="771" t="s">
        <v>120</v>
      </c>
      <c r="H32" s="716"/>
      <c r="I32" s="633"/>
      <c r="J32" s="633"/>
      <c r="K32" s="633"/>
      <c r="L32" s="633"/>
      <c r="M32" s="633"/>
      <c r="N32" s="633"/>
      <c r="O32" s="633"/>
      <c r="P32" s="633"/>
      <c r="Q32" s="633"/>
      <c r="R32" s="716"/>
      <c r="S32" s="633"/>
      <c r="T32" s="780"/>
    </row>
    <row r="33" spans="1:25" s="12" customFormat="1" ht="48" customHeight="1" thickBot="1" x14ac:dyDescent="0.3">
      <c r="A33" s="716"/>
      <c r="B33" s="1520" t="s">
        <v>288</v>
      </c>
      <c r="C33" s="1521"/>
      <c r="D33" s="770">
        <f>VLOOKUP($A$26,'DATOS ¬'!$B$24:$O$26,9,FALSE)</f>
        <v>4.7700000000000001E-5</v>
      </c>
      <c r="E33" s="748" t="s">
        <v>289</v>
      </c>
      <c r="F33" s="895" t="e">
        <f>VLOOKUP($H$26,'DATOS ¬'!$B$14:$N$16,9,FALSE)</f>
        <v>#N/A</v>
      </c>
      <c r="G33" s="771" t="s">
        <v>289</v>
      </c>
      <c r="H33" s="716"/>
      <c r="I33" s="1457" t="s">
        <v>290</v>
      </c>
      <c r="J33" s="1565"/>
      <c r="K33" s="781"/>
      <c r="L33" s="715"/>
      <c r="M33" s="633"/>
      <c r="N33" s="1469" t="s">
        <v>291</v>
      </c>
      <c r="O33" s="1470"/>
      <c r="P33" s="781"/>
      <c r="Q33" s="715"/>
      <c r="R33" s="782"/>
      <c r="S33" s="633"/>
      <c r="T33" s="780"/>
      <c r="U33" s="633"/>
      <c r="V33" s="633"/>
      <c r="W33" s="633"/>
      <c r="X33" s="633"/>
      <c r="Y33" s="633"/>
    </row>
    <row r="34" spans="1:25" s="12" customFormat="1" ht="30" customHeight="1" thickBot="1" x14ac:dyDescent="0.3">
      <c r="A34" s="716"/>
      <c r="B34" s="1520" t="s">
        <v>292</v>
      </c>
      <c r="C34" s="1521"/>
      <c r="D34" s="770">
        <f>VLOOKUP($A$26,'DATOS ¬'!$B$24:$O$26,10,FALSE)</f>
        <v>5.5</v>
      </c>
      <c r="E34" s="748" t="s">
        <v>293</v>
      </c>
      <c r="F34" s="774" t="e">
        <f>VLOOKUP($H$26,'DATOS ¬'!$B$14:$N$16,10,FALSE)</f>
        <v>#N/A</v>
      </c>
      <c r="G34" s="771" t="s">
        <v>293</v>
      </c>
      <c r="H34" s="716"/>
      <c r="I34" s="633"/>
      <c r="J34" s="633"/>
      <c r="K34" s="633"/>
      <c r="L34" s="633"/>
      <c r="M34" s="633"/>
      <c r="N34" s="633"/>
      <c r="O34" s="633"/>
      <c r="P34" s="633"/>
      <c r="Q34" s="633"/>
      <c r="R34" s="633"/>
      <c r="S34" s="633"/>
      <c r="T34" s="633"/>
      <c r="U34" s="633"/>
      <c r="V34" s="633"/>
      <c r="W34" s="633"/>
      <c r="X34" s="633"/>
      <c r="Y34" s="633"/>
    </row>
    <row r="35" spans="1:25" s="12" customFormat="1" ht="54.75" customHeight="1" thickBot="1" x14ac:dyDescent="0.3">
      <c r="A35" s="716"/>
      <c r="B35" s="1520" t="s">
        <v>294</v>
      </c>
      <c r="C35" s="1521"/>
      <c r="D35" s="770">
        <f>VLOOKUP($A$26,'DATOS ¬'!$B$24:$O$26,11,FALSE)</f>
        <v>5.0000000000000001E-3</v>
      </c>
      <c r="E35" s="748" t="s">
        <v>293</v>
      </c>
      <c r="F35" s="748" t="e">
        <f>VLOOKUP($H$26,'DATOS ¬'!$B$14:$N$16,11,FALSE)</f>
        <v>#N/A</v>
      </c>
      <c r="G35" s="771" t="s">
        <v>293</v>
      </c>
      <c r="H35" s="716"/>
      <c r="I35" s="1577" t="s">
        <v>295</v>
      </c>
      <c r="J35" s="1578"/>
      <c r="K35" s="1578"/>
      <c r="L35" s="1578"/>
      <c r="M35" s="1578"/>
      <c r="N35" s="1578"/>
      <c r="O35" s="1578"/>
      <c r="P35" s="1579"/>
      <c r="Q35" s="60" t="s">
        <v>130</v>
      </c>
      <c r="R35" s="633"/>
      <c r="S35" s="633"/>
      <c r="T35" s="633"/>
      <c r="U35" s="633"/>
      <c r="V35" s="633"/>
      <c r="W35" s="633"/>
      <c r="X35" s="633"/>
      <c r="Y35" s="633"/>
    </row>
    <row r="36" spans="1:25" s="12" customFormat="1" ht="48" customHeight="1" thickBot="1" x14ac:dyDescent="0.3">
      <c r="A36" s="716"/>
      <c r="B36" s="1520" t="s">
        <v>296</v>
      </c>
      <c r="C36" s="1521"/>
      <c r="D36" s="770">
        <f>VLOOKUP($A$26,'DATOS ¬'!$B$24:$O$26,12,FALSE)</f>
        <v>9.9000000000000001E-6</v>
      </c>
      <c r="E36" s="748" t="s">
        <v>289</v>
      </c>
      <c r="F36" s="895">
        <f>D36</f>
        <v>9.9000000000000001E-6</v>
      </c>
      <c r="G36" s="771" t="s">
        <v>289</v>
      </c>
      <c r="H36" s="716"/>
      <c r="I36" s="1580" t="s">
        <v>297</v>
      </c>
      <c r="J36" s="1581"/>
      <c r="K36" s="1581"/>
      <c r="L36" s="1582" t="s">
        <v>298</v>
      </c>
      <c r="M36" s="1582"/>
      <c r="N36" s="1582"/>
      <c r="O36" s="177" t="s">
        <v>299</v>
      </c>
      <c r="P36" s="204" t="s">
        <v>300</v>
      </c>
      <c r="Q36" s="193"/>
      <c r="R36" s="633"/>
      <c r="S36" s="633"/>
      <c r="T36" s="633"/>
      <c r="U36" s="633"/>
      <c r="V36" s="633"/>
      <c r="W36" s="633"/>
      <c r="X36" s="633"/>
      <c r="Y36" s="633"/>
    </row>
    <row r="37" spans="1:25" s="12" customFormat="1" ht="41.1" customHeight="1" thickBot="1" x14ac:dyDescent="0.3">
      <c r="A37" s="716"/>
      <c r="B37" s="1568" t="s">
        <v>301</v>
      </c>
      <c r="C37" s="1569"/>
      <c r="D37" s="783" t="e">
        <f>K58</f>
        <v>#N/A</v>
      </c>
      <c r="E37" s="784" t="s">
        <v>289</v>
      </c>
      <c r="F37" s="785" t="e">
        <f>D37</f>
        <v>#N/A</v>
      </c>
      <c r="G37" s="786" t="s">
        <v>289</v>
      </c>
      <c r="H37" s="716"/>
      <c r="I37" s="1583" t="s">
        <v>302</v>
      </c>
      <c r="J37" s="1584"/>
      <c r="K37" s="787"/>
      <c r="L37" s="1584" t="s">
        <v>302</v>
      </c>
      <c r="M37" s="1584"/>
      <c r="N37" s="787"/>
      <c r="O37" s="689" t="e">
        <f>AVERAGE(K37,N37)</f>
        <v>#DIV/0!</v>
      </c>
      <c r="P37" s="205" t="e">
        <f>O37+((VLOOKUP($Q$36,'DATOS ¬'!$B$131:$O$137,9,FALSE))*O37+(VLOOKUP($Q$36,'DATOS ¬'!$B$131:$O$137,10,FALSE)))</f>
        <v>#DIV/0!</v>
      </c>
      <c r="Q37" s="633"/>
      <c r="R37" s="633"/>
      <c r="S37" s="633"/>
      <c r="T37" s="633"/>
      <c r="U37" s="633"/>
      <c r="V37" s="633"/>
      <c r="W37" s="633"/>
      <c r="X37" s="633"/>
      <c r="Y37" s="633"/>
    </row>
    <row r="38" spans="1:25" s="12" customFormat="1" ht="41.1" customHeight="1" thickBot="1" x14ac:dyDescent="0.35">
      <c r="A38" s="716"/>
      <c r="B38" s="716"/>
      <c r="C38" s="716"/>
      <c r="D38" s="716"/>
      <c r="E38" s="716"/>
      <c r="F38" s="716"/>
      <c r="G38" s="716"/>
      <c r="H38" s="716"/>
      <c r="I38" s="1585" t="s">
        <v>303</v>
      </c>
      <c r="J38" s="1586"/>
      <c r="K38" s="788"/>
      <c r="L38" s="1586" t="s">
        <v>303</v>
      </c>
      <c r="M38" s="1586"/>
      <c r="N38" s="788"/>
      <c r="O38" s="696" t="e">
        <f>AVERAGE(K38,N38)</f>
        <v>#DIV/0!</v>
      </c>
      <c r="P38" s="206" t="e">
        <f>O38+((VLOOKUP($Q$36,'DATOS ¬'!$B$131:$O$137,11,FALSE))*O38+(VLOOKUP($Q$36,'DATOS ¬'!$B$131:$O$137,12,FALSE)))</f>
        <v>#DIV/0!</v>
      </c>
      <c r="Q38" s="633"/>
      <c r="R38" s="633"/>
      <c r="S38" s="633"/>
      <c r="T38" s="633"/>
      <c r="U38" s="633"/>
      <c r="V38" s="633"/>
      <c r="W38" s="633"/>
      <c r="X38" s="633"/>
      <c r="Y38" s="633"/>
    </row>
    <row r="39" spans="1:25" s="12" customFormat="1" ht="41.1" customHeight="1" thickBot="1" x14ac:dyDescent="0.3">
      <c r="A39" s="716"/>
      <c r="B39" s="1570" t="s">
        <v>304</v>
      </c>
      <c r="C39" s="1543"/>
      <c r="D39" s="1571" t="e">
        <f>VLOOKUP(H39,'DATOS ¬'!P9:R13,2,FALSE)</f>
        <v>#N/A</v>
      </c>
      <c r="E39" s="1572"/>
      <c r="F39" s="1572"/>
      <c r="G39" s="1573"/>
      <c r="H39" s="191"/>
      <c r="I39" s="1587" t="s">
        <v>305</v>
      </c>
      <c r="J39" s="1588"/>
      <c r="K39" s="789"/>
      <c r="L39" s="1588" t="s">
        <v>305</v>
      </c>
      <c r="M39" s="1588"/>
      <c r="N39" s="790"/>
      <c r="O39" s="791" t="e">
        <f>AVERAGE(K39,N39)</f>
        <v>#DIV/0!</v>
      </c>
      <c r="P39" s="207" t="e">
        <f>O39+((VLOOKUP($Q$36,'DATOS ¬'!$B$131:$O$137,13,FALSE))*O39+(VLOOKUP($Q$36,'DATOS ¬'!$B$131:$O$137,14,FALSE)))</f>
        <v>#DIV/0!</v>
      </c>
      <c r="Q39" s="633"/>
      <c r="R39" s="633"/>
      <c r="S39" s="633"/>
      <c r="T39" s="633"/>
      <c r="U39" s="633"/>
      <c r="V39" s="633"/>
      <c r="W39" s="633"/>
      <c r="X39" s="633"/>
      <c r="Y39" s="633"/>
    </row>
    <row r="40" spans="1:25" s="12" customFormat="1" ht="30" customHeight="1" thickBot="1" x14ac:dyDescent="0.35">
      <c r="A40" s="716"/>
      <c r="B40" s="633"/>
      <c r="C40" s="633"/>
      <c r="D40" s="633"/>
      <c r="E40" s="633"/>
      <c r="F40" s="633"/>
      <c r="G40" s="633"/>
      <c r="H40" s="716"/>
      <c r="I40" s="716"/>
      <c r="J40" s="633"/>
      <c r="K40" s="633"/>
      <c r="L40" s="633"/>
      <c r="M40" s="633"/>
      <c r="N40" s="633"/>
      <c r="O40" s="633"/>
      <c r="P40" s="633"/>
      <c r="Q40" s="633"/>
      <c r="R40" s="633"/>
      <c r="S40" s="633"/>
      <c r="T40" s="633"/>
      <c r="U40" s="633"/>
      <c r="V40" s="633"/>
      <c r="W40" s="633"/>
      <c r="X40" s="633"/>
      <c r="Y40" s="633"/>
    </row>
    <row r="41" spans="1:25" s="13" customFormat="1" ht="30" customHeight="1" thickBot="1" x14ac:dyDescent="0.3">
      <c r="A41" s="716"/>
      <c r="B41" s="1505" t="s">
        <v>306</v>
      </c>
      <c r="C41" s="1506"/>
      <c r="D41" s="1506"/>
      <c r="E41" s="1506"/>
      <c r="F41" s="1506"/>
      <c r="G41" s="1506"/>
      <c r="H41" s="1434"/>
      <c r="I41" s="1506"/>
      <c r="J41" s="1506"/>
      <c r="K41" s="1506"/>
      <c r="L41" s="1506"/>
      <c r="M41" s="1506"/>
      <c r="N41" s="1507"/>
      <c r="O41" s="716"/>
      <c r="P41" s="716"/>
      <c r="Q41" s="716"/>
      <c r="R41" s="716"/>
      <c r="S41" s="716"/>
      <c r="T41" s="716"/>
      <c r="U41" s="716"/>
      <c r="V41" s="716"/>
      <c r="W41" s="716"/>
      <c r="X41" s="716"/>
      <c r="Y41" s="716"/>
    </row>
    <row r="42" spans="1:25" s="13" customFormat="1" ht="27.75" customHeight="1" thickBot="1" x14ac:dyDescent="0.35">
      <c r="A42" s="716"/>
      <c r="B42" s="1457" t="s">
        <v>307</v>
      </c>
      <c r="C42" s="1405"/>
      <c r="D42" s="1405"/>
      <c r="E42" s="1405"/>
      <c r="F42" s="1405"/>
      <c r="G42" s="1458"/>
      <c r="H42" s="716"/>
      <c r="I42" s="1457" t="s">
        <v>308</v>
      </c>
      <c r="J42" s="1405"/>
      <c r="K42" s="1405"/>
      <c r="L42" s="1405"/>
      <c r="M42" s="1405"/>
      <c r="N42" s="1458"/>
      <c r="O42" s="716"/>
      <c r="P42" s="716"/>
      <c r="Q42" s="716"/>
      <c r="R42" s="716"/>
      <c r="S42" s="716"/>
      <c r="T42" s="716"/>
      <c r="U42" s="716"/>
      <c r="V42" s="716"/>
      <c r="W42" s="716"/>
      <c r="X42" s="716"/>
      <c r="Y42" s="716"/>
    </row>
    <row r="43" spans="1:25" s="12" customFormat="1" ht="59.25" customHeight="1" thickBot="1" x14ac:dyDescent="0.3">
      <c r="A43" s="191"/>
      <c r="B43" s="57" t="s">
        <v>309</v>
      </c>
      <c r="C43" s="37" t="s">
        <v>310</v>
      </c>
      <c r="D43" s="37" t="s">
        <v>311</v>
      </c>
      <c r="E43" s="37" t="s">
        <v>312</v>
      </c>
      <c r="F43" s="37" t="s">
        <v>313</v>
      </c>
      <c r="G43" s="38" t="s">
        <v>314</v>
      </c>
      <c r="H43" s="716"/>
      <c r="I43" s="57" t="s">
        <v>315</v>
      </c>
      <c r="J43" s="37" t="s">
        <v>316</v>
      </c>
      <c r="K43" s="37" t="s">
        <v>312</v>
      </c>
      <c r="L43" s="37" t="s">
        <v>313</v>
      </c>
      <c r="M43" s="37" t="s">
        <v>314</v>
      </c>
      <c r="N43" s="38" t="s">
        <v>317</v>
      </c>
      <c r="O43" s="193"/>
      <c r="P43" s="633"/>
      <c r="Q43" s="633"/>
      <c r="R43" s="633"/>
      <c r="S43" s="633"/>
      <c r="T43" s="633"/>
      <c r="U43" s="633"/>
      <c r="V43" s="633"/>
      <c r="W43" s="633"/>
      <c r="X43" s="633"/>
      <c r="Y43" s="633"/>
    </row>
    <row r="44" spans="1:25" s="12" customFormat="1" ht="30" customHeight="1" thickBot="1" x14ac:dyDescent="0.3">
      <c r="A44" s="716"/>
      <c r="B44" s="49">
        <v>1</v>
      </c>
      <c r="C44" s="792"/>
      <c r="D44" s="793" t="e">
        <f>C44+(VLOOKUP($A$43,'DATOS ¬'!$A$37:$N$61,13,FALSE))*C44+(VLOOKUP($A$43,'DATOS ¬'!$A$37:$N$61,14,FALSE))</f>
        <v>#N/A</v>
      </c>
      <c r="E44" s="794"/>
      <c r="F44" s="795"/>
      <c r="G44" s="796">
        <f>E44+F44</f>
        <v>0</v>
      </c>
      <c r="H44" s="716"/>
      <c r="I44" s="797"/>
      <c r="J44" s="793" t="e">
        <f>I44+(VLOOKUP($O$43,'DATOS ¬'!$A$37:$N$61,13,FALSE))*I44+(VLOOKUP($O$43,'DATOS ¬'!$A$37:$N$61,14,FALSE))</f>
        <v>#N/A</v>
      </c>
      <c r="K44" s="798"/>
      <c r="L44" s="799"/>
      <c r="M44" s="800">
        <f>K44+L44</f>
        <v>0</v>
      </c>
      <c r="N44" s="801"/>
      <c r="O44" s="716"/>
      <c r="P44" s="633"/>
      <c r="Q44" s="633"/>
      <c r="R44" s="633"/>
      <c r="S44" s="633"/>
      <c r="T44" s="633"/>
      <c r="U44" s="633"/>
      <c r="V44" s="633"/>
      <c r="W44" s="633"/>
      <c r="X44" s="633"/>
      <c r="Y44" s="633"/>
    </row>
    <row r="45" spans="1:25" s="12" customFormat="1" ht="30" customHeight="1" thickBot="1" x14ac:dyDescent="0.3">
      <c r="A45" s="716"/>
      <c r="B45" s="31">
        <v>2</v>
      </c>
      <c r="C45" s="802"/>
      <c r="D45" s="803" t="e">
        <f>C45+(VLOOKUP($A$43,'DATOS ¬'!$A$37:$N$61,13,FALSE))*C45+(VLOOKUP($A$43,'DATOS ¬'!$A$37:$N$61,14,FALSE))</f>
        <v>#N/A</v>
      </c>
      <c r="E45" s="804"/>
      <c r="F45" s="496"/>
      <c r="G45" s="805">
        <f>E45+F45</f>
        <v>0</v>
      </c>
      <c r="H45" s="716"/>
      <c r="I45" s="806"/>
      <c r="J45" s="803" t="e">
        <f>I45+(VLOOKUP($O$43,'DATOS ¬'!$A$37:$N$61,13,FALSE))*I45+(VLOOKUP($O$43,'DATOS ¬'!$A$37:$N$61,14,FALSE))</f>
        <v>#N/A</v>
      </c>
      <c r="K45" s="807"/>
      <c r="L45" s="495"/>
      <c r="M45" s="808">
        <f>K45+L45</f>
        <v>0</v>
      </c>
      <c r="N45" s="498"/>
      <c r="O45" s="716"/>
      <c r="P45" s="633"/>
      <c r="Q45" s="1574" t="s">
        <v>318</v>
      </c>
      <c r="R45" s="1575"/>
      <c r="S45" s="1575"/>
      <c r="T45" s="1575"/>
      <c r="U45" s="1575"/>
      <c r="V45" s="1575"/>
      <c r="W45" s="1575"/>
      <c r="X45" s="1575"/>
      <c r="Y45" s="1576"/>
    </row>
    <row r="46" spans="1:25" s="12" customFormat="1" ht="30" customHeight="1" thickBot="1" x14ac:dyDescent="0.3">
      <c r="A46" s="809" t="s">
        <v>319</v>
      </c>
      <c r="B46" s="31">
        <v>3</v>
      </c>
      <c r="C46" s="802"/>
      <c r="D46" s="803" t="e">
        <f>C46+(VLOOKUP($A$43,'DATOS ¬'!$A$37:$N$61,13,FALSE))*C46+(VLOOKUP($A$43,'DATOS ¬'!$A$37:$N$61,14,FALSE))</f>
        <v>#N/A</v>
      </c>
      <c r="E46" s="804"/>
      <c r="F46" s="496"/>
      <c r="G46" s="805">
        <f>E46+F46</f>
        <v>0</v>
      </c>
      <c r="H46" s="716"/>
      <c r="I46" s="806"/>
      <c r="J46" s="803" t="e">
        <f>I46+(VLOOKUP($O$43,'DATOS ¬'!$A$37:$N$61,13,FALSE))*I46+(VLOOKUP($O$43,'DATOS ¬'!$A$37:$N$61,14,FALSE))</f>
        <v>#N/A</v>
      </c>
      <c r="K46" s="807"/>
      <c r="L46" s="495"/>
      <c r="M46" s="808">
        <f>K46+L46</f>
        <v>0</v>
      </c>
      <c r="N46" s="498"/>
      <c r="O46" s="716"/>
      <c r="P46" s="633"/>
      <c r="Q46" s="1556"/>
      <c r="R46" s="1557"/>
      <c r="S46" s="1557"/>
      <c r="T46" s="1557"/>
      <c r="U46" s="1557"/>
      <c r="V46" s="1557"/>
      <c r="W46" s="1557"/>
      <c r="X46" s="1557"/>
      <c r="Y46" s="1558"/>
    </row>
    <row r="47" spans="1:25" s="12" customFormat="1" ht="33.75" customHeight="1" thickBot="1" x14ac:dyDescent="0.3">
      <c r="A47" s="716"/>
      <c r="B47" s="1566" t="s">
        <v>320</v>
      </c>
      <c r="C47" s="1567"/>
      <c r="D47" s="1567"/>
      <c r="E47" s="1567"/>
      <c r="F47" s="1567"/>
      <c r="G47" s="192" t="e">
        <f>AVERAGE(D44:D46)</f>
        <v>#N/A</v>
      </c>
      <c r="H47" s="716"/>
      <c r="I47" s="1566" t="s">
        <v>320</v>
      </c>
      <c r="J47" s="1567"/>
      <c r="K47" s="1567"/>
      <c r="L47" s="1567"/>
      <c r="M47" s="1567"/>
      <c r="N47" s="192" t="e">
        <f>AVERAGE(J44:J46)</f>
        <v>#N/A</v>
      </c>
      <c r="O47" s="716"/>
      <c r="P47" s="633"/>
      <c r="Q47" s="1559"/>
      <c r="R47" s="1560"/>
      <c r="S47" s="1560"/>
      <c r="T47" s="1560"/>
      <c r="U47" s="1560"/>
      <c r="V47" s="1560"/>
      <c r="W47" s="1560"/>
      <c r="X47" s="1560"/>
      <c r="Y47" s="1561"/>
    </row>
    <row r="48" spans="1:25" s="12" customFormat="1" ht="45" customHeight="1" thickBot="1" x14ac:dyDescent="0.3">
      <c r="A48" s="716"/>
      <c r="B48" s="633"/>
      <c r="C48" s="633"/>
      <c r="D48" s="810"/>
      <c r="E48" s="633"/>
      <c r="F48" s="633"/>
      <c r="G48" s="633"/>
      <c r="H48" s="633"/>
      <c r="I48" s="633"/>
      <c r="J48" s="633"/>
      <c r="K48" s="633"/>
      <c r="L48" s="633"/>
      <c r="M48" s="633"/>
      <c r="N48" s="633"/>
      <c r="O48" s="716"/>
      <c r="P48" s="633"/>
      <c r="Q48" s="1562"/>
      <c r="R48" s="1563"/>
      <c r="S48" s="1563"/>
      <c r="T48" s="1563"/>
      <c r="U48" s="1563"/>
      <c r="V48" s="1563"/>
      <c r="W48" s="1563"/>
      <c r="X48" s="1563"/>
      <c r="Y48" s="1564"/>
    </row>
    <row r="49" spans="1:22" s="12" customFormat="1" ht="45" customHeight="1" x14ac:dyDescent="0.25">
      <c r="A49" s="716"/>
      <c r="B49" s="716"/>
      <c r="C49" s="633"/>
      <c r="D49" s="633"/>
      <c r="E49" s="633"/>
      <c r="F49" s="633"/>
      <c r="G49" s="633"/>
      <c r="H49" s="633"/>
      <c r="I49" s="633"/>
      <c r="J49" s="633"/>
      <c r="K49" s="633"/>
      <c r="L49" s="633"/>
      <c r="M49" s="633"/>
      <c r="N49" s="633"/>
      <c r="O49" s="633"/>
      <c r="P49" s="633"/>
      <c r="Q49" s="633"/>
      <c r="R49" s="633"/>
      <c r="S49" s="633"/>
      <c r="T49" s="633"/>
      <c r="U49" s="633"/>
      <c r="V49" s="633"/>
    </row>
    <row r="50" spans="1:22" s="12" customFormat="1" ht="30" customHeight="1" x14ac:dyDescent="0.25">
      <c r="A50" s="716"/>
      <c r="B50" s="716"/>
      <c r="C50" s="716"/>
      <c r="D50" s="716"/>
      <c r="E50" s="716"/>
      <c r="F50" s="716"/>
      <c r="G50" s="716"/>
      <c r="H50" s="716"/>
      <c r="I50" s="716"/>
      <c r="J50" s="716"/>
      <c r="K50" s="716"/>
      <c r="L50" s="716"/>
      <c r="M50" s="716"/>
      <c r="N50" s="716"/>
      <c r="O50" s="716"/>
      <c r="P50" s="716"/>
      <c r="Q50" s="716"/>
      <c r="R50" s="716"/>
      <c r="S50" s="633"/>
      <c r="T50" s="633"/>
      <c r="U50" s="633"/>
      <c r="V50" s="633"/>
    </row>
    <row r="51" spans="1:22" s="12" customFormat="1" ht="30" customHeight="1" x14ac:dyDescent="0.25">
      <c r="A51" s="716"/>
      <c r="B51" s="716"/>
      <c r="C51" s="633"/>
      <c r="D51" s="633"/>
      <c r="E51" s="633"/>
      <c r="F51" s="633"/>
      <c r="G51" s="633"/>
      <c r="H51" s="716"/>
      <c r="I51" s="633"/>
      <c r="J51" s="633"/>
      <c r="K51" s="633"/>
      <c r="L51" s="633"/>
      <c r="M51" s="633"/>
      <c r="N51" s="716"/>
      <c r="O51" s="716"/>
      <c r="P51" s="716"/>
      <c r="Q51" s="716"/>
      <c r="R51" s="716"/>
      <c r="S51" s="633"/>
      <c r="T51" s="633"/>
      <c r="U51" s="633"/>
      <c r="V51" s="633"/>
    </row>
    <row r="52" spans="1:22" s="13" customFormat="1" ht="25.5" customHeight="1" thickBot="1" x14ac:dyDescent="0.3">
      <c r="A52" s="716"/>
      <c r="B52" s="716"/>
      <c r="C52" s="716"/>
      <c r="D52" s="716"/>
      <c r="E52" s="716"/>
      <c r="F52" s="716"/>
      <c r="G52" s="716"/>
      <c r="H52" s="716"/>
      <c r="I52" s="716"/>
      <c r="J52" s="716"/>
      <c r="K52" s="716"/>
      <c r="L52" s="716"/>
      <c r="M52" s="716"/>
      <c r="N52" s="716"/>
      <c r="O52" s="716"/>
      <c r="P52" s="716"/>
      <c r="Q52" s="716"/>
      <c r="R52" s="716"/>
      <c r="S52" s="716"/>
      <c r="T52" s="716"/>
      <c r="U52" s="716"/>
      <c r="V52" s="716"/>
    </row>
    <row r="53" spans="1:22" s="12" customFormat="1" ht="30" customHeight="1" thickBot="1" x14ac:dyDescent="0.3">
      <c r="A53" s="716"/>
      <c r="B53" s="716"/>
      <c r="C53" s="716"/>
      <c r="D53" s="716"/>
      <c r="E53" s="1433" t="s">
        <v>321</v>
      </c>
      <c r="F53" s="1434"/>
      <c r="G53" s="1434"/>
      <c r="H53" s="1434"/>
      <c r="I53" s="1434"/>
      <c r="J53" s="1434"/>
      <c r="K53" s="1434"/>
      <c r="L53" s="1435"/>
      <c r="M53" s="716"/>
      <c r="N53" s="716"/>
      <c r="O53" s="716"/>
      <c r="P53" s="716"/>
      <c r="Q53" s="716"/>
      <c r="R53" s="633"/>
      <c r="S53" s="633"/>
      <c r="T53" s="633"/>
      <c r="U53" s="633"/>
      <c r="V53" s="633"/>
    </row>
    <row r="54" spans="1:22" s="12" customFormat="1" ht="30" customHeight="1" x14ac:dyDescent="0.25">
      <c r="A54" s="716"/>
      <c r="B54" s="633"/>
      <c r="C54" s="633"/>
      <c r="D54" s="633"/>
      <c r="E54" s="1487" t="s">
        <v>309</v>
      </c>
      <c r="F54" s="1488"/>
      <c r="G54" s="10" t="s">
        <v>322</v>
      </c>
      <c r="H54" s="11" t="s">
        <v>323</v>
      </c>
      <c r="I54" s="716"/>
      <c r="J54" s="811"/>
      <c r="K54" s="812"/>
      <c r="L54" s="813"/>
      <c r="M54" s="716"/>
      <c r="N54" s="716"/>
      <c r="O54" s="716"/>
      <c r="P54" s="716"/>
      <c r="Q54" s="716"/>
      <c r="R54" s="633"/>
      <c r="S54" s="633"/>
      <c r="T54" s="633"/>
      <c r="U54" s="633"/>
      <c r="V54" s="633"/>
    </row>
    <row r="55" spans="1:22" s="12" customFormat="1" ht="30" customHeight="1" x14ac:dyDescent="0.25">
      <c r="A55" s="716"/>
      <c r="B55" s="633"/>
      <c r="C55" s="633"/>
      <c r="D55" s="633"/>
      <c r="E55" s="1482">
        <v>1</v>
      </c>
      <c r="F55" s="1483"/>
      <c r="G55" s="814" t="e">
        <f>$C$7*((1-$D$33*($D$29-D44))+($K$55)*(J44-D44)+$F$33*($F$29-J44))</f>
        <v>#N/A</v>
      </c>
      <c r="H55" s="815" t="e">
        <f>G55+N44</f>
        <v>#N/A</v>
      </c>
      <c r="I55" s="716"/>
      <c r="J55" s="31">
        <v>1</v>
      </c>
      <c r="K55" s="816" t="e">
        <f>(-0.1176*((D44+J44)/2)^2+(15.846*(D44+J44)/2)-62.677)*10^-6</f>
        <v>#N/A</v>
      </c>
      <c r="L55" s="817" t="s">
        <v>289</v>
      </c>
      <c r="M55" s="716"/>
      <c r="N55" s="716"/>
      <c r="O55" s="716"/>
      <c r="P55" s="716"/>
      <c r="Q55" s="716"/>
      <c r="R55" s="633"/>
      <c r="S55" s="633"/>
      <c r="T55" s="633"/>
      <c r="U55" s="677"/>
      <c r="V55" s="780"/>
    </row>
    <row r="56" spans="1:22" s="12" customFormat="1" ht="30" customHeight="1" thickBot="1" x14ac:dyDescent="0.3">
      <c r="A56" s="716"/>
      <c r="B56" s="633"/>
      <c r="C56" s="633"/>
      <c r="D56" s="633"/>
      <c r="E56" s="1482">
        <v>2</v>
      </c>
      <c r="F56" s="1483"/>
      <c r="G56" s="814" t="e">
        <f>$C$7*((1-$D$33*($D$29-D45))+($K$56)*(J45-D45)+$F$33*($F$29-J45))</f>
        <v>#N/A</v>
      </c>
      <c r="H56" s="815" t="e">
        <f>G56+N45</f>
        <v>#N/A</v>
      </c>
      <c r="I56" s="716"/>
      <c r="J56" s="31">
        <v>2</v>
      </c>
      <c r="K56" s="816" t="e">
        <f>(-0.1176*((D45+J45)/2)^2+(15.846*(D45+J45)/2)-62.677)*10^-6</f>
        <v>#N/A</v>
      </c>
      <c r="L56" s="817" t="s">
        <v>289</v>
      </c>
      <c r="M56" s="633"/>
      <c r="N56" s="716"/>
      <c r="O56" s="716"/>
      <c r="P56" s="716"/>
      <c r="Q56" s="716"/>
      <c r="R56" s="633"/>
      <c r="S56" s="633"/>
      <c r="T56" s="633"/>
      <c r="U56" s="780"/>
      <c r="V56" s="633"/>
    </row>
    <row r="57" spans="1:22" s="12" customFormat="1" ht="30" customHeight="1" thickBot="1" x14ac:dyDescent="0.3">
      <c r="A57" s="716"/>
      <c r="B57" s="633"/>
      <c r="C57" s="633"/>
      <c r="D57" s="633"/>
      <c r="E57" s="1482">
        <v>3</v>
      </c>
      <c r="F57" s="1483"/>
      <c r="G57" s="814" t="e">
        <f>$C$7*((1-$D$33*($D$29-D46))+($K$57)*(J46-D46)+$F$33*($F$29-J46))</f>
        <v>#N/A</v>
      </c>
      <c r="H57" s="815" t="e">
        <f>G57+N46</f>
        <v>#N/A</v>
      </c>
      <c r="I57" s="716"/>
      <c r="J57" s="31">
        <v>3</v>
      </c>
      <c r="K57" s="816" t="e">
        <f>(-0.1176*((D46+J46)/2)^2+(15.846*(D46+J46)/2)-62.677)*10^-6</f>
        <v>#N/A</v>
      </c>
      <c r="L57" s="817" t="s">
        <v>289</v>
      </c>
      <c r="M57" s="633"/>
      <c r="N57" s="716"/>
      <c r="O57" s="716"/>
      <c r="P57" s="716"/>
      <c r="Q57" s="716"/>
      <c r="R57" s="633"/>
      <c r="S57" s="633"/>
      <c r="T57" s="1430" t="e">
        <f>IF(AND('Pc ¬'!H5&gt;=97.5%,'Pc ¬'!I5&lt;=2.5%),"NO AJUSTAR","AJUSTAR")</f>
        <v>#N/A</v>
      </c>
      <c r="U57" s="1431"/>
      <c r="V57" s="1432"/>
    </row>
    <row r="58" spans="1:22" s="12" customFormat="1" ht="30" customHeight="1" thickBot="1" x14ac:dyDescent="0.3">
      <c r="A58" s="716"/>
      <c r="B58" s="633"/>
      <c r="C58" s="633"/>
      <c r="D58" s="633"/>
      <c r="E58" s="1484" t="s">
        <v>324</v>
      </c>
      <c r="F58" s="1485"/>
      <c r="G58" s="1486"/>
      <c r="H58" s="815" t="e">
        <f>AVERAGE(H55:H57)</f>
        <v>#N/A</v>
      </c>
      <c r="I58" s="633"/>
      <c r="J58" s="1" t="s">
        <v>325</v>
      </c>
      <c r="K58" s="818" t="e">
        <f>AVERAGE(K55:K57)</f>
        <v>#N/A</v>
      </c>
      <c r="L58" s="819" t="s">
        <v>289</v>
      </c>
      <c r="M58" s="633"/>
      <c r="N58" s="716"/>
      <c r="O58" s="716"/>
      <c r="P58" s="716"/>
      <c r="Q58" s="716"/>
      <c r="R58" s="633"/>
      <c r="S58" s="633"/>
      <c r="T58" s="780"/>
      <c r="U58" s="633"/>
      <c r="V58" s="633"/>
    </row>
    <row r="59" spans="1:22" s="12" customFormat="1" ht="30" customHeight="1" x14ac:dyDescent="0.25">
      <c r="A59" s="716"/>
      <c r="B59" s="633"/>
      <c r="C59" s="633"/>
      <c r="D59" s="633"/>
      <c r="E59" s="1484" t="s">
        <v>326</v>
      </c>
      <c r="F59" s="1485"/>
      <c r="G59" s="1486"/>
      <c r="H59" s="815" t="e">
        <f>_xlfn.STDEV.S(H55:H57)</f>
        <v>#N/A</v>
      </c>
      <c r="I59" s="716"/>
      <c r="J59" s="633"/>
      <c r="K59" s="633"/>
      <c r="L59" s="633"/>
      <c r="M59" s="633"/>
      <c r="N59" s="633"/>
      <c r="O59" s="633"/>
      <c r="P59" s="633"/>
      <c r="Q59" s="633"/>
      <c r="R59" s="633"/>
      <c r="S59" s="633"/>
      <c r="T59" s="633"/>
      <c r="U59" s="633"/>
      <c r="V59" s="633"/>
    </row>
    <row r="60" spans="1:22" s="12" customFormat="1" ht="30" customHeight="1" thickBot="1" x14ac:dyDescent="0.3">
      <c r="A60" s="716"/>
      <c r="B60" s="716"/>
      <c r="C60" s="633"/>
      <c r="D60" s="633"/>
      <c r="E60" s="1546" t="s">
        <v>327</v>
      </c>
      <c r="F60" s="1547"/>
      <c r="G60" s="1548"/>
      <c r="H60" s="820" t="e">
        <f>H59/SQRT(3)</f>
        <v>#N/A</v>
      </c>
      <c r="I60" s="716"/>
      <c r="J60" s="716"/>
      <c r="K60" s="716"/>
      <c r="L60" s="716"/>
      <c r="M60" s="716"/>
      <c r="N60" s="716"/>
      <c r="O60" s="716"/>
      <c r="P60" s="716"/>
      <c r="Q60" s="716"/>
      <c r="R60" s="716"/>
      <c r="S60" s="633"/>
      <c r="T60" s="633"/>
      <c r="U60" s="633"/>
      <c r="V60" s="633"/>
    </row>
    <row r="61" spans="1:22" s="12" customFormat="1" ht="30" customHeight="1" x14ac:dyDescent="0.25">
      <c r="A61" s="716"/>
      <c r="B61" s="716"/>
      <c r="C61" s="633"/>
      <c r="D61" s="633"/>
      <c r="E61" s="633"/>
      <c r="F61" s="633"/>
      <c r="G61" s="633"/>
      <c r="H61" s="633"/>
      <c r="I61" s="633"/>
      <c r="J61" s="633"/>
      <c r="K61" s="633"/>
      <c r="L61" s="633"/>
      <c r="M61" s="716" t="s">
        <v>328</v>
      </c>
      <c r="N61" s="716"/>
      <c r="O61" s="716"/>
      <c r="P61" s="716"/>
      <c r="Q61" s="716"/>
      <c r="R61" s="716"/>
      <c r="S61" s="633"/>
      <c r="T61" s="633"/>
      <c r="U61" s="633"/>
      <c r="V61" s="633"/>
    </row>
    <row r="62" spans="1:22" s="13" customFormat="1" ht="22.5" customHeight="1" x14ac:dyDescent="0.25">
      <c r="A62" s="109"/>
      <c r="B62" s="716"/>
      <c r="C62" s="716"/>
      <c r="D62" s="716"/>
      <c r="E62" s="716"/>
      <c r="F62" s="716"/>
      <c r="G62" s="716"/>
      <c r="H62" s="716"/>
      <c r="I62" s="716"/>
      <c r="J62" s="733"/>
      <c r="K62" s="733"/>
      <c r="L62" s="110"/>
      <c r="M62" s="110"/>
      <c r="N62" s="110"/>
      <c r="O62" s="110"/>
      <c r="P62" s="716"/>
      <c r="Q62" s="716"/>
      <c r="R62" s="716"/>
      <c r="S62" s="716"/>
      <c r="T62" s="716"/>
      <c r="U62" s="716"/>
      <c r="V62" s="716"/>
    </row>
    <row r="63" spans="1:22" s="12" customFormat="1" ht="30" customHeight="1" thickBot="1" x14ac:dyDescent="0.3">
      <c r="A63" s="633"/>
      <c r="B63" s="633"/>
      <c r="C63" s="633"/>
      <c r="D63" s="633"/>
      <c r="E63" s="633"/>
      <c r="F63" s="633"/>
      <c r="G63" s="633"/>
      <c r="H63" s="633"/>
      <c r="I63" s="633"/>
      <c r="J63" s="633"/>
      <c r="K63" s="633"/>
      <c r="L63" s="633"/>
      <c r="M63" s="716"/>
      <c r="N63" s="716"/>
      <c r="O63" s="716"/>
      <c r="P63" s="716"/>
      <c r="Q63" s="716"/>
      <c r="R63" s="716"/>
      <c r="S63" s="633"/>
      <c r="T63" s="633"/>
      <c r="U63" s="633"/>
      <c r="V63" s="633"/>
    </row>
    <row r="64" spans="1:22" s="12" customFormat="1" ht="30" customHeight="1" thickBot="1" x14ac:dyDescent="0.3">
      <c r="A64" s="716"/>
      <c r="B64" s="1433" t="s">
        <v>329</v>
      </c>
      <c r="C64" s="1434"/>
      <c r="D64" s="1434"/>
      <c r="E64" s="1434"/>
      <c r="F64" s="1434"/>
      <c r="G64" s="1434"/>
      <c r="H64" s="1434"/>
      <c r="I64" s="1434"/>
      <c r="J64" s="1434"/>
      <c r="K64" s="1434"/>
      <c r="L64" s="1435"/>
      <c r="M64" s="716"/>
      <c r="N64" s="633"/>
      <c r="O64" s="633"/>
      <c r="P64" s="633"/>
      <c r="Q64" s="716"/>
      <c r="R64" s="716"/>
      <c r="S64" s="633"/>
      <c r="T64" s="633"/>
      <c r="U64" s="633"/>
      <c r="V64" s="633"/>
    </row>
    <row r="65" spans="1:18" s="12" customFormat="1" ht="30" customHeight="1" thickBot="1" x14ac:dyDescent="0.3">
      <c r="A65" s="716"/>
      <c r="B65" s="821"/>
      <c r="C65" s="822"/>
      <c r="D65" s="822"/>
      <c r="E65" s="822"/>
      <c r="F65" s="822"/>
      <c r="G65" s="822"/>
      <c r="H65" s="822"/>
      <c r="I65" s="822"/>
      <c r="J65" s="822"/>
      <c r="K65" s="108" t="s">
        <v>330</v>
      </c>
      <c r="L65" s="108" t="s">
        <v>132</v>
      </c>
      <c r="M65" s="716"/>
      <c r="N65" s="57" t="s">
        <v>132</v>
      </c>
      <c r="O65" s="37" t="s">
        <v>252</v>
      </c>
      <c r="P65" s="38" t="s">
        <v>268</v>
      </c>
      <c r="Q65" s="716"/>
      <c r="R65" s="716"/>
    </row>
    <row r="66" spans="1:18" s="13" customFormat="1" ht="30" customHeight="1" thickBot="1" x14ac:dyDescent="0.3">
      <c r="A66" s="716"/>
      <c r="B66" s="1478" t="s">
        <v>331</v>
      </c>
      <c r="C66" s="1479"/>
      <c r="D66" s="1479"/>
      <c r="E66" s="823"/>
      <c r="F66" s="823"/>
      <c r="G66" s="824"/>
      <c r="H66" s="824"/>
      <c r="I66" s="824"/>
      <c r="J66" s="824"/>
      <c r="K66" s="825" t="e">
        <f>(1-$O$74*(O72-O68))+(O78)*(P70-O68)+P76*(P80-P70)</f>
        <v>#N/A</v>
      </c>
      <c r="L66" s="75" t="s">
        <v>332</v>
      </c>
      <c r="M66" s="716"/>
      <c r="N66" s="111"/>
      <c r="O66" s="764" t="e">
        <f>C7</f>
        <v>#N/A</v>
      </c>
      <c r="P66" s="112"/>
      <c r="Q66" s="716"/>
      <c r="R66" s="716"/>
    </row>
    <row r="67" spans="1:18" s="12" customFormat="1" ht="5.0999999999999996" customHeight="1" thickBot="1" x14ac:dyDescent="0.3">
      <c r="A67" s="716"/>
      <c r="B67" s="826"/>
      <c r="C67" s="633"/>
      <c r="D67" s="633"/>
      <c r="E67" s="633"/>
      <c r="F67" s="827"/>
      <c r="G67" s="828"/>
      <c r="H67" s="828"/>
      <c r="I67" s="828"/>
      <c r="J67" s="828"/>
      <c r="K67" s="633"/>
      <c r="L67" s="76"/>
      <c r="M67" s="716"/>
      <c r="N67" s="829"/>
      <c r="O67" s="830"/>
      <c r="P67" s="831"/>
      <c r="Q67" s="633"/>
      <c r="R67" s="716"/>
    </row>
    <row r="68" spans="1:18" s="13" customFormat="1" ht="30" customHeight="1" thickBot="1" x14ac:dyDescent="0.3">
      <c r="A68" s="716"/>
      <c r="B68" s="1478" t="s">
        <v>333</v>
      </c>
      <c r="C68" s="1479"/>
      <c r="D68" s="1479"/>
      <c r="E68" s="1479"/>
      <c r="F68" s="823"/>
      <c r="G68" s="824"/>
      <c r="H68" s="824"/>
      <c r="I68" s="824"/>
      <c r="J68" s="824"/>
      <c r="K68" s="825" t="e">
        <f>$O$66*(O74-O78)</f>
        <v>#N/A</v>
      </c>
      <c r="L68" s="75" t="s">
        <v>334</v>
      </c>
      <c r="M68" s="716"/>
      <c r="N68" s="113"/>
      <c r="O68" s="571" t="e">
        <f>G47</f>
        <v>#N/A</v>
      </c>
      <c r="P68" s="114"/>
      <c r="Q68" s="716"/>
      <c r="R68" s="716"/>
    </row>
    <row r="69" spans="1:18" s="12" customFormat="1" ht="5.0999999999999996" customHeight="1" thickBot="1" x14ac:dyDescent="0.3">
      <c r="A69" s="716"/>
      <c r="B69" s="826"/>
      <c r="C69" s="633"/>
      <c r="D69" s="633"/>
      <c r="E69" s="633"/>
      <c r="F69" s="827"/>
      <c r="G69" s="828"/>
      <c r="H69" s="828"/>
      <c r="I69" s="828"/>
      <c r="J69" s="828"/>
      <c r="K69" s="633"/>
      <c r="L69" s="77"/>
      <c r="M69" s="716"/>
      <c r="N69" s="829"/>
      <c r="O69" s="830"/>
      <c r="P69" s="831"/>
      <c r="Q69" s="716"/>
      <c r="R69" s="716"/>
    </row>
    <row r="70" spans="1:18" s="13" customFormat="1" ht="30" customHeight="1" thickBot="1" x14ac:dyDescent="0.3">
      <c r="A70" s="716"/>
      <c r="B70" s="1478" t="s">
        <v>335</v>
      </c>
      <c r="C70" s="1479"/>
      <c r="D70" s="1479"/>
      <c r="E70" s="1479"/>
      <c r="F70" s="823"/>
      <c r="G70" s="824"/>
      <c r="H70" s="824"/>
      <c r="I70" s="824"/>
      <c r="J70" s="824"/>
      <c r="K70" s="825" t="e">
        <f>$O$66*(O78-P76)</f>
        <v>#N/A</v>
      </c>
      <c r="L70" s="75" t="s">
        <v>334</v>
      </c>
      <c r="M70" s="716"/>
      <c r="N70" s="113"/>
      <c r="O70" s="115"/>
      <c r="P70" s="653" t="e">
        <f>N47</f>
        <v>#N/A</v>
      </c>
      <c r="Q70" s="716"/>
      <c r="R70" s="716"/>
    </row>
    <row r="71" spans="1:18" s="12" customFormat="1" ht="5.0999999999999996" customHeight="1" thickBot="1" x14ac:dyDescent="0.3">
      <c r="A71" s="716"/>
      <c r="B71" s="826"/>
      <c r="C71" s="633"/>
      <c r="D71" s="633"/>
      <c r="E71" s="633"/>
      <c r="F71" s="633"/>
      <c r="G71" s="828"/>
      <c r="H71" s="828"/>
      <c r="I71" s="828"/>
      <c r="J71" s="828"/>
      <c r="K71" s="633"/>
      <c r="L71" s="77"/>
      <c r="M71" s="716"/>
      <c r="N71" s="829"/>
      <c r="O71" s="830"/>
      <c r="P71" s="831"/>
      <c r="Q71" s="716"/>
      <c r="R71" s="716"/>
    </row>
    <row r="72" spans="1:18" s="13" customFormat="1" ht="30" customHeight="1" thickBot="1" x14ac:dyDescent="0.3">
      <c r="A72" s="716"/>
      <c r="B72" s="1478" t="s">
        <v>336</v>
      </c>
      <c r="C72" s="1479"/>
      <c r="D72" s="1479"/>
      <c r="E72" s="1479"/>
      <c r="F72" s="1479"/>
      <c r="G72" s="824"/>
      <c r="H72" s="824"/>
      <c r="I72" s="824"/>
      <c r="J72" s="824"/>
      <c r="K72" s="832" t="e">
        <f>-O$66*(O72-O68)</f>
        <v>#N/A</v>
      </c>
      <c r="L72" s="75" t="s">
        <v>337</v>
      </c>
      <c r="M72" s="716"/>
      <c r="N72" s="833"/>
      <c r="O72" s="697">
        <f>D29</f>
        <v>15.56</v>
      </c>
      <c r="P72" s="651"/>
      <c r="Q72" s="716"/>
      <c r="R72" s="716"/>
    </row>
    <row r="73" spans="1:18" s="12" customFormat="1" ht="5.0999999999999996" customHeight="1" thickBot="1" x14ac:dyDescent="0.3">
      <c r="A73" s="716"/>
      <c r="B73" s="826"/>
      <c r="C73" s="633"/>
      <c r="D73" s="633"/>
      <c r="E73" s="633"/>
      <c r="F73" s="633"/>
      <c r="G73" s="828"/>
      <c r="H73" s="828"/>
      <c r="I73" s="828"/>
      <c r="J73" s="828"/>
      <c r="K73" s="763"/>
      <c r="L73" s="77"/>
      <c r="M73" s="716"/>
      <c r="N73" s="829"/>
      <c r="O73" s="830"/>
      <c r="P73" s="831"/>
      <c r="Q73" s="716"/>
      <c r="R73" s="716"/>
    </row>
    <row r="74" spans="1:18" s="13" customFormat="1" ht="30" customHeight="1" thickBot="1" x14ac:dyDescent="0.3">
      <c r="A74" s="716"/>
      <c r="B74" s="1478" t="s">
        <v>338</v>
      </c>
      <c r="C74" s="1479"/>
      <c r="D74" s="1479"/>
      <c r="E74" s="1479"/>
      <c r="F74" s="1479"/>
      <c r="G74" s="116"/>
      <c r="H74" s="116"/>
      <c r="I74" s="116"/>
      <c r="J74" s="824"/>
      <c r="K74" s="832" t="e">
        <f>$O$66*(P80-P70)</f>
        <v>#N/A</v>
      </c>
      <c r="L74" s="75" t="s">
        <v>337</v>
      </c>
      <c r="M74" s="716"/>
      <c r="N74" s="113"/>
      <c r="O74" s="569">
        <f>D33</f>
        <v>4.7700000000000001E-5</v>
      </c>
      <c r="P74" s="114"/>
      <c r="Q74" s="716"/>
      <c r="R74" s="716"/>
    </row>
    <row r="75" spans="1:18" s="12" customFormat="1" ht="5.0999999999999996" customHeight="1" thickBot="1" x14ac:dyDescent="0.3">
      <c r="A75" s="716"/>
      <c r="B75" s="826"/>
      <c r="C75" s="633"/>
      <c r="D75" s="633"/>
      <c r="E75" s="633"/>
      <c r="F75" s="633"/>
      <c r="G75" s="828"/>
      <c r="H75" s="828"/>
      <c r="I75" s="828"/>
      <c r="J75" s="828"/>
      <c r="K75" s="633"/>
      <c r="L75" s="77"/>
      <c r="M75" s="716"/>
      <c r="N75" s="829"/>
      <c r="O75" s="830"/>
      <c r="P75" s="831"/>
      <c r="Q75" s="716"/>
      <c r="R75" s="716"/>
    </row>
    <row r="76" spans="1:18" s="13" customFormat="1" ht="30" customHeight="1" thickBot="1" x14ac:dyDescent="0.3">
      <c r="A76" s="716"/>
      <c r="B76" s="1478" t="s">
        <v>339</v>
      </c>
      <c r="C76" s="1479"/>
      <c r="D76" s="1479"/>
      <c r="E76" s="1479"/>
      <c r="F76" s="1479"/>
      <c r="G76" s="824"/>
      <c r="H76" s="824"/>
      <c r="I76" s="824"/>
      <c r="J76" s="824"/>
      <c r="K76" s="825" t="e">
        <f>$O$66*(P70-O68)</f>
        <v>#N/A</v>
      </c>
      <c r="L76" s="75" t="s">
        <v>337</v>
      </c>
      <c r="M76" s="716"/>
      <c r="N76" s="113"/>
      <c r="O76" s="115"/>
      <c r="P76" s="834" t="e">
        <f>F33</f>
        <v>#N/A</v>
      </c>
      <c r="Q76" s="716"/>
      <c r="R76" s="716"/>
    </row>
    <row r="77" spans="1:18" s="12" customFormat="1" ht="5.0999999999999996" customHeight="1" thickBot="1" x14ac:dyDescent="0.3">
      <c r="A77" s="716"/>
      <c r="B77" s="826"/>
      <c r="C77" s="633"/>
      <c r="D77" s="633"/>
      <c r="E77" s="827"/>
      <c r="F77" s="827"/>
      <c r="G77" s="828"/>
      <c r="H77" s="828"/>
      <c r="I77" s="828"/>
      <c r="J77" s="828"/>
      <c r="K77" s="633"/>
      <c r="L77" s="77"/>
      <c r="M77" s="110"/>
      <c r="N77" s="117"/>
      <c r="O77" s="830"/>
      <c r="P77" s="831"/>
      <c r="Q77" s="716"/>
      <c r="R77" s="716"/>
    </row>
    <row r="78" spans="1:18" s="13" customFormat="1" ht="30" customHeight="1" thickBot="1" x14ac:dyDescent="0.3">
      <c r="A78" s="716"/>
      <c r="B78" s="1478" t="s">
        <v>340</v>
      </c>
      <c r="C78" s="1479"/>
      <c r="D78" s="1479"/>
      <c r="E78" s="118"/>
      <c r="F78" s="118"/>
      <c r="G78" s="116"/>
      <c r="H78" s="116"/>
      <c r="I78" s="116"/>
      <c r="J78" s="824"/>
      <c r="K78" s="835">
        <v>1</v>
      </c>
      <c r="L78" s="75" t="s">
        <v>332</v>
      </c>
      <c r="M78" s="110"/>
      <c r="N78" s="113"/>
      <c r="O78" s="836" t="e">
        <f>D37</f>
        <v>#N/A</v>
      </c>
      <c r="P78" s="837" t="e">
        <f>F37</f>
        <v>#N/A</v>
      </c>
      <c r="Q78" s="716"/>
      <c r="R78" s="716"/>
    </row>
    <row r="79" spans="1:18" s="12" customFormat="1" ht="5.0999999999999996" customHeight="1" thickBot="1" x14ac:dyDescent="0.3">
      <c r="A79" s="633"/>
      <c r="B79" s="826"/>
      <c r="C79" s="633"/>
      <c r="D79" s="633"/>
      <c r="E79" s="827"/>
      <c r="F79" s="827"/>
      <c r="G79" s="828"/>
      <c r="H79" s="828"/>
      <c r="I79" s="828"/>
      <c r="J79" s="828"/>
      <c r="K79" s="633"/>
      <c r="L79" s="77"/>
      <c r="M79" s="110"/>
      <c r="N79" s="117"/>
      <c r="O79" s="830"/>
      <c r="P79" s="831"/>
      <c r="Q79" s="716"/>
      <c r="R79" s="716"/>
    </row>
    <row r="80" spans="1:18" s="13" customFormat="1" ht="30" customHeight="1" thickBot="1" x14ac:dyDescent="0.3">
      <c r="A80" s="716"/>
      <c r="B80" s="1478" t="s">
        <v>341</v>
      </c>
      <c r="C80" s="1479"/>
      <c r="D80" s="1479"/>
      <c r="E80" s="118"/>
      <c r="F80" s="118"/>
      <c r="G80" s="116"/>
      <c r="H80" s="116"/>
      <c r="I80" s="116"/>
      <c r="J80" s="824"/>
      <c r="K80" s="835">
        <v>1</v>
      </c>
      <c r="L80" s="75" t="s">
        <v>332</v>
      </c>
      <c r="M80" s="110"/>
      <c r="N80" s="119"/>
      <c r="O80" s="120"/>
      <c r="P80" s="838" t="e">
        <f>F29</f>
        <v>#N/A</v>
      </c>
      <c r="Q80" s="716"/>
      <c r="R80" s="716"/>
    </row>
    <row r="81" spans="1:20" s="12" customFormat="1" ht="5.0999999999999996" customHeight="1" thickBot="1" x14ac:dyDescent="0.3">
      <c r="A81" s="716"/>
      <c r="B81" s="826"/>
      <c r="C81" s="633"/>
      <c r="D81" s="633"/>
      <c r="E81" s="827"/>
      <c r="F81" s="827"/>
      <c r="G81" s="828"/>
      <c r="H81" s="828"/>
      <c r="I81" s="828"/>
      <c r="J81" s="828"/>
      <c r="K81" s="633"/>
      <c r="L81" s="77"/>
      <c r="M81" s="110"/>
      <c r="N81" s="633"/>
      <c r="O81" s="633"/>
      <c r="P81" s="633"/>
      <c r="Q81" s="716"/>
      <c r="R81" s="716"/>
      <c r="S81" s="633"/>
      <c r="T81" s="633"/>
    </row>
    <row r="82" spans="1:20" s="13" customFormat="1" ht="30" customHeight="1" thickBot="1" x14ac:dyDescent="0.3">
      <c r="A82" s="716"/>
      <c r="B82" s="1480" t="s">
        <v>342</v>
      </c>
      <c r="C82" s="1481"/>
      <c r="D82" s="1481"/>
      <c r="E82" s="823"/>
      <c r="F82" s="823"/>
      <c r="G82" s="824"/>
      <c r="H82" s="824"/>
      <c r="I82" s="824"/>
      <c r="J82" s="824"/>
      <c r="K82" s="835">
        <v>1</v>
      </c>
      <c r="L82" s="75" t="s">
        <v>332</v>
      </c>
      <c r="M82" s="110"/>
      <c r="N82" s="716"/>
      <c r="O82" s="716"/>
      <c r="P82" s="716"/>
      <c r="Q82" s="716"/>
      <c r="R82" s="716"/>
      <c r="S82" s="716"/>
      <c r="T82" s="716"/>
    </row>
    <row r="83" spans="1:20" s="13" customFormat="1" ht="9.75" customHeight="1" thickBot="1" x14ac:dyDescent="0.3">
      <c r="A83" s="716"/>
      <c r="B83" s="839"/>
      <c r="C83" s="840"/>
      <c r="D83" s="840"/>
      <c r="E83" s="840"/>
      <c r="F83" s="840"/>
      <c r="G83" s="840"/>
      <c r="H83" s="840"/>
      <c r="I83" s="840"/>
      <c r="J83" s="840"/>
      <c r="K83" s="840"/>
      <c r="L83" s="841"/>
      <c r="M83" s="110"/>
      <c r="N83" s="110"/>
      <c r="O83" s="121"/>
      <c r="P83" s="716"/>
      <c r="Q83" s="716"/>
      <c r="R83" s="716"/>
      <c r="S83" s="716"/>
      <c r="T83" s="716"/>
    </row>
    <row r="84" spans="1:20" s="13" customFormat="1" ht="39.75" customHeight="1" x14ac:dyDescent="0.25">
      <c r="A84" s="716"/>
      <c r="B84" s="110"/>
      <c r="C84" s="110"/>
      <c r="D84" s="110"/>
      <c r="E84" s="110"/>
      <c r="F84" s="110"/>
      <c r="G84" s="110"/>
      <c r="H84" s="110"/>
      <c r="I84" s="110"/>
      <c r="J84" s="110"/>
      <c r="K84" s="110"/>
      <c r="L84" s="110"/>
      <c r="M84" s="110"/>
      <c r="N84" s="716"/>
      <c r="O84" s="716"/>
      <c r="P84" s="716"/>
      <c r="Q84" s="716"/>
      <c r="R84" s="716"/>
      <c r="S84" s="716"/>
      <c r="T84" s="716"/>
    </row>
    <row r="85" spans="1:20" s="13" customFormat="1" ht="34.5" customHeight="1" thickBot="1" x14ac:dyDescent="0.3">
      <c r="A85" s="716"/>
      <c r="B85" s="716"/>
      <c r="C85" s="716"/>
      <c r="D85" s="716"/>
      <c r="E85" s="716"/>
      <c r="F85" s="716"/>
      <c r="G85" s="716"/>
      <c r="H85" s="716"/>
      <c r="I85" s="716"/>
      <c r="J85" s="716"/>
      <c r="K85" s="716"/>
      <c r="L85" s="716"/>
      <c r="M85" s="110"/>
      <c r="N85" s="110"/>
      <c r="O85" s="121"/>
      <c r="P85" s="716"/>
      <c r="Q85" s="716"/>
      <c r="R85" s="716"/>
      <c r="S85" s="716"/>
      <c r="T85" s="716"/>
    </row>
    <row r="86" spans="1:20" s="13" customFormat="1" ht="34.5" customHeight="1" thickBot="1" x14ac:dyDescent="0.3">
      <c r="A86" s="110"/>
      <c r="B86" s="1433" t="s">
        <v>343</v>
      </c>
      <c r="C86" s="1434"/>
      <c r="D86" s="1434"/>
      <c r="E86" s="1434"/>
      <c r="F86" s="1434"/>
      <c r="G86" s="1434"/>
      <c r="H86" s="1434"/>
      <c r="I86" s="1434"/>
      <c r="J86" s="1434"/>
      <c r="K86" s="1434"/>
      <c r="L86" s="1434"/>
      <c r="M86" s="1434"/>
      <c r="N86" s="1434"/>
      <c r="O86" s="1434"/>
      <c r="P86" s="1434"/>
      <c r="Q86" s="1434"/>
      <c r="R86" s="1435"/>
      <c r="S86" s="716"/>
      <c r="T86" s="716"/>
    </row>
    <row r="87" spans="1:20" s="12" customFormat="1" ht="57.75" customHeight="1" thickBot="1" x14ac:dyDescent="0.3">
      <c r="A87" s="633"/>
      <c r="B87" s="1469" t="s">
        <v>344</v>
      </c>
      <c r="C87" s="1470"/>
      <c r="D87" s="59" t="s">
        <v>345</v>
      </c>
      <c r="E87" s="37" t="s">
        <v>346</v>
      </c>
      <c r="F87" s="37"/>
      <c r="G87" s="37" t="s">
        <v>347</v>
      </c>
      <c r="H87" s="37" t="s">
        <v>348</v>
      </c>
      <c r="I87" s="37"/>
      <c r="J87" s="37" t="s">
        <v>349</v>
      </c>
      <c r="K87" s="37"/>
      <c r="L87" s="37" t="s">
        <v>350</v>
      </c>
      <c r="M87" s="37"/>
      <c r="N87" s="37" t="s">
        <v>351</v>
      </c>
      <c r="O87" s="37" t="s">
        <v>352</v>
      </c>
      <c r="P87" s="37" t="s">
        <v>353</v>
      </c>
      <c r="Q87" s="38" t="s">
        <v>354</v>
      </c>
      <c r="R87" s="38" t="s">
        <v>355</v>
      </c>
      <c r="S87" s="229"/>
      <c r="T87" s="633"/>
    </row>
    <row r="88" spans="1:20" s="12" customFormat="1" ht="39.950000000000003" customHeight="1" thickBot="1" x14ac:dyDescent="0.3">
      <c r="A88" s="716"/>
      <c r="B88" s="1471" t="s">
        <v>356</v>
      </c>
      <c r="C88" s="1472"/>
      <c r="D88" s="270" t="e">
        <f>C7</f>
        <v>#N/A</v>
      </c>
      <c r="E88" s="633"/>
      <c r="F88" s="633"/>
      <c r="G88" s="633"/>
      <c r="H88" s="633"/>
      <c r="I88" s="633"/>
      <c r="J88" s="633"/>
      <c r="K88" s="633"/>
      <c r="L88" s="633"/>
      <c r="M88" s="633"/>
      <c r="N88" s="633"/>
      <c r="O88" s="633"/>
      <c r="P88" s="633"/>
      <c r="Q88" s="633"/>
      <c r="R88" s="633"/>
      <c r="S88" s="229"/>
      <c r="T88" s="633"/>
    </row>
    <row r="89" spans="1:20" s="121" customFormat="1" ht="39.950000000000003" customHeight="1" x14ac:dyDescent="0.25">
      <c r="B89" s="1459" t="s">
        <v>357</v>
      </c>
      <c r="C89" s="1473"/>
      <c r="D89" s="271"/>
      <c r="E89" s="689" t="e">
        <f>I7</f>
        <v>#N/A</v>
      </c>
      <c r="F89" s="268" t="s">
        <v>120</v>
      </c>
      <c r="G89" s="583" t="e">
        <f>O7</f>
        <v>#N/A</v>
      </c>
      <c r="H89" s="583" t="e">
        <f>E89/G89</f>
        <v>#N/A</v>
      </c>
      <c r="I89" s="268" t="s">
        <v>120</v>
      </c>
      <c r="J89" s="842" t="e">
        <f>K66</f>
        <v>#N/A</v>
      </c>
      <c r="K89" s="843"/>
      <c r="L89" s="587" t="e">
        <f>H89*J89</f>
        <v>#N/A</v>
      </c>
      <c r="M89" s="843" t="s">
        <v>120</v>
      </c>
      <c r="N89" s="842" t="e">
        <f>L89^2</f>
        <v>#N/A</v>
      </c>
      <c r="O89" s="843" t="s">
        <v>358</v>
      </c>
      <c r="P89" s="843" t="s">
        <v>359</v>
      </c>
      <c r="Q89" s="843">
        <v>50</v>
      </c>
      <c r="R89" s="844" t="e">
        <f>(L89/$N$119)^2</f>
        <v>#N/A</v>
      </c>
      <c r="S89" s="289" t="e">
        <f t="shared" ref="S89:S117" si="1">IF(L89=MAX($L$89,$L$90,$L$93,$L$94,$L$95,$L$98,$L$99,$L$100,$L$101,$L$103,$L$104,$L$105,$L$106,$L$108,$L$109,$L$110,$L$111,$L$112,,$L$115,$L$116,$L$117,$L$118),"",L89)</f>
        <v>#N/A</v>
      </c>
    </row>
    <row r="90" spans="1:20" s="12" customFormat="1" ht="39.950000000000003" customHeight="1" thickBot="1" x14ac:dyDescent="0.3">
      <c r="A90" s="1474"/>
      <c r="B90" s="1461" t="s">
        <v>360</v>
      </c>
      <c r="C90" s="1475"/>
      <c r="D90" s="266"/>
      <c r="E90" s="591" t="e">
        <f>K7</f>
        <v>#N/A</v>
      </c>
      <c r="F90" s="845" t="s">
        <v>120</v>
      </c>
      <c r="G90" s="591">
        <f>SQRT(12)</f>
        <v>3.4641016151377544</v>
      </c>
      <c r="H90" s="589" t="e">
        <f>E90/G90</f>
        <v>#N/A</v>
      </c>
      <c r="I90" s="845" t="str">
        <f>F90</f>
        <v>mL</v>
      </c>
      <c r="J90" s="846" t="e">
        <f>K66</f>
        <v>#N/A</v>
      </c>
      <c r="K90" s="847"/>
      <c r="L90" s="594" t="e">
        <f>H90*J90</f>
        <v>#N/A</v>
      </c>
      <c r="M90" s="847" t="s">
        <v>120</v>
      </c>
      <c r="N90" s="846" t="e">
        <f>L90^2</f>
        <v>#N/A</v>
      </c>
      <c r="O90" s="847" t="s">
        <v>358</v>
      </c>
      <c r="P90" s="847" t="s">
        <v>361</v>
      </c>
      <c r="Q90" s="847" t="s">
        <v>362</v>
      </c>
      <c r="R90" s="848" t="e">
        <f>(L90/$N$119)^2</f>
        <v>#N/A</v>
      </c>
      <c r="S90" s="289" t="e">
        <f t="shared" si="1"/>
        <v>#N/A</v>
      </c>
      <c r="T90" s="633"/>
    </row>
    <row r="91" spans="1:20" s="12" customFormat="1" ht="5.0999999999999996" customHeight="1" thickBot="1" x14ac:dyDescent="0.3">
      <c r="A91" s="1474"/>
      <c r="B91" s="1476"/>
      <c r="C91" s="1477"/>
      <c r="D91" s="274"/>
      <c r="E91" s="633"/>
      <c r="F91" s="633"/>
      <c r="G91" s="633"/>
      <c r="H91" s="633"/>
      <c r="I91" s="633"/>
      <c r="J91" s="633"/>
      <c r="K91" s="633"/>
      <c r="L91" s="633"/>
      <c r="M91" s="633"/>
      <c r="N91" s="633"/>
      <c r="O91" s="633"/>
      <c r="P91" s="633"/>
      <c r="Q91" s="633"/>
      <c r="R91" s="633"/>
      <c r="S91" s="289"/>
      <c r="T91" s="849"/>
    </row>
    <row r="92" spans="1:20" s="121" customFormat="1" ht="39.950000000000003" customHeight="1" thickBot="1" x14ac:dyDescent="0.3">
      <c r="B92" s="1444" t="s">
        <v>363</v>
      </c>
      <c r="C92" s="1446"/>
      <c r="D92" s="275" t="e">
        <f>C18</f>
        <v>#N/A</v>
      </c>
      <c r="L92" s="285"/>
      <c r="S92" s="289"/>
      <c r="T92" s="849"/>
    </row>
    <row r="93" spans="1:20" s="12" customFormat="1" ht="39.950000000000003" customHeight="1" x14ac:dyDescent="0.25">
      <c r="A93" s="716"/>
      <c r="B93" s="1444" t="s">
        <v>364</v>
      </c>
      <c r="C93" s="1446"/>
      <c r="D93" s="850"/>
      <c r="E93" s="766" t="e">
        <f>I18</f>
        <v>#N/A</v>
      </c>
      <c r="F93" s="851" t="str">
        <f>F19</f>
        <v>mL</v>
      </c>
      <c r="G93" s="852" t="e">
        <f>O18</f>
        <v>#N/A</v>
      </c>
      <c r="H93" s="587" t="e">
        <f>E93/G93</f>
        <v>#N/A</v>
      </c>
      <c r="I93" s="851" t="str">
        <f>F93</f>
        <v>mL</v>
      </c>
      <c r="J93" s="852">
        <f>K82</f>
        <v>1</v>
      </c>
      <c r="K93" s="851"/>
      <c r="L93" s="853" t="e">
        <f>H93*J93</f>
        <v>#N/A</v>
      </c>
      <c r="M93" s="851" t="s">
        <v>120</v>
      </c>
      <c r="N93" s="842" t="e">
        <f>L93^2</f>
        <v>#N/A</v>
      </c>
      <c r="O93" s="843" t="s">
        <v>358</v>
      </c>
      <c r="P93" s="843" t="s">
        <v>359</v>
      </c>
      <c r="Q93" s="843">
        <v>50</v>
      </c>
      <c r="R93" s="844" t="e">
        <f t="shared" ref="R93:R95" si="2">(L93/$N$119)^2</f>
        <v>#N/A</v>
      </c>
      <c r="S93" s="289" t="e">
        <f t="shared" si="1"/>
        <v>#N/A</v>
      </c>
      <c r="T93" s="633"/>
    </row>
    <row r="94" spans="1:20" s="121" customFormat="1" ht="39.950000000000003" customHeight="1" x14ac:dyDescent="0.25">
      <c r="B94" s="1444" t="s">
        <v>365</v>
      </c>
      <c r="C94" s="1446"/>
      <c r="D94" s="850"/>
      <c r="E94" s="854" t="e">
        <f>E18</f>
        <v>#N/A</v>
      </c>
      <c r="F94" s="855" t="str">
        <f>F19</f>
        <v>mL</v>
      </c>
      <c r="G94" s="768">
        <f>SQRT(12)</f>
        <v>3.4641016151377544</v>
      </c>
      <c r="H94" s="768" t="e">
        <f>E94/G94</f>
        <v>#N/A</v>
      </c>
      <c r="I94" s="855" t="str">
        <f>F94</f>
        <v>mL</v>
      </c>
      <c r="J94" s="808">
        <f>K82</f>
        <v>1</v>
      </c>
      <c r="K94" s="855"/>
      <c r="L94" s="856" t="e">
        <f>H94*J94</f>
        <v>#N/A</v>
      </c>
      <c r="M94" s="855" t="s">
        <v>120</v>
      </c>
      <c r="N94" s="856" t="e">
        <f>L94^2</f>
        <v>#N/A</v>
      </c>
      <c r="O94" s="857" t="s">
        <v>358</v>
      </c>
      <c r="P94" s="857" t="s">
        <v>361</v>
      </c>
      <c r="Q94" s="857" t="s">
        <v>362</v>
      </c>
      <c r="R94" s="858" t="e">
        <f t="shared" si="2"/>
        <v>#N/A</v>
      </c>
      <c r="S94" s="289" t="e">
        <f t="shared" si="1"/>
        <v>#N/A</v>
      </c>
    </row>
    <row r="95" spans="1:20" s="12" customFormat="1" ht="39.950000000000003" customHeight="1" thickBot="1" x14ac:dyDescent="0.3">
      <c r="A95" s="716"/>
      <c r="B95" s="1444" t="s">
        <v>366</v>
      </c>
      <c r="C95" s="1446"/>
      <c r="D95" s="859"/>
      <c r="E95" s="860" t="e">
        <f>K18</f>
        <v>#N/A</v>
      </c>
      <c r="F95" s="861" t="str">
        <f>F19</f>
        <v>mL</v>
      </c>
      <c r="G95" s="591">
        <f>SQRT(12)</f>
        <v>3.4641016151377544</v>
      </c>
      <c r="H95" s="791" t="e">
        <f>E95/G95</f>
        <v>#N/A</v>
      </c>
      <c r="I95" s="861" t="str">
        <f>F95</f>
        <v>mL</v>
      </c>
      <c r="J95" s="862">
        <f>K82</f>
        <v>1</v>
      </c>
      <c r="K95" s="861"/>
      <c r="L95" s="863" t="e">
        <f>H95*J95</f>
        <v>#N/A</v>
      </c>
      <c r="M95" s="861" t="s">
        <v>120</v>
      </c>
      <c r="N95" s="846" t="e">
        <f>L95^2</f>
        <v>#N/A</v>
      </c>
      <c r="O95" s="847" t="s">
        <v>358</v>
      </c>
      <c r="P95" s="847" t="s">
        <v>361</v>
      </c>
      <c r="Q95" s="847" t="s">
        <v>362</v>
      </c>
      <c r="R95" s="848" t="e">
        <f t="shared" si="2"/>
        <v>#N/A</v>
      </c>
      <c r="S95" s="289" t="e">
        <f t="shared" si="1"/>
        <v>#N/A</v>
      </c>
      <c r="T95" s="633"/>
    </row>
    <row r="96" spans="1:20" s="12" customFormat="1" ht="5.0999999999999996" customHeight="1" thickBot="1" x14ac:dyDescent="0.3">
      <c r="A96" s="716"/>
      <c r="B96" s="272"/>
      <c r="C96" s="273"/>
      <c r="D96" s="864"/>
      <c r="E96" s="865"/>
      <c r="F96" s="865"/>
      <c r="G96" s="633"/>
      <c r="H96" s="633"/>
      <c r="I96" s="633"/>
      <c r="J96" s="633"/>
      <c r="K96" s="633"/>
      <c r="L96" s="633"/>
      <c r="M96" s="633"/>
      <c r="N96" s="633"/>
      <c r="O96" s="633"/>
      <c r="P96" s="633"/>
      <c r="Q96" s="633"/>
      <c r="R96" s="633"/>
      <c r="S96" s="289"/>
      <c r="T96" s="780"/>
    </row>
    <row r="97" spans="1:90" s="12" customFormat="1" ht="39.950000000000003" customHeight="1" thickBot="1" x14ac:dyDescent="0.3">
      <c r="A97" s="716"/>
      <c r="B97" s="1444" t="s">
        <v>367</v>
      </c>
      <c r="C97" s="1446"/>
      <c r="D97" s="294" t="e">
        <f>G47</f>
        <v>#N/A</v>
      </c>
      <c r="E97" s="866" t="e">
        <f>G47</f>
        <v>#N/A</v>
      </c>
      <c r="F97" s="867" t="s">
        <v>134</v>
      </c>
      <c r="G97" s="633"/>
      <c r="H97" s="633"/>
      <c r="I97" s="633"/>
      <c r="J97" s="633"/>
      <c r="K97" s="633"/>
      <c r="L97" s="633"/>
      <c r="M97" s="633"/>
      <c r="N97" s="633"/>
      <c r="O97" s="633"/>
      <c r="P97" s="633"/>
      <c r="Q97" s="633"/>
      <c r="R97" s="633"/>
      <c r="S97" s="289"/>
      <c r="T97" s="849"/>
      <c r="U97" s="868"/>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row>
    <row r="98" spans="1:90" s="12" customFormat="1" ht="39.950000000000003" customHeight="1" x14ac:dyDescent="0.25">
      <c r="A98" s="716"/>
      <c r="B98" s="1444" t="s">
        <v>368</v>
      </c>
      <c r="C98" s="1445"/>
      <c r="D98" s="276" t="e">
        <f>E11</f>
        <v>#N/A</v>
      </c>
      <c r="E98" s="583" t="e">
        <f>E9</f>
        <v>#N/A</v>
      </c>
      <c r="F98" s="869" t="s">
        <v>134</v>
      </c>
      <c r="G98" s="583">
        <f>SQRT(12)</f>
        <v>3.4641016151377544</v>
      </c>
      <c r="H98" s="583" t="e">
        <f>E98/G98</f>
        <v>#N/A</v>
      </c>
      <c r="I98" s="869" t="s">
        <v>134</v>
      </c>
      <c r="J98" s="690" t="e">
        <f>K68</f>
        <v>#N/A</v>
      </c>
      <c r="K98" s="843" t="s">
        <v>369</v>
      </c>
      <c r="L98" s="583" t="e">
        <f t="shared" ref="L98:L110" si="3">H98*J98</f>
        <v>#N/A</v>
      </c>
      <c r="M98" s="843" t="s">
        <v>120</v>
      </c>
      <c r="N98" s="842" t="e">
        <f t="shared" ref="N98:N110" si="4">L98^2</f>
        <v>#N/A</v>
      </c>
      <c r="O98" s="843" t="s">
        <v>370</v>
      </c>
      <c r="P98" s="843" t="s">
        <v>361</v>
      </c>
      <c r="Q98" s="843" t="s">
        <v>362</v>
      </c>
      <c r="R98" s="844" t="e">
        <f>IFERROR(L98/$N$119,"--")^2</f>
        <v>#VALUE!</v>
      </c>
      <c r="S98" s="289" t="e">
        <f t="shared" si="1"/>
        <v>#N/A</v>
      </c>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row>
    <row r="99" spans="1:90" s="121" customFormat="1" ht="39.950000000000003" customHeight="1" x14ac:dyDescent="0.25">
      <c r="B99" s="1444" t="s">
        <v>371</v>
      </c>
      <c r="C99" s="1445"/>
      <c r="D99" s="870"/>
      <c r="E99" s="571" t="e">
        <f>MAX(I8:I12)</f>
        <v>#N/A</v>
      </c>
      <c r="F99" s="871" t="str">
        <f>F14</f>
        <v>°C</v>
      </c>
      <c r="G99" s="623" t="e">
        <f>O9</f>
        <v>#N/A</v>
      </c>
      <c r="H99" s="623" t="e">
        <f t="shared" ref="H99:H111" si="5">E99/G99</f>
        <v>#N/A</v>
      </c>
      <c r="I99" s="871" t="s">
        <v>134</v>
      </c>
      <c r="J99" s="569" t="e">
        <f>K68</f>
        <v>#N/A</v>
      </c>
      <c r="K99" s="857" t="s">
        <v>369</v>
      </c>
      <c r="L99" s="623" t="e">
        <f t="shared" si="3"/>
        <v>#N/A</v>
      </c>
      <c r="M99" s="857" t="s">
        <v>120</v>
      </c>
      <c r="N99" s="856" t="e">
        <f t="shared" si="4"/>
        <v>#N/A</v>
      </c>
      <c r="O99" s="857" t="s">
        <v>358</v>
      </c>
      <c r="P99" s="857" t="s">
        <v>359</v>
      </c>
      <c r="Q99" s="857">
        <v>50</v>
      </c>
      <c r="R99" s="858" t="e">
        <f t="shared" ref="R99:R112" si="6">IFERROR(L99/$N$119,"--")^2</f>
        <v>#VALUE!</v>
      </c>
      <c r="S99" s="289" t="e">
        <f t="shared" si="1"/>
        <v>#N/A</v>
      </c>
    </row>
    <row r="100" spans="1:90" s="12" customFormat="1" ht="39.950000000000003" customHeight="1" x14ac:dyDescent="0.25">
      <c r="A100" s="716"/>
      <c r="B100" s="1444" t="s">
        <v>360</v>
      </c>
      <c r="C100" s="1445"/>
      <c r="D100" s="870"/>
      <c r="E100" s="808" t="e">
        <f>VLOOKUP(D97,C8:K12,9,TRUE)</f>
        <v>#N/A</v>
      </c>
      <c r="F100" s="871" t="str">
        <f>F14</f>
        <v>°C</v>
      </c>
      <c r="G100" s="697">
        <f>SQRT(12)</f>
        <v>3.4641016151377544</v>
      </c>
      <c r="H100" s="623" t="e">
        <f>E100/G100</f>
        <v>#N/A</v>
      </c>
      <c r="I100" s="871" t="s">
        <v>134</v>
      </c>
      <c r="J100" s="569" t="e">
        <f>K68</f>
        <v>#N/A</v>
      </c>
      <c r="K100" s="857" t="s">
        <v>369</v>
      </c>
      <c r="L100" s="623" t="e">
        <f t="shared" si="3"/>
        <v>#N/A</v>
      </c>
      <c r="M100" s="857" t="s">
        <v>120</v>
      </c>
      <c r="N100" s="856" t="e">
        <f t="shared" si="4"/>
        <v>#N/A</v>
      </c>
      <c r="O100" s="857" t="s">
        <v>358</v>
      </c>
      <c r="P100" s="857" t="s">
        <v>361</v>
      </c>
      <c r="Q100" s="857" t="s">
        <v>362</v>
      </c>
      <c r="R100" s="858" t="e">
        <f t="shared" si="6"/>
        <v>#VALUE!</v>
      </c>
      <c r="S100" s="289" t="e">
        <f t="shared" si="1"/>
        <v>#N/A</v>
      </c>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row>
    <row r="101" spans="1:90" s="12" customFormat="1" ht="39.950000000000003" customHeight="1" thickBot="1" x14ac:dyDescent="0.3">
      <c r="A101" s="716"/>
      <c r="B101" s="1444" t="s">
        <v>372</v>
      </c>
      <c r="C101" s="1445"/>
      <c r="D101" s="872"/>
      <c r="E101" s="592" t="e">
        <f>(MAX(D44:D46)-(MIN(D44:D46)))</f>
        <v>#N/A</v>
      </c>
      <c r="F101" s="845" t="str">
        <f>F14</f>
        <v>°C</v>
      </c>
      <c r="G101" s="589">
        <f>SQRT(12)</f>
        <v>3.4641016151377544</v>
      </c>
      <c r="H101" s="589" t="e">
        <f t="shared" si="5"/>
        <v>#N/A</v>
      </c>
      <c r="I101" s="845" t="s">
        <v>134</v>
      </c>
      <c r="J101" s="863" t="e">
        <f>K68</f>
        <v>#N/A</v>
      </c>
      <c r="K101" s="847" t="s">
        <v>369</v>
      </c>
      <c r="L101" s="589" t="e">
        <f t="shared" si="3"/>
        <v>#N/A</v>
      </c>
      <c r="M101" s="847" t="s">
        <v>120</v>
      </c>
      <c r="N101" s="846" t="e">
        <f t="shared" si="4"/>
        <v>#N/A</v>
      </c>
      <c r="O101" s="847" t="s">
        <v>370</v>
      </c>
      <c r="P101" s="847" t="s">
        <v>361</v>
      </c>
      <c r="Q101" s="847" t="s">
        <v>362</v>
      </c>
      <c r="R101" s="848" t="e">
        <f t="shared" si="6"/>
        <v>#VALUE!</v>
      </c>
      <c r="S101" s="289" t="e">
        <f t="shared" si="1"/>
        <v>#N/A</v>
      </c>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row>
    <row r="102" spans="1:90" s="12" customFormat="1" ht="39.950000000000003" customHeight="1" thickBot="1" x14ac:dyDescent="0.3">
      <c r="A102" s="716"/>
      <c r="B102" s="1444" t="s">
        <v>373</v>
      </c>
      <c r="C102" s="1446"/>
      <c r="D102" s="295" t="e">
        <f>N47</f>
        <v>#N/A</v>
      </c>
      <c r="E102" s="873">
        <f>M50</f>
        <v>0</v>
      </c>
      <c r="F102" s="874" t="str">
        <f>F14</f>
        <v>°C</v>
      </c>
      <c r="G102" s="633"/>
      <c r="H102" s="633"/>
      <c r="I102" s="633"/>
      <c r="J102" s="633"/>
      <c r="K102" s="633"/>
      <c r="L102" s="633"/>
      <c r="M102" s="633"/>
      <c r="N102" s="633"/>
      <c r="O102" s="633"/>
      <c r="P102" s="633"/>
      <c r="Q102" s="633"/>
      <c r="R102" s="875"/>
      <c r="S102" s="289"/>
      <c r="T102" s="849"/>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row>
    <row r="103" spans="1:90" s="12" customFormat="1" ht="39.950000000000003" customHeight="1" x14ac:dyDescent="0.25">
      <c r="A103" s="716"/>
      <c r="B103" s="1444" t="s">
        <v>368</v>
      </c>
      <c r="C103" s="1445"/>
      <c r="D103" s="253" t="e">
        <f>E14</f>
        <v>#N/A</v>
      </c>
      <c r="E103" s="583" t="e">
        <f>E14</f>
        <v>#N/A</v>
      </c>
      <c r="F103" s="843" t="str">
        <f>F14</f>
        <v>°C</v>
      </c>
      <c r="G103" s="583">
        <f>SQRT(12)</f>
        <v>3.4641016151377544</v>
      </c>
      <c r="H103" s="583" t="e">
        <f t="shared" si="5"/>
        <v>#N/A</v>
      </c>
      <c r="I103" s="869" t="s">
        <v>134</v>
      </c>
      <c r="J103" s="842" t="e">
        <f>K70</f>
        <v>#N/A</v>
      </c>
      <c r="K103" s="843" t="s">
        <v>369</v>
      </c>
      <c r="L103" s="583" t="e">
        <f t="shared" si="3"/>
        <v>#N/A</v>
      </c>
      <c r="M103" s="843" t="s">
        <v>120</v>
      </c>
      <c r="N103" s="842" t="e">
        <f t="shared" si="4"/>
        <v>#N/A</v>
      </c>
      <c r="O103" s="843" t="s">
        <v>370</v>
      </c>
      <c r="P103" s="843" t="s">
        <v>361</v>
      </c>
      <c r="Q103" s="843" t="s">
        <v>362</v>
      </c>
      <c r="R103" s="844" t="e">
        <f t="shared" si="6"/>
        <v>#VALUE!</v>
      </c>
      <c r="S103" s="289" t="e">
        <f t="shared" si="1"/>
        <v>#N/A</v>
      </c>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row>
    <row r="104" spans="1:90" s="121" customFormat="1" ht="39.950000000000003" customHeight="1" x14ac:dyDescent="0.25">
      <c r="B104" s="1441" t="s">
        <v>371</v>
      </c>
      <c r="C104" s="1442"/>
      <c r="D104" s="870"/>
      <c r="E104" s="571" t="e">
        <f>MAX(I13:I17)</f>
        <v>#N/A</v>
      </c>
      <c r="F104" s="871" t="str">
        <f>F14</f>
        <v>°C</v>
      </c>
      <c r="G104" s="808" t="e">
        <f>O14</f>
        <v>#N/A</v>
      </c>
      <c r="H104" s="623" t="e">
        <f t="shared" si="5"/>
        <v>#N/A</v>
      </c>
      <c r="I104" s="871" t="s">
        <v>134</v>
      </c>
      <c r="J104" s="856" t="e">
        <f>K70</f>
        <v>#N/A</v>
      </c>
      <c r="K104" s="857" t="s">
        <v>369</v>
      </c>
      <c r="L104" s="623" t="e">
        <f>H104*J104</f>
        <v>#N/A</v>
      </c>
      <c r="M104" s="857" t="s">
        <v>120</v>
      </c>
      <c r="N104" s="856" t="e">
        <f>L104^2</f>
        <v>#N/A</v>
      </c>
      <c r="O104" s="857" t="s">
        <v>358</v>
      </c>
      <c r="P104" s="857" t="s">
        <v>359</v>
      </c>
      <c r="Q104" s="857">
        <v>50</v>
      </c>
      <c r="R104" s="858" t="e">
        <f t="shared" si="6"/>
        <v>#VALUE!</v>
      </c>
      <c r="S104" s="289" t="e">
        <f t="shared" si="1"/>
        <v>#N/A</v>
      </c>
    </row>
    <row r="105" spans="1:90" s="12" customFormat="1" ht="39.950000000000003" customHeight="1" x14ac:dyDescent="0.25">
      <c r="A105" s="716"/>
      <c r="B105" s="1441" t="s">
        <v>360</v>
      </c>
      <c r="C105" s="1442"/>
      <c r="D105" s="833"/>
      <c r="E105" s="654" t="e">
        <f>VLOOKUP(D102,C13:K17,9,TRUE)</f>
        <v>#N/A</v>
      </c>
      <c r="F105" s="871" t="str">
        <f>F14</f>
        <v>°C</v>
      </c>
      <c r="G105" s="697">
        <f>SQRT(12)</f>
        <v>3.4641016151377544</v>
      </c>
      <c r="H105" s="623" t="e">
        <f t="shared" si="5"/>
        <v>#N/A</v>
      </c>
      <c r="I105" s="871" t="s">
        <v>134</v>
      </c>
      <c r="J105" s="856" t="e">
        <f>K70</f>
        <v>#N/A</v>
      </c>
      <c r="K105" s="857" t="s">
        <v>369</v>
      </c>
      <c r="L105" s="623" t="e">
        <f t="shared" si="3"/>
        <v>#N/A</v>
      </c>
      <c r="M105" s="857" t="s">
        <v>120</v>
      </c>
      <c r="N105" s="856" t="e">
        <f t="shared" si="4"/>
        <v>#N/A</v>
      </c>
      <c r="O105" s="857" t="s">
        <v>358</v>
      </c>
      <c r="P105" s="857" t="s">
        <v>361</v>
      </c>
      <c r="Q105" s="857" t="s">
        <v>362</v>
      </c>
      <c r="R105" s="858" t="e">
        <f t="shared" si="6"/>
        <v>#VALUE!</v>
      </c>
      <c r="S105" s="289" t="e">
        <f t="shared" si="1"/>
        <v>#N/A</v>
      </c>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row>
    <row r="106" spans="1:90" s="12" customFormat="1" ht="39.950000000000003" customHeight="1" thickBot="1" x14ac:dyDescent="0.3">
      <c r="A106" s="716"/>
      <c r="B106" s="1441" t="s">
        <v>372</v>
      </c>
      <c r="C106" s="1442"/>
      <c r="D106" s="269"/>
      <c r="E106" s="591" t="e">
        <f>(MAX(J44:J46)-(MIN(J44:J46)))</f>
        <v>#N/A</v>
      </c>
      <c r="F106" s="845" t="str">
        <f>F14</f>
        <v>°C</v>
      </c>
      <c r="G106" s="589">
        <f>SQRT(12)</f>
        <v>3.4641016151377544</v>
      </c>
      <c r="H106" s="589" t="e">
        <f t="shared" si="5"/>
        <v>#N/A</v>
      </c>
      <c r="I106" s="845" t="s">
        <v>134</v>
      </c>
      <c r="J106" s="846" t="e">
        <f>K70</f>
        <v>#N/A</v>
      </c>
      <c r="K106" s="847" t="s">
        <v>369</v>
      </c>
      <c r="L106" s="589" t="e">
        <f t="shared" si="3"/>
        <v>#N/A</v>
      </c>
      <c r="M106" s="847" t="s">
        <v>120</v>
      </c>
      <c r="N106" s="846" t="e">
        <f t="shared" si="4"/>
        <v>#N/A</v>
      </c>
      <c r="O106" s="847" t="s">
        <v>370</v>
      </c>
      <c r="P106" s="847" t="s">
        <v>361</v>
      </c>
      <c r="Q106" s="847" t="s">
        <v>362</v>
      </c>
      <c r="R106" s="848" t="e">
        <f t="shared" si="6"/>
        <v>#VALUE!</v>
      </c>
      <c r="S106" s="289" t="e">
        <f t="shared" si="1"/>
        <v>#N/A</v>
      </c>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row>
    <row r="107" spans="1:90" s="12" customFormat="1" ht="45.95" customHeight="1" thickBot="1" x14ac:dyDescent="0.3">
      <c r="A107" s="716"/>
      <c r="B107" s="1441" t="s">
        <v>374</v>
      </c>
      <c r="C107" s="1443"/>
      <c r="D107" s="296" t="e">
        <f>D37</f>
        <v>#N/A</v>
      </c>
      <c r="E107" s="876" t="e">
        <f>D37</f>
        <v>#N/A</v>
      </c>
      <c r="F107" s="877" t="s">
        <v>122</v>
      </c>
      <c r="G107" s="633"/>
      <c r="H107" s="633"/>
      <c r="I107" s="633"/>
      <c r="J107" s="633"/>
      <c r="K107" s="633"/>
      <c r="L107" s="633"/>
      <c r="M107" s="633"/>
      <c r="N107" s="633"/>
      <c r="O107" s="633"/>
      <c r="P107" s="633"/>
      <c r="Q107" s="633"/>
      <c r="R107" s="849"/>
      <c r="S107" s="289"/>
      <c r="T107" s="849"/>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row>
    <row r="108" spans="1:90" s="121" customFormat="1" ht="45.95" customHeight="1" x14ac:dyDescent="0.25">
      <c r="A108" s="716"/>
      <c r="B108" s="1441" t="s">
        <v>375</v>
      </c>
      <c r="C108" s="1442"/>
      <c r="D108" s="267"/>
      <c r="E108" s="878" t="e">
        <f>(D37*5%)</f>
        <v>#N/A</v>
      </c>
      <c r="F108" s="843" t="s">
        <v>122</v>
      </c>
      <c r="G108" s="583">
        <f>SQRT(3)</f>
        <v>1.7320508075688772</v>
      </c>
      <c r="H108" s="583" t="e">
        <f>E108/G108</f>
        <v>#N/A</v>
      </c>
      <c r="I108" s="843" t="s">
        <v>122</v>
      </c>
      <c r="J108" s="853" t="e">
        <f>K76</f>
        <v>#N/A</v>
      </c>
      <c r="K108" s="843" t="s">
        <v>337</v>
      </c>
      <c r="L108" s="583" t="e">
        <f t="shared" si="3"/>
        <v>#N/A</v>
      </c>
      <c r="M108" s="843" t="s">
        <v>120</v>
      </c>
      <c r="N108" s="842" t="e">
        <f t="shared" si="4"/>
        <v>#N/A</v>
      </c>
      <c r="O108" s="843" t="s">
        <v>376</v>
      </c>
      <c r="P108" s="843" t="s">
        <v>361</v>
      </c>
      <c r="Q108" s="843" t="s">
        <v>362</v>
      </c>
      <c r="R108" s="844" t="e">
        <f t="shared" si="6"/>
        <v>#VALUE!</v>
      </c>
      <c r="S108" s="289" t="e">
        <f t="shared" si="1"/>
        <v>#N/A</v>
      </c>
    </row>
    <row r="109" spans="1:90" s="123" customFormat="1" ht="45.95" customHeight="1" x14ac:dyDescent="0.25">
      <c r="A109" s="716"/>
      <c r="B109" s="1441" t="s">
        <v>288</v>
      </c>
      <c r="C109" s="1442"/>
      <c r="D109" s="31" t="s">
        <v>252</v>
      </c>
      <c r="E109" s="879">
        <f>(D33*5%)</f>
        <v>2.385E-6</v>
      </c>
      <c r="F109" s="857" t="s">
        <v>122</v>
      </c>
      <c r="G109" s="623">
        <f>SQRT(3)</f>
        <v>1.7320508075688772</v>
      </c>
      <c r="H109" s="623">
        <f t="shared" si="5"/>
        <v>1.3769803920172576E-6</v>
      </c>
      <c r="I109" s="857" t="s">
        <v>122</v>
      </c>
      <c r="J109" s="571" t="e">
        <f>K72</f>
        <v>#N/A</v>
      </c>
      <c r="K109" s="857" t="s">
        <v>337</v>
      </c>
      <c r="L109" s="623" t="e">
        <f t="shared" si="3"/>
        <v>#N/A</v>
      </c>
      <c r="M109" s="857" t="s">
        <v>120</v>
      </c>
      <c r="N109" s="856" t="e">
        <f t="shared" si="4"/>
        <v>#N/A</v>
      </c>
      <c r="O109" s="857" t="s">
        <v>377</v>
      </c>
      <c r="P109" s="857" t="s">
        <v>361</v>
      </c>
      <c r="Q109" s="857" t="s">
        <v>362</v>
      </c>
      <c r="R109" s="858" t="e">
        <f t="shared" si="6"/>
        <v>#VALUE!</v>
      </c>
      <c r="S109" s="289" t="e">
        <f t="shared" si="1"/>
        <v>#N/A</v>
      </c>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c r="BM109" s="633"/>
      <c r="BN109" s="633"/>
      <c r="BO109" s="633"/>
      <c r="BP109" s="633"/>
      <c r="BQ109" s="633"/>
      <c r="BR109" s="633"/>
      <c r="BS109" s="633"/>
      <c r="BT109" s="633"/>
      <c r="BU109" s="633"/>
      <c r="BV109" s="633"/>
      <c r="BW109" s="633"/>
      <c r="BX109" s="633"/>
      <c r="BY109" s="633"/>
      <c r="BZ109" s="633"/>
      <c r="CA109" s="633"/>
      <c r="CB109" s="633"/>
      <c r="CC109" s="633"/>
      <c r="CD109" s="633"/>
      <c r="CE109" s="633"/>
      <c r="CF109" s="633"/>
      <c r="CG109" s="633"/>
      <c r="CH109" s="633"/>
      <c r="CI109" s="633"/>
      <c r="CJ109" s="633"/>
      <c r="CK109" s="633"/>
      <c r="CL109" s="633"/>
    </row>
    <row r="110" spans="1:90" s="121" customFormat="1" ht="45.95" customHeight="1" x14ac:dyDescent="0.25">
      <c r="B110" s="1441" t="s">
        <v>288</v>
      </c>
      <c r="C110" s="1442"/>
      <c r="D110" s="31" t="s">
        <v>268</v>
      </c>
      <c r="E110" s="879" t="e">
        <f>(F33*5%)</f>
        <v>#N/A</v>
      </c>
      <c r="F110" s="857" t="s">
        <v>122</v>
      </c>
      <c r="G110" s="623">
        <f>SQRT(3)</f>
        <v>1.7320508075688772</v>
      </c>
      <c r="H110" s="623" t="e">
        <f t="shared" si="5"/>
        <v>#N/A</v>
      </c>
      <c r="I110" s="857" t="s">
        <v>122</v>
      </c>
      <c r="J110" s="571" t="e">
        <f>K74</f>
        <v>#N/A</v>
      </c>
      <c r="K110" s="857" t="s">
        <v>337</v>
      </c>
      <c r="L110" s="623" t="e">
        <f t="shared" si="3"/>
        <v>#N/A</v>
      </c>
      <c r="M110" s="857" t="s">
        <v>120</v>
      </c>
      <c r="N110" s="856" t="e">
        <f t="shared" si="4"/>
        <v>#N/A</v>
      </c>
      <c r="O110" s="857" t="s">
        <v>378</v>
      </c>
      <c r="P110" s="857" t="s">
        <v>361</v>
      </c>
      <c r="Q110" s="857" t="s">
        <v>362</v>
      </c>
      <c r="R110" s="858" t="e">
        <f t="shared" si="6"/>
        <v>#VALUE!</v>
      </c>
      <c r="S110" s="289" t="e">
        <f t="shared" si="1"/>
        <v>#N/A</v>
      </c>
    </row>
    <row r="111" spans="1:90" s="12" customFormat="1" ht="45.95" customHeight="1" x14ac:dyDescent="0.25">
      <c r="A111" s="716"/>
      <c r="B111" s="1441" t="s">
        <v>288</v>
      </c>
      <c r="C111" s="1442"/>
      <c r="D111" s="31" t="s">
        <v>379</v>
      </c>
      <c r="E111" s="879">
        <f>(D36*7.5%)</f>
        <v>7.4249999999999998E-7</v>
      </c>
      <c r="F111" s="857" t="s">
        <v>122</v>
      </c>
      <c r="G111" s="623">
        <f>SQRT(12)</f>
        <v>3.4641016151377544</v>
      </c>
      <c r="H111" s="569">
        <f t="shared" si="5"/>
        <v>2.1434128743664856E-7</v>
      </c>
      <c r="I111" s="857" t="s">
        <v>122</v>
      </c>
      <c r="J111" s="808">
        <f>K82</f>
        <v>1</v>
      </c>
      <c r="K111" s="857" t="s">
        <v>337</v>
      </c>
      <c r="L111" s="569">
        <f>H111*J111</f>
        <v>2.1434128743664856E-7</v>
      </c>
      <c r="M111" s="857" t="s">
        <v>120</v>
      </c>
      <c r="N111" s="856">
        <f>L111^2</f>
        <v>4.5942187499999998E-14</v>
      </c>
      <c r="O111" s="857" t="s">
        <v>378</v>
      </c>
      <c r="P111" s="857" t="s">
        <v>361</v>
      </c>
      <c r="Q111" s="857" t="s">
        <v>362</v>
      </c>
      <c r="R111" s="858" t="e">
        <f t="shared" si="6"/>
        <v>#VALUE!</v>
      </c>
      <c r="S111" s="289" t="e">
        <f t="shared" si="1"/>
        <v>#N/A</v>
      </c>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row>
    <row r="112" spans="1:90" s="12" customFormat="1" ht="45.95" customHeight="1" thickBot="1" x14ac:dyDescent="0.3">
      <c r="A112" s="716"/>
      <c r="B112" s="1439" t="s">
        <v>380</v>
      </c>
      <c r="C112" s="1440"/>
      <c r="D112" s="32"/>
      <c r="E112" s="880">
        <v>0.25703300000000001</v>
      </c>
      <c r="F112" s="847" t="s">
        <v>120</v>
      </c>
      <c r="G112" s="589">
        <f>SQRT(9)</f>
        <v>3</v>
      </c>
      <c r="H112" s="863">
        <f>E112/G112</f>
        <v>8.5677666666666666E-2</v>
      </c>
      <c r="I112" s="847" t="s">
        <v>120</v>
      </c>
      <c r="J112" s="862">
        <v>1</v>
      </c>
      <c r="K112" s="847" t="s">
        <v>120</v>
      </c>
      <c r="L112" s="863">
        <f>H112*J112</f>
        <v>8.5677666666666666E-2</v>
      </c>
      <c r="M112" s="847" t="s">
        <v>120</v>
      </c>
      <c r="N112" s="846">
        <f>L112^2</f>
        <v>7.3406625654444443E-3</v>
      </c>
      <c r="O112" s="847" t="s">
        <v>381</v>
      </c>
      <c r="P112" s="847" t="s">
        <v>382</v>
      </c>
      <c r="Q112" s="847">
        <v>6</v>
      </c>
      <c r="R112" s="848" t="e">
        <f t="shared" si="6"/>
        <v>#VALUE!</v>
      </c>
      <c r="S112" s="289" t="e">
        <f t="shared" si="1"/>
        <v>#N/A</v>
      </c>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633"/>
      <c r="CD112" s="633"/>
      <c r="CE112" s="633"/>
      <c r="CF112" s="633"/>
      <c r="CG112" s="633"/>
      <c r="CH112" s="633"/>
      <c r="CI112" s="633"/>
      <c r="CJ112" s="633"/>
      <c r="CK112" s="633"/>
      <c r="CL112" s="633"/>
    </row>
    <row r="113" spans="1:31" s="12" customFormat="1" ht="30" customHeight="1" x14ac:dyDescent="0.25">
      <c r="A113" s="110"/>
      <c r="B113" s="633"/>
      <c r="C113" s="633"/>
      <c r="D113" s="633"/>
      <c r="E113" s="881"/>
      <c r="F113" s="633"/>
      <c r="G113" s="633"/>
      <c r="H113" s="633"/>
      <c r="I113" s="633"/>
      <c r="J113" s="633"/>
      <c r="K113" s="633"/>
      <c r="L113" s="633"/>
      <c r="M113" s="633"/>
      <c r="N113" s="633"/>
      <c r="O113" s="633"/>
      <c r="P113" s="633"/>
      <c r="Q113" s="633"/>
      <c r="R113" s="882"/>
      <c r="S113" s="289"/>
      <c r="T113" s="633"/>
      <c r="U113" s="633"/>
      <c r="V113" s="633"/>
      <c r="W113" s="633"/>
      <c r="X113" s="633"/>
      <c r="Y113" s="633"/>
      <c r="Z113" s="633"/>
      <c r="AA113" s="633"/>
      <c r="AB113" s="633"/>
      <c r="AC113" s="633"/>
      <c r="AD113" s="633"/>
      <c r="AE113" s="633"/>
    </row>
    <row r="114" spans="1:31" s="12" customFormat="1" ht="30" customHeight="1" thickBot="1" x14ac:dyDescent="0.3">
      <c r="A114" s="110"/>
      <c r="B114" s="1447" t="s">
        <v>383</v>
      </c>
      <c r="C114" s="1448"/>
      <c r="D114" s="1449"/>
      <c r="E114" s="1449"/>
      <c r="F114" s="1449"/>
      <c r="G114" s="1449"/>
      <c r="H114" s="1449"/>
      <c r="I114" s="1449"/>
      <c r="J114" s="1449"/>
      <c r="K114" s="1449"/>
      <c r="L114" s="1449"/>
      <c r="M114" s="1449"/>
      <c r="N114" s="1449"/>
      <c r="O114" s="1449"/>
      <c r="P114" s="1449"/>
      <c r="Q114" s="1449"/>
      <c r="R114" s="1450"/>
      <c r="S114" s="289"/>
      <c r="T114" s="633"/>
      <c r="U114" s="633"/>
      <c r="V114" s="633"/>
      <c r="W114" s="633"/>
      <c r="X114" s="633"/>
      <c r="Y114" s="633"/>
      <c r="Z114" s="633"/>
      <c r="AA114" s="633"/>
      <c r="AB114" s="633"/>
      <c r="AC114" s="633"/>
      <c r="AD114" s="633"/>
      <c r="AE114" s="633"/>
    </row>
    <row r="115" spans="1:31" s="12" customFormat="1" ht="30" customHeight="1" x14ac:dyDescent="0.25">
      <c r="A115" s="716"/>
      <c r="B115" s="1459" t="s">
        <v>384</v>
      </c>
      <c r="C115" s="1460"/>
      <c r="D115" s="297"/>
      <c r="E115" s="623">
        <f>(PI()*(D34)^2/4)*D35</f>
        <v>0.11879147221386406</v>
      </c>
      <c r="F115" s="857" t="s">
        <v>120</v>
      </c>
      <c r="G115" s="623">
        <f>SQRT(3)</f>
        <v>1.7320508075688772</v>
      </c>
      <c r="H115" s="623">
        <f>E115/G115</f>
        <v>6.8584288460106363E-2</v>
      </c>
      <c r="I115" s="857" t="s">
        <v>120</v>
      </c>
      <c r="J115" s="623">
        <v>1</v>
      </c>
      <c r="K115" s="857"/>
      <c r="L115" s="623">
        <f>H115*J115</f>
        <v>6.8584288460106363E-2</v>
      </c>
      <c r="M115" s="857" t="s">
        <v>120</v>
      </c>
      <c r="N115" s="856">
        <f>L115^2</f>
        <v>4.7038046235790788E-3</v>
      </c>
      <c r="O115" s="857" t="s">
        <v>385</v>
      </c>
      <c r="P115" s="857" t="s">
        <v>361</v>
      </c>
      <c r="Q115" s="857" t="s">
        <v>362</v>
      </c>
      <c r="R115" s="883" t="e">
        <f t="shared" ref="R115:R118" si="7">IFERROR(L115/$N$119,"--")^2</f>
        <v>#VALUE!</v>
      </c>
      <c r="S115" s="289" t="e">
        <f t="shared" si="1"/>
        <v>#N/A</v>
      </c>
      <c r="T115" s="633"/>
      <c r="U115" s="633"/>
      <c r="V115" s="633"/>
      <c r="W115" s="633"/>
      <c r="X115" s="633"/>
      <c r="Y115" s="633"/>
      <c r="Z115" s="633"/>
      <c r="AA115" s="633"/>
      <c r="AB115" s="633"/>
      <c r="AC115" s="633"/>
      <c r="AD115" s="633"/>
      <c r="AE115" s="633"/>
    </row>
    <row r="116" spans="1:31" s="12" customFormat="1" ht="30" customHeight="1" x14ac:dyDescent="0.25">
      <c r="A116" s="633"/>
      <c r="B116" s="1444" t="s">
        <v>386</v>
      </c>
      <c r="C116" s="1445"/>
      <c r="D116" s="297"/>
      <c r="E116" s="697" t="e">
        <f>(PI()*(1.5/2)^2*F35)+(PI()*(F34/2)^2*F35)</f>
        <v>#N/A</v>
      </c>
      <c r="F116" s="857" t="s">
        <v>120</v>
      </c>
      <c r="G116" s="623">
        <f>SQRT(3)</f>
        <v>1.7320508075688772</v>
      </c>
      <c r="H116" s="623" t="e">
        <f>E116/G116</f>
        <v>#N/A</v>
      </c>
      <c r="I116" s="857" t="s">
        <v>120</v>
      </c>
      <c r="J116" s="623">
        <v>1</v>
      </c>
      <c r="K116" s="857"/>
      <c r="L116" s="623" t="e">
        <f>H116*J116</f>
        <v>#N/A</v>
      </c>
      <c r="M116" s="857" t="s">
        <v>120</v>
      </c>
      <c r="N116" s="856" t="e">
        <f>L116^2</f>
        <v>#N/A</v>
      </c>
      <c r="O116" s="857" t="s">
        <v>385</v>
      </c>
      <c r="P116" s="857" t="s">
        <v>361</v>
      </c>
      <c r="Q116" s="857" t="s">
        <v>362</v>
      </c>
      <c r="R116" s="883" t="e">
        <f t="shared" si="7"/>
        <v>#VALUE!</v>
      </c>
      <c r="S116" s="289" t="e">
        <f t="shared" si="1"/>
        <v>#N/A</v>
      </c>
      <c r="T116" s="633"/>
      <c r="U116" s="633"/>
      <c r="V116" s="633"/>
      <c r="W116" s="633"/>
      <c r="X116" s="633"/>
      <c r="Y116" s="633"/>
      <c r="Z116" s="633"/>
      <c r="AA116" s="633"/>
      <c r="AB116" s="633"/>
      <c r="AC116" s="633"/>
      <c r="AD116" s="633"/>
      <c r="AE116" s="633"/>
    </row>
    <row r="117" spans="1:31" s="12" customFormat="1" ht="39.950000000000003" customHeight="1" x14ac:dyDescent="0.25">
      <c r="A117" s="633"/>
      <c r="B117" s="1444" t="s">
        <v>387</v>
      </c>
      <c r="C117" s="1445"/>
      <c r="D117" s="297"/>
      <c r="E117" s="856" t="e">
        <f>H59</f>
        <v>#N/A</v>
      </c>
      <c r="F117" s="857" t="s">
        <v>120</v>
      </c>
      <c r="G117" s="697">
        <f>SQRT(B46)</f>
        <v>1.7320508075688772</v>
      </c>
      <c r="H117" s="856" t="e">
        <f>E117/G117</f>
        <v>#N/A</v>
      </c>
      <c r="I117" s="857" t="s">
        <v>120</v>
      </c>
      <c r="J117" s="623">
        <v>1</v>
      </c>
      <c r="K117" s="857"/>
      <c r="L117" s="623" t="e">
        <f>H117*J117</f>
        <v>#N/A</v>
      </c>
      <c r="M117" s="857" t="s">
        <v>120</v>
      </c>
      <c r="N117" s="856" t="e">
        <f>L117^2</f>
        <v>#N/A</v>
      </c>
      <c r="O117" s="857" t="s">
        <v>388</v>
      </c>
      <c r="P117" s="857" t="s">
        <v>359</v>
      </c>
      <c r="Q117" s="857">
        <f>B46-1</f>
        <v>2</v>
      </c>
      <c r="R117" s="883" t="e">
        <f t="shared" si="7"/>
        <v>#VALUE!</v>
      </c>
      <c r="S117" s="289" t="e">
        <f t="shared" si="1"/>
        <v>#N/A</v>
      </c>
      <c r="T117" s="633"/>
      <c r="U117" s="633"/>
      <c r="V117" s="633"/>
      <c r="W117" s="633"/>
      <c r="X117" s="633"/>
      <c r="Y117" s="633"/>
      <c r="Z117" s="633"/>
      <c r="AA117" s="633"/>
      <c r="AB117" s="633"/>
      <c r="AC117" s="633"/>
      <c r="AD117" s="633"/>
      <c r="AE117" s="633"/>
    </row>
    <row r="118" spans="1:31" s="12" customFormat="1" ht="30" customHeight="1" thickBot="1" x14ac:dyDescent="0.3">
      <c r="A118" s="124" t="s">
        <v>389</v>
      </c>
      <c r="B118" s="1461" t="s">
        <v>390</v>
      </c>
      <c r="C118" s="1462"/>
      <c r="D118" s="297"/>
      <c r="E118" s="697" t="e">
        <f>C122*0.01%</f>
        <v>#N/A</v>
      </c>
      <c r="F118" s="857" t="s">
        <v>120</v>
      </c>
      <c r="G118" s="623">
        <v>1</v>
      </c>
      <c r="H118" s="623" t="e">
        <f>E118/G118</f>
        <v>#N/A</v>
      </c>
      <c r="I118" s="857" t="s">
        <v>120</v>
      </c>
      <c r="J118" s="623">
        <v>1</v>
      </c>
      <c r="K118" s="857"/>
      <c r="L118" s="623" t="e">
        <f>H118*J118</f>
        <v>#N/A</v>
      </c>
      <c r="M118" s="857" t="s">
        <v>120</v>
      </c>
      <c r="N118" s="856" t="e">
        <f>L118^2</f>
        <v>#N/A</v>
      </c>
      <c r="O118" s="857" t="s">
        <v>391</v>
      </c>
      <c r="P118" s="857" t="s">
        <v>359</v>
      </c>
      <c r="Q118" s="857" t="s">
        <v>362</v>
      </c>
      <c r="R118" s="883" t="e">
        <f t="shared" si="7"/>
        <v>#VALUE!</v>
      </c>
      <c r="S118" s="849" t="e">
        <f>IF(L118=MAX($L$89,$L$90,$L$93,$L$94,$L$95,$L$98,$L$99,$L$100,$L$101,$L$103,$L$104,$L$105,$L$106,$L$108,$L$109,$L$110,$L$111,$L$112,,$L$115,$L$116,$L$117,$L$118),"",L118)</f>
        <v>#N/A</v>
      </c>
      <c r="T118" s="633"/>
      <c r="U118" s="633"/>
      <c r="V118" s="633"/>
      <c r="W118" s="633"/>
      <c r="X118" s="633"/>
      <c r="Y118" s="633"/>
      <c r="Z118" s="633"/>
      <c r="AA118" s="633"/>
      <c r="AB118" s="633"/>
      <c r="AC118" s="633"/>
      <c r="AD118" s="633"/>
      <c r="AE118" s="633"/>
    </row>
    <row r="119" spans="1:31" s="12" customFormat="1" ht="45.75" customHeight="1" thickBot="1" x14ac:dyDescent="0.3">
      <c r="A119" s="716"/>
      <c r="B119" s="633"/>
      <c r="C119" s="633"/>
      <c r="D119" s="633"/>
      <c r="E119" s="633"/>
      <c r="F119" s="633"/>
      <c r="G119" s="633"/>
      <c r="H119" s="633"/>
      <c r="I119" s="633"/>
      <c r="J119" s="633"/>
      <c r="K119" s="633"/>
      <c r="L119" s="125"/>
      <c r="M119" s="126"/>
      <c r="N119" s="43" t="e">
        <f>SQRT(SUM(N89:N90,N93:N95,N98:N101,N103:N106,N108:N111,N112,N115,N116,N117,N118))</f>
        <v>#N/A</v>
      </c>
      <c r="O119" s="633"/>
      <c r="P119" s="633"/>
      <c r="Q119" s="633"/>
      <c r="R119" s="884" t="e">
        <f>SUM(R89:R90,R93:R95,R98:R101,R103:R106,R108:R112,R114:R118)</f>
        <v>#N/A</v>
      </c>
      <c r="S119" s="633"/>
      <c r="T119" s="633"/>
      <c r="U119" s="633"/>
      <c r="V119" s="633"/>
      <c r="W119" s="633"/>
      <c r="X119" s="633"/>
      <c r="Y119" s="633"/>
      <c r="Z119" s="633"/>
      <c r="AA119" s="633"/>
      <c r="AB119" s="633"/>
      <c r="AC119" s="633"/>
      <c r="AD119" s="633"/>
      <c r="AE119" s="633"/>
    </row>
    <row r="120" spans="1:31" s="12" customFormat="1" ht="41.25" customHeight="1" thickBot="1" x14ac:dyDescent="0.3">
      <c r="A120" s="716"/>
      <c r="B120" s="1433" t="s">
        <v>392</v>
      </c>
      <c r="C120" s="1434"/>
      <c r="D120" s="1434"/>
      <c r="E120" s="1434"/>
      <c r="F120" s="1434"/>
      <c r="G120" s="1434"/>
      <c r="H120" s="1434"/>
      <c r="I120" s="1435"/>
      <c r="J120" s="633"/>
      <c r="K120" s="716"/>
      <c r="L120" s="1453" t="s">
        <v>393</v>
      </c>
      <c r="M120" s="1454"/>
      <c r="N120" s="80" t="e">
        <f>E122*N119</f>
        <v>#N/A</v>
      </c>
      <c r="O120" s="885"/>
      <c r="P120" s="716"/>
      <c r="Q120" s="633"/>
      <c r="R120" s="36"/>
      <c r="S120" s="633"/>
      <c r="T120" s="633"/>
      <c r="U120" s="633"/>
      <c r="V120" s="633"/>
      <c r="W120" s="633"/>
      <c r="X120" s="633"/>
      <c r="Y120" s="633"/>
      <c r="Z120" s="633"/>
      <c r="AA120" s="633"/>
      <c r="AB120" s="633"/>
      <c r="AC120" s="633"/>
      <c r="AD120" s="633"/>
      <c r="AE120" s="633"/>
    </row>
    <row r="121" spans="1:31" s="12" customFormat="1" ht="34.5" customHeight="1" thickBot="1" x14ac:dyDescent="0.3">
      <c r="A121" s="716"/>
      <c r="B121" s="127"/>
      <c r="C121" s="128" t="s">
        <v>394</v>
      </c>
      <c r="D121" s="129" t="s">
        <v>395</v>
      </c>
      <c r="E121" s="129" t="s">
        <v>396</v>
      </c>
      <c r="F121" s="129" t="s">
        <v>397</v>
      </c>
      <c r="G121" s="129" t="s">
        <v>398</v>
      </c>
      <c r="H121" s="129" t="s">
        <v>399</v>
      </c>
      <c r="I121" s="130" t="s">
        <v>400</v>
      </c>
      <c r="J121" s="633"/>
      <c r="K121" s="886"/>
      <c r="L121" s="1455" t="s">
        <v>401</v>
      </c>
      <c r="M121" s="1456"/>
      <c r="N121" s="42" t="e">
        <f>(N119^4)/((L89^4/Q89)+(L99^4/Q99)+(L104^4/Q104)+(L93^4/Q93)+(L112^4/Q112)+(L117^4/Q117))</f>
        <v>#N/A</v>
      </c>
      <c r="O121" s="716"/>
      <c r="P121" s="633"/>
      <c r="Q121" s="633"/>
      <c r="R121" s="633"/>
      <c r="S121" s="633"/>
      <c r="T121" s="633"/>
      <c r="U121" s="633"/>
      <c r="V121" s="633"/>
      <c r="W121" s="633"/>
      <c r="X121" s="633"/>
      <c r="Y121" s="633"/>
      <c r="Z121" s="633"/>
      <c r="AA121" s="633"/>
      <c r="AB121" s="633"/>
      <c r="AC121" s="633"/>
      <c r="AD121" s="633"/>
      <c r="AE121" s="633"/>
    </row>
    <row r="122" spans="1:31" s="12" customFormat="1" ht="30" customHeight="1" thickBot="1" x14ac:dyDescent="0.3">
      <c r="A122" s="716"/>
      <c r="B122" s="174" t="s">
        <v>120</v>
      </c>
      <c r="C122" s="198" t="e">
        <f>$H$58</f>
        <v>#N/A</v>
      </c>
      <c r="D122" s="689" t="e">
        <f>N119</f>
        <v>#N/A</v>
      </c>
      <c r="E122" s="1463" t="str">
        <f>N125</f>
        <v>2</v>
      </c>
      <c r="F122" s="689" t="e">
        <f>(D122*E122)</f>
        <v>#N/A</v>
      </c>
      <c r="G122" s="1466">
        <v>95</v>
      </c>
      <c r="H122" s="689" t="e">
        <f>C122-C7</f>
        <v>#N/A</v>
      </c>
      <c r="I122" s="887" t="e">
        <f>ABS(H122)</f>
        <v>#N/A</v>
      </c>
      <c r="J122" s="633"/>
      <c r="K122" s="888"/>
      <c r="L122" s="633"/>
      <c r="M122" s="633"/>
      <c r="N122" s="633"/>
      <c r="O122" s="633"/>
      <c r="P122" s="633"/>
      <c r="Q122" s="633"/>
      <c r="R122" s="633"/>
      <c r="S122" s="633"/>
      <c r="T122" s="633"/>
      <c r="U122" s="633"/>
      <c r="V122" s="633"/>
      <c r="W122" s="633"/>
      <c r="X122" s="633"/>
      <c r="Y122" s="633"/>
      <c r="Z122" s="633"/>
      <c r="AA122" s="633"/>
      <c r="AB122" s="633"/>
      <c r="AC122" s="633"/>
      <c r="AD122" s="633"/>
      <c r="AE122" s="633"/>
    </row>
    <row r="123" spans="1:31" s="12" customFormat="1" ht="30" customHeight="1" thickBot="1" x14ac:dyDescent="0.3">
      <c r="A123" s="716"/>
      <c r="B123" s="175" t="s">
        <v>402</v>
      </c>
      <c r="C123" s="90" t="e">
        <f>C122/L30</f>
        <v>#N/A</v>
      </c>
      <c r="D123" s="697" t="e">
        <f>D122/K28</f>
        <v>#N/A</v>
      </c>
      <c r="E123" s="1464"/>
      <c r="F123" s="697" t="e">
        <f>D123*E122</f>
        <v>#N/A</v>
      </c>
      <c r="G123" s="1467"/>
      <c r="H123" s="697" t="e">
        <f>H122/L30</f>
        <v>#N/A</v>
      </c>
      <c r="I123" s="655" t="e">
        <f>ABS(H123)</f>
        <v>#N/A</v>
      </c>
      <c r="J123" s="633"/>
      <c r="K123" s="716"/>
      <c r="L123" s="1457" t="s">
        <v>396</v>
      </c>
      <c r="M123" s="1458"/>
      <c r="N123" s="716"/>
      <c r="O123" s="195">
        <v>0.3</v>
      </c>
      <c r="P123" s="131">
        <v>1.65</v>
      </c>
      <c r="Q123" s="633"/>
      <c r="R123" s="633"/>
      <c r="S123" s="633"/>
      <c r="T123" s="633"/>
      <c r="U123" s="633"/>
      <c r="V123" s="633"/>
      <c r="W123" s="633"/>
      <c r="X123" s="633"/>
      <c r="Y123" s="633"/>
      <c r="Z123" s="633"/>
      <c r="AA123" s="633"/>
      <c r="AB123" s="633"/>
      <c r="AC123" s="633"/>
      <c r="AD123" s="633"/>
      <c r="AE123" s="633"/>
    </row>
    <row r="124" spans="1:31" s="13" customFormat="1" ht="36.75" customHeight="1" thickBot="1" x14ac:dyDescent="0.3">
      <c r="A124" s="716"/>
      <c r="B124" s="175" t="s">
        <v>283</v>
      </c>
      <c r="C124" s="768" t="e">
        <f>C123/L27</f>
        <v>#N/A</v>
      </c>
      <c r="D124" s="654" t="e">
        <f>D123/L27</f>
        <v>#N/A</v>
      </c>
      <c r="E124" s="1464"/>
      <c r="F124" s="768" t="e">
        <f>D124*E122</f>
        <v>#N/A</v>
      </c>
      <c r="G124" s="1467"/>
      <c r="H124" s="768" t="e">
        <f>H123/L27</f>
        <v>#N/A</v>
      </c>
      <c r="I124" s="769" t="e">
        <f>ABS(H124)</f>
        <v>#N/A</v>
      </c>
      <c r="J124" s="633"/>
      <c r="K124" s="716"/>
      <c r="L124" s="196" t="e">
        <f>_xlfn.T.INV.2T(0.05,N121)</f>
        <v>#N/A</v>
      </c>
      <c r="M124" s="197" t="e">
        <f>TINV(0.05,N121)</f>
        <v>#N/A</v>
      </c>
      <c r="N124" s="61" t="s">
        <v>396</v>
      </c>
      <c r="O124" s="1436" t="s">
        <v>403</v>
      </c>
      <c r="P124" s="1437"/>
      <c r="Q124" s="1438"/>
      <c r="R124" s="716"/>
      <c r="S124" s="716"/>
      <c r="T124" s="716"/>
      <c r="U124" s="716"/>
      <c r="V124" s="716"/>
      <c r="W124" s="716"/>
      <c r="X124" s="716"/>
      <c r="Y124" s="716"/>
      <c r="Z124" s="716"/>
      <c r="AA124" s="132"/>
      <c r="AB124" s="716"/>
      <c r="AC124" s="716"/>
      <c r="AD124" s="716"/>
      <c r="AE124" s="716"/>
    </row>
    <row r="125" spans="1:31" s="12" customFormat="1" ht="42" customHeight="1" thickBot="1" x14ac:dyDescent="0.3">
      <c r="A125" s="716"/>
      <c r="B125" s="32" t="s">
        <v>404</v>
      </c>
      <c r="C125" s="591" t="e">
        <f>(C122*100)/C7</f>
        <v>#N/A</v>
      </c>
      <c r="D125" s="889" t="e">
        <f>(D124/C124)</f>
        <v>#N/A</v>
      </c>
      <c r="E125" s="1465"/>
      <c r="F125" s="592" t="e">
        <f>(D125*E122)*100</f>
        <v>#N/A</v>
      </c>
      <c r="G125" s="1468"/>
      <c r="H125" s="889" t="e">
        <f>(H124*100)/C124</f>
        <v>#N/A</v>
      </c>
      <c r="I125" s="779" t="e">
        <f>(I124*100)/M27</f>
        <v>#N/A</v>
      </c>
      <c r="J125" s="633"/>
      <c r="K125" s="716"/>
      <c r="L125" s="1451" t="s">
        <v>405</v>
      </c>
      <c r="M125" s="1452"/>
      <c r="N125" s="61" t="str">
        <f>IF((M126)&lt;=(O123),"1,65","2")</f>
        <v>2</v>
      </c>
      <c r="O125" s="62" t="s">
        <v>406</v>
      </c>
      <c r="P125" s="63" t="s">
        <v>407</v>
      </c>
      <c r="Q125" s="64" t="s">
        <v>408</v>
      </c>
      <c r="R125" s="633"/>
      <c r="S125" s="633"/>
      <c r="T125" s="633"/>
      <c r="U125" s="633"/>
      <c r="V125" s="633"/>
      <c r="W125" s="633"/>
      <c r="X125" s="633"/>
      <c r="Y125" s="633"/>
      <c r="Z125" s="633"/>
      <c r="AA125" s="633"/>
      <c r="AB125" s="633"/>
      <c r="AC125" s="633"/>
      <c r="AD125" s="633"/>
      <c r="AE125" s="633"/>
    </row>
    <row r="126" spans="1:31" s="12" customFormat="1" ht="30" customHeight="1" thickBot="1" x14ac:dyDescent="0.3">
      <c r="A126" s="633"/>
      <c r="B126" s="633"/>
      <c r="C126" s="868"/>
      <c r="D126" s="810"/>
      <c r="E126" s="890"/>
      <c r="F126" s="780"/>
      <c r="G126" s="891"/>
      <c r="H126" s="677"/>
      <c r="I126" s="633"/>
      <c r="J126" s="633"/>
      <c r="K126" s="716"/>
      <c r="L126" s="208" t="s">
        <v>409</v>
      </c>
      <c r="M126" s="69" t="str">
        <f>IFERROR(SQRT(SUMSQ(S89:S90,S93:S95,S98:S101,S103:S106,S108:S112,S115:S118))/MAX(L89:L90,L93:L95,L98:L101,L103:L106,L108:L112,L115:L118),"--")</f>
        <v>--</v>
      </c>
      <c r="N126" s="840"/>
      <c r="O126" s="65" t="s">
        <v>406</v>
      </c>
      <c r="P126" s="66" t="s">
        <v>410</v>
      </c>
      <c r="Q126" s="67" t="s">
        <v>411</v>
      </c>
      <c r="R126" s="633"/>
      <c r="S126" s="633"/>
      <c r="T126" s="633"/>
      <c r="U126" s="633"/>
      <c r="V126" s="633"/>
      <c r="W126" s="633"/>
      <c r="X126" s="633"/>
      <c r="Y126" s="633"/>
      <c r="Z126" s="633"/>
      <c r="AA126" s="633"/>
      <c r="AB126" s="633"/>
      <c r="AC126" s="633"/>
      <c r="AD126" s="633"/>
      <c r="AE126" s="633"/>
    </row>
    <row r="127" spans="1:31" x14ac:dyDescent="0.2">
      <c r="A127" s="536"/>
      <c r="B127" s="536"/>
      <c r="C127" s="536"/>
      <c r="D127" s="536"/>
      <c r="E127" s="536"/>
      <c r="F127" s="536"/>
      <c r="G127" s="612"/>
      <c r="H127" s="892"/>
      <c r="I127" s="536"/>
      <c r="J127" s="536"/>
      <c r="K127" s="536"/>
      <c r="L127" s="536"/>
      <c r="M127" s="536"/>
      <c r="N127" s="536"/>
      <c r="O127" s="536"/>
      <c r="P127" s="536"/>
      <c r="Q127" s="536"/>
      <c r="R127" s="536"/>
      <c r="S127" s="536"/>
      <c r="T127" s="536"/>
      <c r="U127" s="536"/>
      <c r="V127" s="536"/>
      <c r="W127" s="536"/>
      <c r="X127" s="536"/>
      <c r="Y127" s="536"/>
      <c r="Z127" s="536"/>
      <c r="AA127" s="536"/>
      <c r="AB127" s="536"/>
      <c r="AC127" s="536"/>
      <c r="AD127" s="536"/>
      <c r="AE127" s="536"/>
    </row>
  </sheetData>
  <sheetProtection password="CF5C" sheet="1" objects="1" scenarios="1"/>
  <mergeCells count="13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L125:M125"/>
    <mergeCell ref="L120:M120"/>
    <mergeCell ref="L121:M121"/>
    <mergeCell ref="L123:M123"/>
    <mergeCell ref="B115:C115"/>
    <mergeCell ref="B116:C116"/>
    <mergeCell ref="B117:C117"/>
    <mergeCell ref="B118:C118"/>
    <mergeCell ref="E122:E125"/>
    <mergeCell ref="G122:G125"/>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16" priority="5" operator="equal">
      <formula>MAX($R$89:$R$90,$R$93:$R$95,$R$98:$R$101,$R$103:$R$106,$R$108:$R$112,$R$115:$R$118)</formula>
    </cfRule>
  </conditionalFormatting>
  <conditionalFormatting sqref="T57:V57">
    <cfRule type="containsText" dxfId="15" priority="1" operator="containsText" text="NO AJUSTAR">
      <formula>NOT(ISERROR(SEARCH("NO AJUSTAR",T57)))</formula>
    </cfRule>
    <cfRule type="containsText" dxfId="1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(2023-06-06)</oddFooter>
  </headerFooter>
  <rowBreaks count="1" manualBreakCount="1">
    <brk id="60" max="16383"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¬'!$P$9:$P$13</xm:f>
          </x14:formula1>
          <xm:sqref>H39</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¬'!$C$30:$C$32</xm:f>
          </x14:formula1>
          <xm:sqref>S7</xm:sqref>
        </x14:dataValidation>
        <x14:dataValidation type="list" allowBlank="1" showInputMessage="1" showErrorMessage="1">
          <x14:formula1>
            <xm:f>'DATOS ¬'!$B$131:$B$136</xm:f>
          </x14:formula1>
          <xm:sqref>Q36</xm:sqref>
        </x14:dataValidation>
        <x14:dataValidation type="list" allowBlank="1" showInputMessage="1" showErrorMessage="1">
          <x14:formula1>
            <xm:f>'DATOS ¬'!$C$143:$C$148</xm:f>
          </x14:formula1>
          <xm:sqref>S18</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¬'!$C$167:$C$168</xm:f>
          </x14:formula1>
          <xm:sqref>S21</xm:sqref>
        </x14:dataValidation>
        <x14:dataValidation type="list" allowBlank="1" showInputMessage="1" showErrorMessage="1">
          <x14:formula1>
            <xm:f>'DATOS ¬'!$A$45:$A$58</xm:f>
          </x14:formula1>
          <xm:sqref>O43</xm:sqref>
        </x14:dataValidation>
        <x14:dataValidation type="list" allowBlank="1" showInputMessage="1" showErrorMessage="1">
          <x14:formula1>
            <xm:f>'DATOS ¬'!$C$37:$C$60</xm:f>
          </x14:formula1>
          <xm:sqref>S8:S12</xm:sqref>
        </x14:dataValidation>
        <x14:dataValidation type="list" allowBlank="1" showInputMessage="1" showErrorMessage="1">
          <x14:formula1>
            <xm:f>'DATOS ¬'!$A$39:$A$58</xm:f>
          </x14:formula1>
          <xm:sqref>A43</xm:sqref>
        </x14:dataValidation>
        <x14:dataValidation type="list" allowBlank="1" showInputMessage="1" showErrorMessage="1">
          <x14:formula1>
            <xm:f>'DATOS ¬'!$C$43:$C$60</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zoomScale="40" zoomScaleNormal="40" workbookViewId="0">
      <selection activeCell="K12" sqref="K12"/>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500"/>
      <c r="B1" s="1501"/>
      <c r="C1" s="1502"/>
      <c r="D1" s="1489" t="s">
        <v>0</v>
      </c>
      <c r="E1" s="1490"/>
      <c r="F1" s="1490"/>
      <c r="G1" s="1490"/>
      <c r="H1" s="1490"/>
      <c r="I1" s="1490"/>
      <c r="J1" s="1490"/>
      <c r="K1" s="1490"/>
      <c r="L1" s="1490"/>
      <c r="M1" s="1490"/>
      <c r="N1" s="1490"/>
      <c r="O1" s="1490"/>
      <c r="P1" s="1490"/>
      <c r="Q1" s="1490"/>
      <c r="R1" s="1491"/>
      <c r="S1" s="715"/>
    </row>
    <row r="2" spans="1:19" s="12" customFormat="1" ht="5.0999999999999996" customHeight="1" thickBot="1" x14ac:dyDescent="0.35">
      <c r="A2" s="677"/>
      <c r="B2" s="677"/>
      <c r="C2" s="633"/>
      <c r="D2" s="91"/>
      <c r="E2" s="91"/>
      <c r="F2" s="91"/>
      <c r="G2" s="91"/>
      <c r="H2" s="91"/>
      <c r="I2" s="91"/>
      <c r="J2" s="91"/>
      <c r="K2" s="91"/>
      <c r="L2" s="91"/>
      <c r="M2" s="91"/>
      <c r="N2" s="91"/>
      <c r="O2" s="91"/>
      <c r="P2" s="91"/>
      <c r="Q2" s="91"/>
      <c r="R2" s="91"/>
      <c r="S2" s="633"/>
    </row>
    <row r="3" spans="1:19" s="13" customFormat="1" ht="31.5" customHeight="1" thickBot="1" x14ac:dyDescent="0.3">
      <c r="A3" s="92" t="s">
        <v>241</v>
      </c>
      <c r="B3" s="893" t="e">
        <f>VLOOKUP($S3,'DATOS ¬'!$D$7:$N$19,2,FALSE)</f>
        <v>#N/A</v>
      </c>
      <c r="C3" s="93" t="s">
        <v>3</v>
      </c>
      <c r="D3" s="1492" t="e">
        <f>VLOOKUP($S$3,'DATOS ¬'!$D$7:$N$19,3,FALSE)</f>
        <v>#N/A</v>
      </c>
      <c r="E3" s="1493"/>
      <c r="F3" s="93" t="s">
        <v>242</v>
      </c>
      <c r="G3" s="1494" t="e">
        <f>VLOOKUP($S$3,'DATOS ¬'!$D$7:$N$19,7,FALSE)</f>
        <v>#N/A</v>
      </c>
      <c r="H3" s="1494"/>
      <c r="I3" s="93" t="s">
        <v>243</v>
      </c>
      <c r="J3" s="1494" t="e">
        <f>VLOOKUP($S$3,'DATOS ¬'!$D$7:$N$19,4,FALSE)</f>
        <v>#N/A</v>
      </c>
      <c r="K3" s="1494"/>
      <c r="L3" s="93" t="s">
        <v>5</v>
      </c>
      <c r="M3" s="1492" t="e">
        <f>VLOOKUP($S$3,'DATOS ¬'!$D$7:$N$19,6,FALSE)</f>
        <v>#N/A</v>
      </c>
      <c r="N3" s="1493"/>
      <c r="O3" s="176" t="s">
        <v>244</v>
      </c>
      <c r="P3" s="1494" t="e">
        <f>VLOOKUP($S$3,'DATOS ¬'!$D$7:$N$19,11,FALSE)</f>
        <v>#N/A</v>
      </c>
      <c r="Q3" s="1494"/>
      <c r="R3" s="1495"/>
      <c r="S3" s="7"/>
    </row>
    <row r="4" spans="1:19" s="13" customFormat="1" ht="5.0999999999999996" customHeight="1" thickBot="1" x14ac:dyDescent="0.35">
      <c r="A4" s="716"/>
      <c r="B4" s="716"/>
      <c r="C4" s="716"/>
      <c r="D4" s="716"/>
      <c r="E4" s="716"/>
      <c r="F4" s="716"/>
      <c r="G4" s="716"/>
      <c r="H4" s="716"/>
      <c r="I4" s="716"/>
      <c r="J4" s="716"/>
      <c r="K4" s="716"/>
      <c r="L4" s="716"/>
      <c r="M4" s="716"/>
      <c r="N4" s="716"/>
      <c r="O4" s="716"/>
      <c r="P4" s="716"/>
      <c r="Q4" s="716"/>
      <c r="R4" s="716"/>
      <c r="S4" s="716"/>
    </row>
    <row r="5" spans="1:19" s="13" customFormat="1" ht="30" customHeight="1" thickBot="1" x14ac:dyDescent="0.35">
      <c r="A5" s="1505" t="s">
        <v>245</v>
      </c>
      <c r="B5" s="1506"/>
      <c r="C5" s="1506"/>
      <c r="D5" s="1506"/>
      <c r="E5" s="1506"/>
      <c r="F5" s="1506"/>
      <c r="G5" s="1506"/>
      <c r="H5" s="1506"/>
      <c r="I5" s="1506"/>
      <c r="J5" s="1506"/>
      <c r="K5" s="1506"/>
      <c r="L5" s="1506"/>
      <c r="M5" s="1506"/>
      <c r="N5" s="1506"/>
      <c r="O5" s="1506"/>
      <c r="P5" s="1506"/>
      <c r="Q5" s="1506"/>
      <c r="R5" s="1507"/>
      <c r="S5" s="716"/>
    </row>
    <row r="6" spans="1:19" s="12" customFormat="1" ht="67.5" customHeight="1" thickBot="1" x14ac:dyDescent="0.3">
      <c r="A6" s="94" t="s">
        <v>246</v>
      </c>
      <c r="B6" s="88" t="s">
        <v>247</v>
      </c>
      <c r="C6" s="95" t="s">
        <v>248</v>
      </c>
      <c r="D6" s="95" t="s">
        <v>132</v>
      </c>
      <c r="E6" s="95" t="s">
        <v>64</v>
      </c>
      <c r="F6" s="95" t="s">
        <v>132</v>
      </c>
      <c r="G6" s="95" t="s">
        <v>65</v>
      </c>
      <c r="H6" s="95" t="s">
        <v>132</v>
      </c>
      <c r="I6" s="95" t="s">
        <v>66</v>
      </c>
      <c r="J6" s="95" t="s">
        <v>132</v>
      </c>
      <c r="K6" s="170" t="s">
        <v>249</v>
      </c>
      <c r="L6" s="95" t="s">
        <v>132</v>
      </c>
      <c r="M6" s="95" t="s">
        <v>250</v>
      </c>
      <c r="N6" s="95" t="s">
        <v>132</v>
      </c>
      <c r="O6" s="95" t="s">
        <v>67</v>
      </c>
      <c r="P6" s="95" t="s">
        <v>68</v>
      </c>
      <c r="Q6" s="1508" t="s">
        <v>251</v>
      </c>
      <c r="R6" s="1509"/>
      <c r="S6" s="633"/>
    </row>
    <row r="7" spans="1:19" s="12" customFormat="1" ht="29.25" customHeight="1" thickBot="1" x14ac:dyDescent="0.35">
      <c r="A7" s="96" t="s">
        <v>252</v>
      </c>
      <c r="B7" s="717" t="e">
        <f>VLOOKUP(S7,'DATOS ¬'!C31:O33,3,FALSE)</f>
        <v>#N/A</v>
      </c>
      <c r="C7" s="718" t="e">
        <f>VLOOKUP(S7,'DATOS ¬'!C31:O33,4,FALSE)</f>
        <v>#N/A</v>
      </c>
      <c r="D7" s="719" t="s">
        <v>120</v>
      </c>
      <c r="E7" s="720" t="e">
        <f>VLOOKUP(S7,'DATOS ¬'!C31:O33,5,FALSE)</f>
        <v>#N/A</v>
      </c>
      <c r="F7" s="719" t="s">
        <v>120</v>
      </c>
      <c r="G7" s="718" t="e">
        <f>VLOOKUP(S7,'DATOS ¬'!C31:O33,6,FALSE)</f>
        <v>#N/A</v>
      </c>
      <c r="H7" s="719" t="s">
        <v>253</v>
      </c>
      <c r="I7" s="721" t="e">
        <f>VLOOKUP(S7,'DATOS ¬'!C31:O33,7,FALSE)</f>
        <v>#N/A</v>
      </c>
      <c r="J7" s="719" t="s">
        <v>120</v>
      </c>
      <c r="K7" s="722" t="e">
        <f>VLOOKUP(S7,'DATOS ¬'!C31:O33,13,FALSE)</f>
        <v>#N/A</v>
      </c>
      <c r="L7" s="719" t="s">
        <v>120</v>
      </c>
      <c r="M7" s="723" t="e">
        <f>SQRT((I7/2)^2+(K7/SQRT(12))^2)</f>
        <v>#N/A</v>
      </c>
      <c r="N7" s="719" t="s">
        <v>120</v>
      </c>
      <c r="O7" s="720" t="e">
        <f>VLOOKUP(S7,'DATOS ¬'!C31:O33,8,FALSE)</f>
        <v>#N/A</v>
      </c>
      <c r="P7" s="724" t="e">
        <f>VLOOKUP(S7,'DATOS ¬'!C31:O33,9,FALSE)</f>
        <v>#N/A</v>
      </c>
      <c r="Q7" s="725"/>
      <c r="R7" s="726"/>
      <c r="S7" s="97"/>
    </row>
    <row r="8" spans="1:19" s="12" customFormat="1" ht="30" customHeight="1" x14ac:dyDescent="0.25">
      <c r="A8" s="1510" t="s">
        <v>254</v>
      </c>
      <c r="B8" s="727" t="e">
        <f>VLOOKUP(S8,'DATOS ¬'!$C$37:$R$48,3,FALSE)</f>
        <v>#N/A</v>
      </c>
      <c r="C8" s="728" t="e">
        <f>VLOOKUP(S8,'DATOS ¬'!$C$37:$R$49,4,FALSE)</f>
        <v>#N/A</v>
      </c>
      <c r="D8" s="729" t="s">
        <v>134</v>
      </c>
      <c r="E8" s="728" t="e">
        <f>VLOOKUP(S8,'DATOS ¬'!$C$37:$R$49,5,FALSE)</f>
        <v>#N/A</v>
      </c>
      <c r="F8" s="730" t="s">
        <v>134</v>
      </c>
      <c r="G8" s="728" t="e">
        <f>VLOOKUP(S8,'DATOS ¬'!$C$37:$R$49,6,FALSE)</f>
        <v>#N/A</v>
      </c>
      <c r="H8" s="730" t="s">
        <v>134</v>
      </c>
      <c r="I8" s="728" t="e">
        <f>VLOOKUP(S8,'DATOS ¬'!$C$37:$R$49,7,FALSE)</f>
        <v>#N/A</v>
      </c>
      <c r="J8" s="730" t="s">
        <v>134</v>
      </c>
      <c r="K8" s="731" t="e">
        <f>VLOOKUP(S8,'DATOS ¬'!$C$37:$R$49,16,FALSE)</f>
        <v>#N/A</v>
      </c>
      <c r="L8" s="730" t="s">
        <v>134</v>
      </c>
      <c r="M8" s="723" t="e">
        <f t="shared" ref="M8:M19" si="0">SQRT((I8/2)^2+(K8/SQRT(12))^2)</f>
        <v>#N/A</v>
      </c>
      <c r="N8" s="730" t="s">
        <v>134</v>
      </c>
      <c r="O8" s="744" t="e">
        <f>VLOOKUP(S8,'DATOS ¬'!$C$37:$R$49,8,FALSE)</f>
        <v>#N/A</v>
      </c>
      <c r="P8" s="724" t="e">
        <f>VLOOKUP(S8,'DATOS ¬'!$C$37:$R$49,9,FALSE)</f>
        <v>#N/A</v>
      </c>
      <c r="Q8" s="733"/>
      <c r="R8" s="734"/>
      <c r="S8" s="98"/>
    </row>
    <row r="9" spans="1:19" s="12" customFormat="1" ht="30" customHeight="1" x14ac:dyDescent="0.25">
      <c r="A9" s="1511"/>
      <c r="B9" s="727" t="e">
        <f>VLOOKUP(S9,'DATOS ¬'!$C$37:$R$48,3,FALSE)</f>
        <v>#N/A</v>
      </c>
      <c r="C9" s="728" t="e">
        <f>VLOOKUP(S9,'DATOS ¬'!$C$37:$R$49,4,FALSE)</f>
        <v>#N/A</v>
      </c>
      <c r="D9" s="729" t="s">
        <v>134</v>
      </c>
      <c r="E9" s="728" t="e">
        <f>VLOOKUP(S9,'DATOS ¬'!$C$37:$R$49,5,FALSE)</f>
        <v>#N/A</v>
      </c>
      <c r="F9" s="730" t="s">
        <v>134</v>
      </c>
      <c r="G9" s="728" t="e">
        <f>VLOOKUP(S9,'DATOS ¬'!$C$37:$R$49,6,FALSE)</f>
        <v>#N/A</v>
      </c>
      <c r="H9" s="730" t="s">
        <v>134</v>
      </c>
      <c r="I9" s="728" t="e">
        <f>VLOOKUP(S9,'DATOS ¬'!$C$37:$R$49,7,FALSE)</f>
        <v>#N/A</v>
      </c>
      <c r="J9" s="730" t="s">
        <v>134</v>
      </c>
      <c r="K9" s="731" t="e">
        <f>VLOOKUP(S9,'DATOS ¬'!$C$37:$R$49,16,FALSE)</f>
        <v>#N/A</v>
      </c>
      <c r="L9" s="730" t="s">
        <v>134</v>
      </c>
      <c r="M9" s="723" t="e">
        <f t="shared" si="0"/>
        <v>#N/A</v>
      </c>
      <c r="N9" s="730" t="s">
        <v>134</v>
      </c>
      <c r="O9" s="744" t="e">
        <f>VLOOKUP(S9,'DATOS ¬'!$C$37:$R$49,8,FALSE)</f>
        <v>#N/A</v>
      </c>
      <c r="P9" s="724" t="e">
        <f>VLOOKUP(S9,'DATOS ¬'!$C$37:$R$49,9,FALSE)</f>
        <v>#N/A</v>
      </c>
      <c r="Q9" s="735"/>
      <c r="R9" s="736"/>
      <c r="S9" s="99"/>
    </row>
    <row r="10" spans="1:19" s="12" customFormat="1" ht="30" customHeight="1" x14ac:dyDescent="0.25">
      <c r="A10" s="1511"/>
      <c r="B10" s="727" t="e">
        <f>VLOOKUP(S10,'DATOS ¬'!$C$37:$R$48,3,FALSE)</f>
        <v>#N/A</v>
      </c>
      <c r="C10" s="728" t="e">
        <f>VLOOKUP(S10,'DATOS ¬'!$C$37:$R$49,4,FALSE)</f>
        <v>#N/A</v>
      </c>
      <c r="D10" s="729" t="s">
        <v>134</v>
      </c>
      <c r="E10" s="728" t="e">
        <f>VLOOKUP(S10,'DATOS ¬'!$C$37:$R$49,5,FALSE)</f>
        <v>#N/A</v>
      </c>
      <c r="F10" s="730" t="s">
        <v>255</v>
      </c>
      <c r="G10" s="728" t="e">
        <f>VLOOKUP(S10,'DATOS ¬'!$C$37:$R$49,6,FALSE)</f>
        <v>#N/A</v>
      </c>
      <c r="H10" s="730" t="s">
        <v>134</v>
      </c>
      <c r="I10" s="737" t="e">
        <f>VLOOKUP(S10,'DATOS ¬'!$C$37:$R$49,7,FALSE)</f>
        <v>#N/A</v>
      </c>
      <c r="J10" s="730" t="s">
        <v>134</v>
      </c>
      <c r="K10" s="731" t="e">
        <f>VLOOKUP(S10,'DATOS ¬'!$C$37:$R$49,16,FALSE)</f>
        <v>#N/A</v>
      </c>
      <c r="L10" s="730" t="s">
        <v>134</v>
      </c>
      <c r="M10" s="723" t="e">
        <f t="shared" si="0"/>
        <v>#N/A</v>
      </c>
      <c r="N10" s="730" t="s">
        <v>134</v>
      </c>
      <c r="O10" s="744" t="e">
        <f>VLOOKUP(S10,'DATOS ¬'!$C$37:$R$49,8,FALSE)</f>
        <v>#N/A</v>
      </c>
      <c r="P10" s="724" t="e">
        <f>VLOOKUP(S10,'DATOS ¬'!$C$37:$R$49,9,FALSE)</f>
        <v>#N/A</v>
      </c>
      <c r="Q10" s="735"/>
      <c r="R10" s="734"/>
      <c r="S10" s="99"/>
    </row>
    <row r="11" spans="1:19" s="12" customFormat="1" ht="30" customHeight="1" x14ac:dyDescent="0.25">
      <c r="A11" s="1511"/>
      <c r="B11" s="727" t="e">
        <f>VLOOKUP(S11,'DATOS ¬'!$C$37:$R$49,3,FALSE)</f>
        <v>#N/A</v>
      </c>
      <c r="C11" s="728" t="e">
        <f>VLOOKUP(S11,'DATOS ¬'!$C$37:$R$49,4,FALSE)</f>
        <v>#N/A</v>
      </c>
      <c r="D11" s="729" t="s">
        <v>134</v>
      </c>
      <c r="E11" s="728" t="e">
        <f>VLOOKUP(S11,'DATOS ¬'!$C$37:$R$49,5,FALSE)</f>
        <v>#N/A</v>
      </c>
      <c r="F11" s="730" t="s">
        <v>255</v>
      </c>
      <c r="G11" s="728" t="e">
        <f>VLOOKUP(S11,'DATOS ¬'!$C$37:$R$49,6,FALSE)</f>
        <v>#N/A</v>
      </c>
      <c r="H11" s="730" t="s">
        <v>134</v>
      </c>
      <c r="I11" s="728" t="e">
        <f>VLOOKUP(S11,'DATOS ¬'!$C$37:$R$49,7,FALSE)</f>
        <v>#N/A</v>
      </c>
      <c r="J11" s="730" t="s">
        <v>134</v>
      </c>
      <c r="K11" s="731" t="e">
        <f>VLOOKUP(S11,'DATOS ¬'!$C$37:$R$49,16,FALSE)</f>
        <v>#N/A</v>
      </c>
      <c r="L11" s="730" t="s">
        <v>134</v>
      </c>
      <c r="M11" s="723" t="e">
        <f t="shared" si="0"/>
        <v>#N/A</v>
      </c>
      <c r="N11" s="730" t="s">
        <v>134</v>
      </c>
      <c r="O11" s="744" t="e">
        <f>VLOOKUP(S11,'DATOS ¬'!$C$37:$R$49,8,FALSE)</f>
        <v>#N/A</v>
      </c>
      <c r="P11" s="724" t="e">
        <f>VLOOKUP(S11,'DATOS ¬'!$C$37:$R$49,9,FALSE)</f>
        <v>#N/A</v>
      </c>
      <c r="Q11" s="735"/>
      <c r="R11" s="100"/>
      <c r="S11" s="99"/>
    </row>
    <row r="12" spans="1:19" s="12" customFormat="1" ht="30" customHeight="1" thickBot="1" x14ac:dyDescent="0.3">
      <c r="A12" s="1512"/>
      <c r="B12" s="727" t="e">
        <f>VLOOKUP(S12,'DATOS ¬'!$C$37:$R$49,3,FALSE)</f>
        <v>#N/A</v>
      </c>
      <c r="C12" s="728" t="e">
        <f>VLOOKUP(S12,'DATOS ¬'!$C$37:$R$49,4,FALSE)</f>
        <v>#N/A</v>
      </c>
      <c r="D12" s="729" t="s">
        <v>134</v>
      </c>
      <c r="E12" s="728" t="e">
        <f>VLOOKUP(S12,'DATOS ¬'!$C$37:$R$49,5,FALSE)</f>
        <v>#N/A</v>
      </c>
      <c r="F12" s="730" t="s">
        <v>255</v>
      </c>
      <c r="G12" s="728" t="e">
        <f>VLOOKUP(S12,'DATOS ¬'!$C$37:$R$49,6,FALSE)</f>
        <v>#N/A</v>
      </c>
      <c r="H12" s="730" t="s">
        <v>134</v>
      </c>
      <c r="I12" s="728" t="e">
        <f>VLOOKUP(S12,'DATOS ¬'!$C$37:$R$49,7,FALSE)</f>
        <v>#N/A</v>
      </c>
      <c r="J12" s="730" t="s">
        <v>134</v>
      </c>
      <c r="K12" s="731" t="e">
        <f>VLOOKUP(S12,'DATOS ¬'!$C$37:$R$49,16,FALSE)</f>
        <v>#N/A</v>
      </c>
      <c r="L12" s="730" t="s">
        <v>134</v>
      </c>
      <c r="M12" s="723" t="e">
        <f t="shared" si="0"/>
        <v>#N/A</v>
      </c>
      <c r="N12" s="730" t="s">
        <v>134</v>
      </c>
      <c r="O12" s="744" t="e">
        <f>VLOOKUP(S12,'DATOS ¬'!$C$37:$R$49,8,FALSE)</f>
        <v>#N/A</v>
      </c>
      <c r="P12" s="724" t="e">
        <f>VLOOKUP(S12,'DATOS ¬'!$C$37:$R$49,9,FALSE)</f>
        <v>#N/A</v>
      </c>
      <c r="Q12" s="735"/>
      <c r="R12" s="100"/>
      <c r="S12" s="101"/>
    </row>
    <row r="13" spans="1:19" s="12" customFormat="1" ht="30" customHeight="1" x14ac:dyDescent="0.25">
      <c r="A13" s="1510" t="s">
        <v>256</v>
      </c>
      <c r="B13" s="727" t="e">
        <f>VLOOKUP(S13,'DATOS ¬'!$C$37:$R$49,3,FALSE)</f>
        <v>#N/A</v>
      </c>
      <c r="C13" s="728" t="e">
        <f>VLOOKUP(S13,'DATOS ¬'!$C$37:$R$49,4,FALSE)</f>
        <v>#N/A</v>
      </c>
      <c r="D13" s="729" t="s">
        <v>134</v>
      </c>
      <c r="E13" s="728" t="e">
        <f>VLOOKUP(S13,'DATOS ¬'!$C$37:$R$49,5,FALSE)</f>
        <v>#N/A</v>
      </c>
      <c r="F13" s="730" t="s">
        <v>134</v>
      </c>
      <c r="G13" s="728" t="e">
        <f>VLOOKUP(S13,'DATOS ¬'!$C$37:$R$49,6,FALSE)</f>
        <v>#N/A</v>
      </c>
      <c r="H13" s="730" t="s">
        <v>134</v>
      </c>
      <c r="I13" s="728" t="e">
        <f>VLOOKUP(S13,'DATOS ¬'!$C$37:$R$49,7,FALSE)</f>
        <v>#N/A</v>
      </c>
      <c r="J13" s="730" t="s">
        <v>134</v>
      </c>
      <c r="K13" s="731" t="e">
        <f>VLOOKUP(S13,'DATOS ¬'!$C$37:$R$49,16,FALSE)</f>
        <v>#N/A</v>
      </c>
      <c r="L13" s="730" t="s">
        <v>134</v>
      </c>
      <c r="M13" s="723" t="e">
        <f t="shared" si="0"/>
        <v>#N/A</v>
      </c>
      <c r="N13" s="730" t="s">
        <v>134</v>
      </c>
      <c r="O13" s="744" t="e">
        <f>VLOOKUP(S13,'DATOS ¬'!$C$37:$R$49,8,FALSE)</f>
        <v>#N/A</v>
      </c>
      <c r="P13" s="724" t="e">
        <f>VLOOKUP(S13,'DATOS ¬'!$C$37:$R$49,9,FALSE)</f>
        <v>#N/A</v>
      </c>
      <c r="Q13" s="735"/>
      <c r="R13" s="734"/>
      <c r="S13" s="98"/>
    </row>
    <row r="14" spans="1:19" s="12" customFormat="1" ht="30" customHeight="1" x14ac:dyDescent="0.25">
      <c r="A14" s="1511"/>
      <c r="B14" s="727" t="e">
        <f>VLOOKUP(S14,'DATOS ¬'!$C$43:$R$48,3,FALSE)</f>
        <v>#N/A</v>
      </c>
      <c r="C14" s="728" t="e">
        <f>VLOOKUP(S14,'DATOS ¬'!$C$37:$R$49,4,FALSE)</f>
        <v>#N/A</v>
      </c>
      <c r="D14" s="729" t="s">
        <v>134</v>
      </c>
      <c r="E14" s="738" t="e">
        <f>VLOOKUP(S14,'DATOS ¬'!$C$37:$R$49,5,FALSE)</f>
        <v>#N/A</v>
      </c>
      <c r="F14" s="730" t="s">
        <v>134</v>
      </c>
      <c r="G14" s="728" t="e">
        <f>VLOOKUP(S14,'DATOS ¬'!$C$37:$R$49,6,FALSE)</f>
        <v>#N/A</v>
      </c>
      <c r="H14" s="730" t="s">
        <v>134</v>
      </c>
      <c r="I14" s="728" t="e">
        <f>VLOOKUP(S14,'DATOS ¬'!$C$37:$R$49,7,FALSE)</f>
        <v>#N/A</v>
      </c>
      <c r="J14" s="730" t="s">
        <v>134</v>
      </c>
      <c r="K14" s="731" t="e">
        <f>VLOOKUP(S14,'DATOS ¬'!$C$37:$R$49,16,FALSE)</f>
        <v>#N/A</v>
      </c>
      <c r="L14" s="730" t="s">
        <v>134</v>
      </c>
      <c r="M14" s="723" t="e">
        <f t="shared" si="0"/>
        <v>#N/A</v>
      </c>
      <c r="N14" s="730" t="s">
        <v>134</v>
      </c>
      <c r="O14" s="744" t="e">
        <f>VLOOKUP(S14,'DATOS ¬'!$C$37:$R$49,8,FALSE)</f>
        <v>#N/A</v>
      </c>
      <c r="P14" s="724" t="e">
        <f>VLOOKUP(S14,'DATOS ¬'!$C$37:$R$49,9,FALSE)</f>
        <v>#N/A</v>
      </c>
      <c r="Q14" s="735"/>
      <c r="R14" s="734"/>
      <c r="S14" s="99"/>
    </row>
    <row r="15" spans="1:19" s="12" customFormat="1" ht="30" customHeight="1" x14ac:dyDescent="0.25">
      <c r="A15" s="1511"/>
      <c r="B15" s="727" t="e">
        <f>VLOOKUP(S15,'DATOS ¬'!$C$43:$R$48,3,FALSE)</f>
        <v>#N/A</v>
      </c>
      <c r="C15" s="728" t="e">
        <f>VLOOKUP(S15,'DATOS ¬'!$C$37:$R$49,4,FALSE)</f>
        <v>#N/A</v>
      </c>
      <c r="D15" s="729" t="s">
        <v>134</v>
      </c>
      <c r="E15" s="738" t="e">
        <f>VLOOKUP(S15,'DATOS ¬'!$C$37:$R$49,5,FALSE)</f>
        <v>#N/A</v>
      </c>
      <c r="F15" s="730" t="s">
        <v>134</v>
      </c>
      <c r="G15" s="728" t="e">
        <f>VLOOKUP(S15,'DATOS ¬'!$C$37:$R$49,6,FALSE)</f>
        <v>#N/A</v>
      </c>
      <c r="H15" s="730" t="s">
        <v>134</v>
      </c>
      <c r="I15" s="728" t="e">
        <f>VLOOKUP(S15,'DATOS ¬'!$C$37:$R$49,7,FALSE)</f>
        <v>#N/A</v>
      </c>
      <c r="J15" s="730" t="s">
        <v>134</v>
      </c>
      <c r="K15" s="731" t="e">
        <f>VLOOKUP(S15,'DATOS ¬'!$C$37:$R$49,16,FALSE)</f>
        <v>#N/A</v>
      </c>
      <c r="L15" s="730" t="s">
        <v>134</v>
      </c>
      <c r="M15" s="723" t="e">
        <f t="shared" si="0"/>
        <v>#N/A</v>
      </c>
      <c r="N15" s="730" t="s">
        <v>134</v>
      </c>
      <c r="O15" s="744" t="e">
        <f>VLOOKUP(S15,'DATOS ¬'!$C$37:$R$49,8,FALSE)</f>
        <v>#N/A</v>
      </c>
      <c r="P15" s="724" t="e">
        <f>VLOOKUP(S15,'DATOS ¬'!$C$37:$R$49,9,FALSE)</f>
        <v>#N/A</v>
      </c>
      <c r="Q15" s="735"/>
      <c r="R15" s="734"/>
      <c r="S15" s="99"/>
    </row>
    <row r="16" spans="1:19" s="12" customFormat="1" ht="30" customHeight="1" x14ac:dyDescent="0.25">
      <c r="A16" s="1511"/>
      <c r="B16" s="727" t="e">
        <f>VLOOKUP(S16,'DATOS ¬'!$C$37:$R$49,3,FALSE)</f>
        <v>#N/A</v>
      </c>
      <c r="C16" s="728" t="e">
        <f>VLOOKUP(S16,'DATOS ¬'!$C$37:$R$49,4,FALSE)</f>
        <v>#N/A</v>
      </c>
      <c r="D16" s="729" t="s">
        <v>134</v>
      </c>
      <c r="E16" s="738" t="e">
        <f>VLOOKUP(S16,'DATOS ¬'!$C$37:$R$49,5,FALSE)</f>
        <v>#N/A</v>
      </c>
      <c r="F16" s="730" t="s">
        <v>134</v>
      </c>
      <c r="G16" s="728" t="e">
        <f>VLOOKUP(S16,'DATOS ¬'!$C$37:$R$49,6,FALSE)</f>
        <v>#N/A</v>
      </c>
      <c r="H16" s="730" t="s">
        <v>134</v>
      </c>
      <c r="I16" s="728" t="e">
        <f>VLOOKUP(S16,'DATOS ¬'!$C$37:$R$49,7,FALSE)</f>
        <v>#N/A</v>
      </c>
      <c r="J16" s="730" t="s">
        <v>134</v>
      </c>
      <c r="K16" s="731" t="e">
        <f>VLOOKUP(S16,'DATOS ¬'!$C$37:$R$49,16,FALSE)</f>
        <v>#N/A</v>
      </c>
      <c r="L16" s="730" t="s">
        <v>134</v>
      </c>
      <c r="M16" s="723" t="e">
        <f t="shared" si="0"/>
        <v>#N/A</v>
      </c>
      <c r="N16" s="730" t="s">
        <v>134</v>
      </c>
      <c r="O16" s="744" t="e">
        <f>VLOOKUP(S16,'DATOS ¬'!$C$37:$R$49,8,FALSE)</f>
        <v>#N/A</v>
      </c>
      <c r="P16" s="724" t="e">
        <f>VLOOKUP(S16,'DATOS ¬'!$C$37:$R$49,9,FALSE)</f>
        <v>#N/A</v>
      </c>
      <c r="Q16" s="735"/>
      <c r="R16" s="100"/>
      <c r="S16" s="99"/>
    </row>
    <row r="17" spans="1:20" s="12" customFormat="1" ht="30" customHeight="1" thickBot="1" x14ac:dyDescent="0.3">
      <c r="A17" s="1512"/>
      <c r="B17" s="727" t="e">
        <f>VLOOKUP(S17,'DATOS ¬'!$C$37:$R$49,3,FALSE)</f>
        <v>#N/A</v>
      </c>
      <c r="C17" s="728" t="e">
        <f>VLOOKUP(S17,'DATOS ¬'!$C$37:$R$49,4,FALSE)</f>
        <v>#N/A</v>
      </c>
      <c r="D17" s="729" t="s">
        <v>134</v>
      </c>
      <c r="E17" s="738" t="e">
        <f>VLOOKUP(S17,'DATOS ¬'!$C$37:$R$49,5,FALSE)</f>
        <v>#N/A</v>
      </c>
      <c r="F17" s="730" t="s">
        <v>134</v>
      </c>
      <c r="G17" s="728" t="e">
        <f>VLOOKUP(S17,'DATOS ¬'!$C$37:$R$49,6,FALSE)</f>
        <v>#N/A</v>
      </c>
      <c r="H17" s="730" t="s">
        <v>134</v>
      </c>
      <c r="I17" s="728" t="e">
        <f>VLOOKUP(S17,'DATOS ¬'!$C$37:$R$49,7,FALSE)</f>
        <v>#N/A</v>
      </c>
      <c r="J17" s="730" t="s">
        <v>134</v>
      </c>
      <c r="K17" s="731" t="e">
        <f>VLOOKUP(S17,'DATOS ¬'!$C$37:$R$49,16,FALSE)</f>
        <v>#N/A</v>
      </c>
      <c r="L17" s="730" t="s">
        <v>134</v>
      </c>
      <c r="M17" s="723" t="e">
        <f t="shared" si="0"/>
        <v>#N/A</v>
      </c>
      <c r="N17" s="730" t="s">
        <v>134</v>
      </c>
      <c r="O17" s="744" t="e">
        <f>VLOOKUP(S17,'DATOS ¬'!$C$37:$R$49,8,FALSE)</f>
        <v>#N/A</v>
      </c>
      <c r="P17" s="724" t="e">
        <f>VLOOKUP(S17,'DATOS ¬'!$C$37:$R$49,9,FALSE)</f>
        <v>#N/A</v>
      </c>
      <c r="Q17" s="735"/>
      <c r="R17" s="100"/>
      <c r="S17" s="101"/>
      <c r="T17" s="633"/>
    </row>
    <row r="18" spans="1:20" s="12" customFormat="1" ht="81" customHeight="1" thickBot="1" x14ac:dyDescent="0.3">
      <c r="A18" s="102" t="s">
        <v>257</v>
      </c>
      <c r="B18" s="739" t="e">
        <f>VLOOKUP(S18,'DATOS ¬'!$C$131:$W$152,3,FALSE)</f>
        <v>#N/A</v>
      </c>
      <c r="C18" s="738" t="e">
        <f>VLOOKUP(S18,'DATOS ¬'!$C$131:$W$152,4,FALSE)</f>
        <v>#N/A</v>
      </c>
      <c r="D18" s="729" t="s">
        <v>120</v>
      </c>
      <c r="E18" s="738" t="e">
        <f>VLOOKUP(S18,'DATOS ¬'!$C$131:$W$152,5,FALSE)</f>
        <v>#N/A</v>
      </c>
      <c r="F18" s="729" t="s">
        <v>120</v>
      </c>
      <c r="G18" s="738" t="e">
        <f>VLOOKUP(S18,'DATOS ¬'!$C$131:$W$152,6,FALSE)</f>
        <v>#N/A</v>
      </c>
      <c r="H18" s="729" t="s">
        <v>120</v>
      </c>
      <c r="I18" s="738" t="e">
        <f>VLOOKUP(S18,'DATOS ¬'!$C$131:$W$152,7,FALSE)</f>
        <v>#N/A</v>
      </c>
      <c r="J18" s="740" t="s">
        <v>120</v>
      </c>
      <c r="K18" s="741" t="e">
        <f>VLOOKUP(S18,'DATOS ¬'!$C$131:$W$152,21,FALSE)</f>
        <v>#N/A</v>
      </c>
      <c r="L18" s="729" t="s">
        <v>120</v>
      </c>
      <c r="M18" s="723" t="e">
        <f t="shared" si="0"/>
        <v>#N/A</v>
      </c>
      <c r="N18" s="729" t="s">
        <v>120</v>
      </c>
      <c r="O18" s="744" t="e">
        <f>VLOOKUP(S18,'DATOS ¬'!$C$131:$W$152,8,FALSE)</f>
        <v>#N/A</v>
      </c>
      <c r="P18" s="724" t="e">
        <f>VLOOKUP(S18,'DATOS ¬'!$C$131:$W$152,9,FALSE)</f>
        <v>#N/A</v>
      </c>
      <c r="Q18" s="742" t="s">
        <v>258</v>
      </c>
      <c r="R18" s="743" t="s">
        <v>259</v>
      </c>
      <c r="S18" s="103"/>
      <c r="T18" s="633"/>
    </row>
    <row r="19" spans="1:20" s="12" customFormat="1" ht="30" customHeight="1" x14ac:dyDescent="0.25">
      <c r="A19" s="1503" t="s">
        <v>260</v>
      </c>
      <c r="B19" s="1538" t="e">
        <f>VLOOKUP(S19,'DATOS ¬'!$C$155:$AA$161,3,FALSE)</f>
        <v>#N/A</v>
      </c>
      <c r="C19" s="1540" t="e">
        <f>VLOOKUP(S19,'DATOS ¬'!$C$155:$AA$161,4,FALSE)</f>
        <v>#N/A</v>
      </c>
      <c r="D19" s="1536" t="s">
        <v>120</v>
      </c>
      <c r="E19" s="1534" t="e">
        <f>VLOOKUP(S19,'DATOS ¬'!$C$155:$AA$161,5,FALSE)</f>
        <v>#N/A</v>
      </c>
      <c r="F19" s="1536" t="s">
        <v>120</v>
      </c>
      <c r="G19" s="1540" t="e">
        <f>VLOOKUP(S19,'DATOS ¬'!$C$155:$AA$161,6,FALSE)</f>
        <v>#N/A</v>
      </c>
      <c r="H19" s="1536" t="s">
        <v>120</v>
      </c>
      <c r="I19" s="1534" t="e">
        <f>VLOOKUP(S19,'DATOS ¬'!$C$155:$AA$161,7,FALSE)</f>
        <v>#N/A</v>
      </c>
      <c r="J19" s="1536" t="s">
        <v>120</v>
      </c>
      <c r="K19" s="1549" t="e">
        <f>VLOOKUP(S19,'DATOS ¬'!$C$155:$AA$161,25,FALSE)</f>
        <v>#N/A</v>
      </c>
      <c r="L19" s="1496" t="s">
        <v>120</v>
      </c>
      <c r="M19" s="1498" t="e">
        <f t="shared" si="0"/>
        <v>#N/A</v>
      </c>
      <c r="N19" s="1496" t="s">
        <v>120</v>
      </c>
      <c r="O19" s="1534" t="e">
        <f>VLOOKUP(S19,'DATOS ¬'!$C$155:$AA$161,8,FALSE)</f>
        <v>#N/A</v>
      </c>
      <c r="P19" s="1528" t="e">
        <f>VLOOKUP(S19,'DATOS ¬'!$C$155:$AA$161,9,FALSE)</f>
        <v>#N/A</v>
      </c>
      <c r="Q19" s="491" t="e">
        <f>VLOOKUP(S19,'DATOS ¬'!$C$155:$AA$161,12,FALSE)</f>
        <v>#N/A</v>
      </c>
      <c r="R19" s="492" t="e">
        <f>VLOOKUP(S19,'DATOS ¬'!$C$155:$AA$161,14,FALSE)</f>
        <v>#N/A</v>
      </c>
      <c r="S19" s="1589"/>
      <c r="T19" s="633"/>
    </row>
    <row r="20" spans="1:20" s="12" customFormat="1" ht="30" customHeight="1" thickBot="1" x14ac:dyDescent="0.3">
      <c r="A20" s="1504"/>
      <c r="B20" s="1539"/>
      <c r="C20" s="1541"/>
      <c r="D20" s="1537"/>
      <c r="E20" s="1535"/>
      <c r="F20" s="1537"/>
      <c r="G20" s="1541"/>
      <c r="H20" s="1537"/>
      <c r="I20" s="1535"/>
      <c r="J20" s="1537"/>
      <c r="K20" s="1549"/>
      <c r="L20" s="1497"/>
      <c r="M20" s="1499"/>
      <c r="N20" s="1497"/>
      <c r="O20" s="1535"/>
      <c r="P20" s="1529"/>
      <c r="Q20" s="493" t="e">
        <f>VLOOKUP(S19,'DATOS ¬'!$C$155:$AA$161,13,FALSE)</f>
        <v>#N/A</v>
      </c>
      <c r="R20" s="494" t="e">
        <f>VLOOKUP(S19,'DATOS ¬'!$C$155:$AA$161,15,FALSE)</f>
        <v>#N/A</v>
      </c>
      <c r="S20" s="1590"/>
      <c r="T20" s="633"/>
    </row>
    <row r="21" spans="1:20" s="13" customFormat="1" ht="27.75" customHeight="1" thickBot="1" x14ac:dyDescent="0.3">
      <c r="A21" s="104" t="s">
        <v>261</v>
      </c>
      <c r="B21" s="739" t="e">
        <f>VLOOKUP(S21,'DATOS ¬'!$C$167:$K$168,3,FALSE)</f>
        <v>#N/A</v>
      </c>
      <c r="C21" s="744" t="e">
        <f>VLOOKUP(S21,'DATOS ¬'!$C$167:$K$168,4,FALSE)</f>
        <v>#N/A</v>
      </c>
      <c r="D21" s="729" t="s">
        <v>262</v>
      </c>
      <c r="E21" s="745" t="e">
        <f>VLOOKUP(S21,'DATOS ¬'!$C$167:$K$168,5,FALSE)</f>
        <v>#N/A</v>
      </c>
      <c r="F21" s="729" t="s">
        <v>262</v>
      </c>
      <c r="G21" s="746" t="e">
        <f>VLOOKUP(S21,'DATOS ¬'!$C$167:$K$168,6,FALSE)</f>
        <v>#N/A</v>
      </c>
      <c r="H21" s="729" t="s">
        <v>262</v>
      </c>
      <c r="I21" s="746" t="e">
        <f>VLOOKUP(S21,'DATOS ¬'!$C$167:$K$168,7,FALSE)</f>
        <v>#N/A</v>
      </c>
      <c r="J21" s="740" t="s">
        <v>262</v>
      </c>
      <c r="K21" s="747" t="e">
        <f>(I21/2)/SQRT(12)</f>
        <v>#N/A</v>
      </c>
      <c r="L21" s="729" t="s">
        <v>262</v>
      </c>
      <c r="M21" s="723" t="e">
        <f>SQRT((I21/2)^2+(K21)^2)</f>
        <v>#N/A</v>
      </c>
      <c r="N21" s="748" t="s">
        <v>262</v>
      </c>
      <c r="O21" s="732" t="e">
        <f>VLOOKUP(S21,'DATOS ¬'!$C$167:$K$168,8,FALSE)</f>
        <v>#N/A</v>
      </c>
      <c r="P21" s="724" t="e">
        <f>VLOOKUP(S21,'DATOS ¬'!$C$167:$K$168,9,FALSE)</f>
        <v>#N/A</v>
      </c>
      <c r="Q21" s="749"/>
      <c r="R21" s="750"/>
      <c r="S21" s="97"/>
      <c r="T21" s="716"/>
    </row>
    <row r="22" spans="1:20" s="12" customFormat="1" ht="30" customHeight="1" thickBot="1" x14ac:dyDescent="0.35">
      <c r="A22" s="105" t="s">
        <v>263</v>
      </c>
      <c r="B22" s="751" t="e">
        <f>VLOOKUP(S22,'DATOS ¬'!$C$173:$K$188,3,FALSE)</f>
        <v>#N/A</v>
      </c>
      <c r="C22" s="752" t="e">
        <f>VLOOKUP(S22,'DATOS ¬'!$C$173:$K$188,4,FALSE)</f>
        <v>#N/A</v>
      </c>
      <c r="D22" s="753" t="s">
        <v>264</v>
      </c>
      <c r="E22" s="754" t="e">
        <f>VLOOKUP(S22,'DATOS ¬'!$C$173:$K$188,5,FALSE)</f>
        <v>#N/A</v>
      </c>
      <c r="F22" s="753" t="s">
        <v>264</v>
      </c>
      <c r="G22" s="755" t="e">
        <f>VLOOKUP(S22,'DATOS ¬'!$C$173:$K$188,6,FALSE)</f>
        <v>#N/A</v>
      </c>
      <c r="H22" s="753" t="s">
        <v>264</v>
      </c>
      <c r="I22" s="756" t="e">
        <f>VLOOKUP(S22,'DATOS ¬'!$C$173:$K$188,7,FALSE)</f>
        <v>#N/A</v>
      </c>
      <c r="J22" s="753" t="s">
        <v>264</v>
      </c>
      <c r="K22" s="757" t="e">
        <f>(I22/2)/SQRT(12)</f>
        <v>#N/A</v>
      </c>
      <c r="L22" s="753" t="s">
        <v>264</v>
      </c>
      <c r="M22" s="758" t="e">
        <f>SQRT((I22/2)^2+(K22)^2)</f>
        <v>#N/A</v>
      </c>
      <c r="N22" s="753" t="s">
        <v>264</v>
      </c>
      <c r="O22" s="752" t="e">
        <f>VLOOKUP(S22,'DATOS ¬'!$C$173:$K$188,8,FALSE)</f>
        <v>#N/A</v>
      </c>
      <c r="P22" s="760" t="e">
        <f>VLOOKUP(S22,'DATOS ¬'!$C$173:$K$188,9,FALSE)</f>
        <v>#N/A</v>
      </c>
      <c r="Q22" s="761"/>
      <c r="R22" s="762"/>
      <c r="S22" s="101"/>
      <c r="T22" s="633"/>
    </row>
    <row r="23" spans="1:20" s="12" customFormat="1" ht="30" customHeight="1" thickBot="1" x14ac:dyDescent="0.35">
      <c r="A23" s="633"/>
      <c r="B23" s="633"/>
      <c r="C23" s="633"/>
      <c r="D23" s="633"/>
      <c r="E23" s="633"/>
      <c r="F23" s="633"/>
      <c r="G23" s="633"/>
      <c r="H23" s="633"/>
      <c r="I23" s="633"/>
      <c r="J23" s="633"/>
      <c r="K23" s="633"/>
      <c r="L23" s="633"/>
      <c r="M23" s="633"/>
      <c r="N23" s="633"/>
      <c r="O23" s="633"/>
      <c r="P23" s="633"/>
      <c r="Q23" s="633"/>
      <c r="R23" s="633"/>
      <c r="S23" s="633"/>
      <c r="T23" s="633"/>
    </row>
    <row r="24" spans="1:20" s="12" customFormat="1" ht="30" customHeight="1" thickBot="1" x14ac:dyDescent="0.35">
      <c r="A24" s="716"/>
      <c r="B24" s="1515" t="s">
        <v>265</v>
      </c>
      <c r="C24" s="1516"/>
      <c r="D24" s="1516"/>
      <c r="E24" s="1516"/>
      <c r="F24" s="1516"/>
      <c r="G24" s="1517"/>
      <c r="H24" s="716"/>
      <c r="I24" s="1515" t="s">
        <v>266</v>
      </c>
      <c r="J24" s="1516"/>
      <c r="K24" s="1516"/>
      <c r="L24" s="1516"/>
      <c r="M24" s="1516"/>
      <c r="N24" s="1516"/>
      <c r="O24" s="1516"/>
      <c r="P24" s="1516"/>
      <c r="Q24" s="1516"/>
      <c r="R24" s="1517"/>
      <c r="S24" s="633"/>
      <c r="T24" s="633"/>
    </row>
    <row r="25" spans="1:20" s="12" customFormat="1" ht="30" customHeight="1" thickBot="1" x14ac:dyDescent="0.3">
      <c r="A25" s="716"/>
      <c r="B25" s="87" t="s">
        <v>267</v>
      </c>
      <c r="C25" s="106"/>
      <c r="D25" s="1542" t="s">
        <v>252</v>
      </c>
      <c r="E25" s="1543"/>
      <c r="F25" s="1508" t="s">
        <v>268</v>
      </c>
      <c r="G25" s="1509"/>
      <c r="H25" s="716"/>
      <c r="I25" s="1524" t="s">
        <v>132</v>
      </c>
      <c r="J25" s="1544" t="s">
        <v>269</v>
      </c>
      <c r="K25" s="1544" t="s">
        <v>270</v>
      </c>
      <c r="L25" s="1544" t="s">
        <v>271</v>
      </c>
      <c r="M25" s="1532" t="s">
        <v>272</v>
      </c>
      <c r="N25" s="716"/>
      <c r="O25" s="1524" t="s">
        <v>273</v>
      </c>
      <c r="P25" s="1524" t="s">
        <v>274</v>
      </c>
      <c r="Q25" s="1524" t="s">
        <v>275</v>
      </c>
      <c r="R25" s="1522" t="s">
        <v>276</v>
      </c>
      <c r="S25" s="633"/>
      <c r="T25" s="633"/>
    </row>
    <row r="26" spans="1:20" s="12" customFormat="1" ht="30" customHeight="1" thickBot="1" x14ac:dyDescent="0.3">
      <c r="A26" s="7"/>
      <c r="B26" s="1520" t="s">
        <v>23</v>
      </c>
      <c r="C26" s="1521"/>
      <c r="D26" s="1518" t="e">
        <f>VLOOKUP($A$26,'DATOS ¬'!$B$24:$O$26,2,FALSE)</f>
        <v>#N/A</v>
      </c>
      <c r="E26" s="1519"/>
      <c r="F26" s="1530" t="e">
        <f>VLOOKUP($H$26,'DATOS ¬'!$B$14:$N$16,2,FALSE)</f>
        <v>#N/A</v>
      </c>
      <c r="G26" s="1531"/>
      <c r="H26" s="7"/>
      <c r="I26" s="1525"/>
      <c r="J26" s="1545"/>
      <c r="K26" s="1545"/>
      <c r="L26" s="1545"/>
      <c r="M26" s="1533"/>
      <c r="N26" s="716"/>
      <c r="O26" s="1525"/>
      <c r="P26" s="1525"/>
      <c r="Q26" s="1525"/>
      <c r="R26" s="1523"/>
      <c r="S26" s="633"/>
      <c r="T26" s="763"/>
    </row>
    <row r="27" spans="1:20" s="12" customFormat="1" ht="30" customHeight="1" thickBot="1" x14ac:dyDescent="0.3">
      <c r="A27" s="716"/>
      <c r="B27" s="1520" t="s">
        <v>24</v>
      </c>
      <c r="C27" s="1521"/>
      <c r="D27" s="1554" t="e">
        <f>VLOOKUP($A$26,'DATOS ¬'!$B$24:$O$26,3,FALSE)</f>
        <v>#N/A</v>
      </c>
      <c r="E27" s="1555"/>
      <c r="F27" s="1550" t="e">
        <f>VLOOKUP($H$26,'DATOS ¬'!$B$14:$N$16,3,FALSE)</f>
        <v>#N/A</v>
      </c>
      <c r="G27" s="1551"/>
      <c r="H27" s="716"/>
      <c r="I27" s="49" t="s">
        <v>277</v>
      </c>
      <c r="J27" s="764">
        <v>3.785412</v>
      </c>
      <c r="K27" s="764">
        <v>3785.4110000000001</v>
      </c>
      <c r="L27" s="764">
        <v>231.00006956708521</v>
      </c>
      <c r="M27" s="765">
        <v>5</v>
      </c>
      <c r="N27" s="107"/>
      <c r="O27" s="766" t="e">
        <f>O30/K27</f>
        <v>#N/A</v>
      </c>
      <c r="P27" s="587" t="e">
        <f>P30/K27</f>
        <v>#N/A</v>
      </c>
      <c r="Q27" s="691" t="e">
        <f>P27-O27</f>
        <v>#N/A</v>
      </c>
      <c r="R27" s="171" t="e">
        <f>ABS(Q27)</f>
        <v>#N/A</v>
      </c>
      <c r="S27" s="633"/>
      <c r="T27" s="633"/>
    </row>
    <row r="28" spans="1:20" s="12" customFormat="1" ht="30" customHeight="1" thickBot="1" x14ac:dyDescent="0.3">
      <c r="A28" s="716"/>
      <c r="B28" s="1520" t="s">
        <v>278</v>
      </c>
      <c r="C28" s="1521"/>
      <c r="D28" s="1554" t="e">
        <f>VLOOKUP($A$26,'DATOS ¬'!$B$24:$O$26,4,FALSE)</f>
        <v>#N/A</v>
      </c>
      <c r="E28" s="1555"/>
      <c r="F28" s="1552" t="e">
        <f>VLOOKUP($H$26,'DATOS ¬'!$B$14:$N$16,4,FALSE)</f>
        <v>#N/A</v>
      </c>
      <c r="G28" s="1553"/>
      <c r="H28" s="716"/>
      <c r="I28" s="31" t="s">
        <v>279</v>
      </c>
      <c r="J28" s="697">
        <v>1.6387059999999998E-2</v>
      </c>
      <c r="K28" s="697">
        <v>16.387059999999998</v>
      </c>
      <c r="L28" s="697">
        <v>1</v>
      </c>
      <c r="M28" s="655">
        <v>1155.0000427166315</v>
      </c>
      <c r="N28" s="716"/>
      <c r="O28" s="767" t="e">
        <f>O30/K28</f>
        <v>#N/A</v>
      </c>
      <c r="P28" s="768" t="e">
        <f>(P30*L28)/K28</f>
        <v>#N/A</v>
      </c>
      <c r="Q28" s="769" t="e">
        <f>P28-O28</f>
        <v>#N/A</v>
      </c>
      <c r="R28" s="172" t="e">
        <f>ABS(Q28)</f>
        <v>#N/A</v>
      </c>
      <c r="S28" s="633"/>
      <c r="T28" s="633"/>
    </row>
    <row r="29" spans="1:20" s="12" customFormat="1" ht="30" customHeight="1" thickBot="1" x14ac:dyDescent="0.3">
      <c r="A29" s="716"/>
      <c r="B29" s="1520" t="s">
        <v>280</v>
      </c>
      <c r="C29" s="1521"/>
      <c r="D29" s="770" t="e">
        <f>VLOOKUP($A$26,'DATOS ¬'!$B$24:$O$26,5,FALSE)</f>
        <v>#N/A</v>
      </c>
      <c r="E29" s="748" t="s">
        <v>134</v>
      </c>
      <c r="F29" s="748" t="e">
        <f>VLOOKUP($H$26,'DATOS ¬'!$B$14:$N$16,5,FALSE)</f>
        <v>#N/A</v>
      </c>
      <c r="G29" s="771" t="s">
        <v>134</v>
      </c>
      <c r="H29" s="716"/>
      <c r="I29" s="31" t="s">
        <v>281</v>
      </c>
      <c r="J29" s="697">
        <v>1</v>
      </c>
      <c r="K29" s="697">
        <v>1000</v>
      </c>
      <c r="L29" s="697">
        <v>1.6387059999999998E-2</v>
      </c>
      <c r="M29" s="655">
        <v>18.927054999999999</v>
      </c>
      <c r="N29" s="716"/>
      <c r="O29" s="772" t="e">
        <f>O30/K29</f>
        <v>#N/A</v>
      </c>
      <c r="P29" s="768" t="e">
        <f>(P30*J29)/K29</f>
        <v>#N/A</v>
      </c>
      <c r="Q29" s="769" t="e">
        <f>P29-O29</f>
        <v>#N/A</v>
      </c>
      <c r="R29" s="172" t="e">
        <f>ABS(Q29)</f>
        <v>#N/A</v>
      </c>
      <c r="S29" s="633"/>
      <c r="T29" s="633"/>
    </row>
    <row r="30" spans="1:20" s="12" customFormat="1" ht="30" customHeight="1" thickBot="1" x14ac:dyDescent="0.35">
      <c r="A30" s="716"/>
      <c r="B30" s="1520" t="s">
        <v>282</v>
      </c>
      <c r="C30" s="1521"/>
      <c r="D30" s="894" t="e">
        <f>VLOOKUP($A$26,'DATOS ¬'!$B$24:$O$26,6,FALSE)</f>
        <v>#N/A</v>
      </c>
      <c r="E30" s="748" t="s">
        <v>283</v>
      </c>
      <c r="F30" s="748" t="e">
        <f>VLOOKUP($H$26,'DATOS ¬'!$B$14:$N$16,6,FALSE)</f>
        <v>#N/A</v>
      </c>
      <c r="G30" s="771" t="s">
        <v>283</v>
      </c>
      <c r="H30" s="716"/>
      <c r="I30" s="31" t="s">
        <v>284</v>
      </c>
      <c r="J30" s="571">
        <v>1E-3</v>
      </c>
      <c r="K30" s="697">
        <v>1</v>
      </c>
      <c r="L30" s="697">
        <v>16.387059999999998</v>
      </c>
      <c r="M30" s="775">
        <v>18927.055</v>
      </c>
      <c r="N30" s="716"/>
      <c r="O30" s="776" t="e">
        <f>C7</f>
        <v>#N/A</v>
      </c>
      <c r="P30" s="571" t="e">
        <f>H58</f>
        <v>#N/A</v>
      </c>
      <c r="Q30" s="769" t="e">
        <f>P30-O30</f>
        <v>#N/A</v>
      </c>
      <c r="R30" s="172" t="e">
        <f>ABS(Q30)</f>
        <v>#N/A</v>
      </c>
      <c r="S30" s="633"/>
      <c r="T30" s="633"/>
    </row>
    <row r="31" spans="1:20" s="12" customFormat="1" ht="30" customHeight="1" thickBot="1" x14ac:dyDescent="0.3">
      <c r="A31" s="716"/>
      <c r="B31" s="1520" t="s">
        <v>285</v>
      </c>
      <c r="C31" s="1521"/>
      <c r="D31" s="770" t="e">
        <f>VLOOKUP($A$26,'DATOS ¬'!$B$24:$O$26,7,FALSE)</f>
        <v>#N/A</v>
      </c>
      <c r="E31" s="748" t="s">
        <v>120</v>
      </c>
      <c r="F31" s="748" t="e">
        <f>VLOOKUP($H$26,'DATOS ¬'!$B$14:$N$16,7,FALSE)</f>
        <v>#N/A</v>
      </c>
      <c r="G31" s="771" t="s">
        <v>120</v>
      </c>
      <c r="H31" s="716"/>
      <c r="I31" s="32" t="s">
        <v>286</v>
      </c>
      <c r="J31" s="592">
        <v>1E-3</v>
      </c>
      <c r="K31" s="591">
        <v>1</v>
      </c>
      <c r="L31" s="591">
        <v>16.387059999999998</v>
      </c>
      <c r="M31" s="777">
        <v>18927.055</v>
      </c>
      <c r="N31" s="716"/>
      <c r="O31" s="778" t="e">
        <f>O30</f>
        <v>#N/A</v>
      </c>
      <c r="P31" s="592" t="e">
        <f>P30</f>
        <v>#N/A</v>
      </c>
      <c r="Q31" s="779" t="e">
        <f>P31-O31</f>
        <v>#N/A</v>
      </c>
      <c r="R31" s="173" t="e">
        <f>ABS(Q31)</f>
        <v>#N/A</v>
      </c>
      <c r="S31" s="633"/>
      <c r="T31" s="780"/>
    </row>
    <row r="32" spans="1:20" s="12" customFormat="1" ht="30" customHeight="1" thickBot="1" x14ac:dyDescent="0.3">
      <c r="A32" s="716"/>
      <c r="B32" s="1520" t="s">
        <v>287</v>
      </c>
      <c r="C32" s="1521"/>
      <c r="D32" s="770" t="e">
        <f>VLOOKUP($A$26,'DATOS ¬'!$B$24:$O$26,8,FALSE)</f>
        <v>#N/A</v>
      </c>
      <c r="E32" s="748" t="s">
        <v>120</v>
      </c>
      <c r="F32" s="748" t="e">
        <f>VLOOKUP($H$26,'DATOS ¬'!$B$14:$N$16,8,FALSE)</f>
        <v>#N/A</v>
      </c>
      <c r="G32" s="771" t="s">
        <v>120</v>
      </c>
      <c r="H32" s="716"/>
      <c r="I32" s="633"/>
      <c r="J32" s="633"/>
      <c r="K32" s="633"/>
      <c r="L32" s="633"/>
      <c r="M32" s="633"/>
      <c r="N32" s="633"/>
      <c r="O32" s="633"/>
      <c r="P32" s="633"/>
      <c r="Q32" s="633"/>
      <c r="R32" s="716"/>
      <c r="S32" s="633"/>
      <c r="T32" s="780"/>
    </row>
    <row r="33" spans="1:25" s="12" customFormat="1" ht="48" customHeight="1" thickBot="1" x14ac:dyDescent="0.3">
      <c r="A33" s="716"/>
      <c r="B33" s="1520" t="s">
        <v>288</v>
      </c>
      <c r="C33" s="1521"/>
      <c r="D33" s="770" t="e">
        <f>VLOOKUP($A$26,'DATOS ¬'!$B$24:$O$26,9,FALSE)</f>
        <v>#N/A</v>
      </c>
      <c r="E33" s="748" t="s">
        <v>289</v>
      </c>
      <c r="F33" s="895" t="e">
        <f>VLOOKUP($H$26,'DATOS ¬'!$B$14:$N$16,9,FALSE)</f>
        <v>#N/A</v>
      </c>
      <c r="G33" s="771" t="s">
        <v>289</v>
      </c>
      <c r="H33" s="716"/>
      <c r="I33" s="1457" t="s">
        <v>290</v>
      </c>
      <c r="J33" s="1565"/>
      <c r="K33" s="781"/>
      <c r="L33" s="715"/>
      <c r="M33" s="633"/>
      <c r="N33" s="1469" t="s">
        <v>291</v>
      </c>
      <c r="O33" s="1470"/>
      <c r="P33" s="781"/>
      <c r="Q33" s="715"/>
      <c r="R33" s="782"/>
      <c r="S33" s="633"/>
      <c r="T33" s="780"/>
      <c r="U33" s="633"/>
      <c r="V33" s="633"/>
      <c r="W33" s="633"/>
      <c r="X33" s="633"/>
      <c r="Y33" s="633"/>
    </row>
    <row r="34" spans="1:25" s="12" customFormat="1" ht="30" customHeight="1" thickBot="1" x14ac:dyDescent="0.3">
      <c r="A34" s="716"/>
      <c r="B34" s="1520" t="s">
        <v>292</v>
      </c>
      <c r="C34" s="1521"/>
      <c r="D34" s="770" t="e">
        <f>VLOOKUP($A$26,'DATOS ¬'!$B$24:$O$26,10,FALSE)</f>
        <v>#N/A</v>
      </c>
      <c r="E34" s="748" t="s">
        <v>293</v>
      </c>
      <c r="F34" s="774" t="e">
        <f>VLOOKUP($H$26,'DATOS ¬'!$B$14:$N$16,10,FALSE)</f>
        <v>#N/A</v>
      </c>
      <c r="G34" s="771" t="s">
        <v>293</v>
      </c>
      <c r="H34" s="716"/>
      <c r="I34" s="633"/>
      <c r="J34" s="633"/>
      <c r="K34" s="633"/>
      <c r="L34" s="633"/>
      <c r="M34" s="633"/>
      <c r="N34" s="633"/>
      <c r="O34" s="633"/>
      <c r="P34" s="633"/>
      <c r="Q34" s="633"/>
      <c r="R34" s="633"/>
      <c r="S34" s="633"/>
      <c r="T34" s="633"/>
      <c r="U34" s="633"/>
      <c r="V34" s="633"/>
      <c r="W34" s="633"/>
      <c r="X34" s="633"/>
      <c r="Y34" s="633"/>
    </row>
    <row r="35" spans="1:25" s="12" customFormat="1" ht="54.75" customHeight="1" thickBot="1" x14ac:dyDescent="0.3">
      <c r="A35" s="716"/>
      <c r="B35" s="1520" t="s">
        <v>294</v>
      </c>
      <c r="C35" s="1521"/>
      <c r="D35" s="770" t="e">
        <f>VLOOKUP($A$26,'DATOS ¬'!$B$24:$O$26,11,FALSE)</f>
        <v>#N/A</v>
      </c>
      <c r="E35" s="748" t="s">
        <v>293</v>
      </c>
      <c r="F35" s="748" t="e">
        <f>VLOOKUP($H$26,'DATOS ¬'!$B$14:$N$16,11,FALSE)</f>
        <v>#N/A</v>
      </c>
      <c r="G35" s="771" t="s">
        <v>293</v>
      </c>
      <c r="H35" s="716"/>
      <c r="I35" s="1577" t="s">
        <v>295</v>
      </c>
      <c r="J35" s="1578"/>
      <c r="K35" s="1578"/>
      <c r="L35" s="1578"/>
      <c r="M35" s="1578"/>
      <c r="N35" s="1578"/>
      <c r="O35" s="1578"/>
      <c r="P35" s="1579"/>
      <c r="Q35" s="60" t="s">
        <v>130</v>
      </c>
      <c r="R35" s="633"/>
      <c r="S35" s="633"/>
      <c r="T35" s="633"/>
      <c r="U35" s="633"/>
      <c r="V35" s="633"/>
      <c r="W35" s="633"/>
      <c r="X35" s="633"/>
      <c r="Y35" s="633"/>
    </row>
    <row r="36" spans="1:25" s="12" customFormat="1" ht="48" customHeight="1" thickBot="1" x14ac:dyDescent="0.3">
      <c r="A36" s="716"/>
      <c r="B36" s="1520" t="s">
        <v>296</v>
      </c>
      <c r="C36" s="1521"/>
      <c r="D36" s="770" t="e">
        <f>VLOOKUP($A$26,'DATOS ¬'!$B$24:$O$26,12,FALSE)</f>
        <v>#N/A</v>
      </c>
      <c r="E36" s="748" t="s">
        <v>289</v>
      </c>
      <c r="F36" s="895" t="e">
        <f>D36</f>
        <v>#N/A</v>
      </c>
      <c r="G36" s="771" t="s">
        <v>289</v>
      </c>
      <c r="H36" s="716"/>
      <c r="I36" s="1580" t="s">
        <v>297</v>
      </c>
      <c r="J36" s="1581"/>
      <c r="K36" s="1581"/>
      <c r="L36" s="1582" t="s">
        <v>298</v>
      </c>
      <c r="M36" s="1582"/>
      <c r="N36" s="1582"/>
      <c r="O36" s="177" t="s">
        <v>299</v>
      </c>
      <c r="P36" s="204" t="s">
        <v>300</v>
      </c>
      <c r="Q36" s="193"/>
      <c r="R36" s="633"/>
      <c r="S36" s="633"/>
      <c r="T36" s="633"/>
      <c r="U36" s="633"/>
      <c r="V36" s="633"/>
      <c r="W36" s="633"/>
      <c r="X36" s="633"/>
      <c r="Y36" s="633"/>
    </row>
    <row r="37" spans="1:25" s="12" customFormat="1" ht="41.1" customHeight="1" thickBot="1" x14ac:dyDescent="0.3">
      <c r="A37" s="716"/>
      <c r="B37" s="1568" t="s">
        <v>301</v>
      </c>
      <c r="C37" s="1569"/>
      <c r="D37" s="783" t="e">
        <f>K58</f>
        <v>#N/A</v>
      </c>
      <c r="E37" s="784" t="s">
        <v>289</v>
      </c>
      <c r="F37" s="785" t="e">
        <f>D37</f>
        <v>#N/A</v>
      </c>
      <c r="G37" s="786" t="s">
        <v>289</v>
      </c>
      <c r="H37" s="716"/>
      <c r="I37" s="1583" t="s">
        <v>302</v>
      </c>
      <c r="J37" s="1584"/>
      <c r="K37" s="787"/>
      <c r="L37" s="1584" t="s">
        <v>302</v>
      </c>
      <c r="M37" s="1584"/>
      <c r="N37" s="787"/>
      <c r="O37" s="689" t="e">
        <f>AVERAGE(K37,N37)</f>
        <v>#DIV/0!</v>
      </c>
      <c r="P37" s="205" t="e">
        <f>O37+((VLOOKUP($Q$36,'DATOS ¬'!$B$131:$O$137,9,FALSE))*O37+(VLOOKUP($Q$36,'DATOS ¬'!$B$131:$O$137,10,FALSE)))</f>
        <v>#DIV/0!</v>
      </c>
      <c r="Q37" s="633"/>
      <c r="R37" s="633"/>
      <c r="S37" s="633"/>
      <c r="T37" s="633"/>
      <c r="U37" s="633"/>
      <c r="V37" s="633"/>
      <c r="W37" s="633"/>
      <c r="X37" s="633"/>
      <c r="Y37" s="633"/>
    </row>
    <row r="38" spans="1:25" s="12" customFormat="1" ht="41.1" customHeight="1" thickBot="1" x14ac:dyDescent="0.35">
      <c r="A38" s="716"/>
      <c r="B38" s="716"/>
      <c r="C38" s="716"/>
      <c r="D38" s="716"/>
      <c r="E38" s="716"/>
      <c r="F38" s="716"/>
      <c r="G38" s="716"/>
      <c r="H38" s="716"/>
      <c r="I38" s="1585" t="s">
        <v>303</v>
      </c>
      <c r="J38" s="1586"/>
      <c r="K38" s="788"/>
      <c r="L38" s="1586" t="s">
        <v>303</v>
      </c>
      <c r="M38" s="1586"/>
      <c r="N38" s="788"/>
      <c r="O38" s="696" t="e">
        <f>AVERAGE(K38,N38)</f>
        <v>#DIV/0!</v>
      </c>
      <c r="P38" s="206" t="e">
        <f>O38+((VLOOKUP($Q$36,'DATOS ¬'!$B$131:$O$137,11,FALSE))*O38+(VLOOKUP($Q$36,'DATOS ¬'!$B$131:$O$137,12,FALSE)))</f>
        <v>#DIV/0!</v>
      </c>
      <c r="Q38" s="633"/>
      <c r="R38" s="633"/>
      <c r="S38" s="633"/>
      <c r="T38" s="633"/>
      <c r="U38" s="633"/>
      <c r="V38" s="633"/>
      <c r="W38" s="633"/>
      <c r="X38" s="633"/>
      <c r="Y38" s="633"/>
    </row>
    <row r="39" spans="1:25" s="12" customFormat="1" ht="41.1" customHeight="1" thickBot="1" x14ac:dyDescent="0.3">
      <c r="A39" s="716"/>
      <c r="B39" s="1570" t="s">
        <v>304</v>
      </c>
      <c r="C39" s="1543"/>
      <c r="D39" s="1571" t="e">
        <f>VLOOKUP(H39,'DATOS ¬'!P9:R13,2,FALSE)</f>
        <v>#N/A</v>
      </c>
      <c r="E39" s="1572"/>
      <c r="F39" s="1572"/>
      <c r="G39" s="1573"/>
      <c r="H39" s="191"/>
      <c r="I39" s="1587" t="s">
        <v>305</v>
      </c>
      <c r="J39" s="1588"/>
      <c r="K39" s="790"/>
      <c r="L39" s="1588" t="s">
        <v>305</v>
      </c>
      <c r="M39" s="1588"/>
      <c r="N39" s="790"/>
      <c r="O39" s="791" t="e">
        <f>AVERAGE(K39,N39)</f>
        <v>#DIV/0!</v>
      </c>
      <c r="P39" s="207" t="e">
        <f>O39+((VLOOKUP($Q$36,'DATOS ¬'!$B$131:$O$137,13,FALSE))*O39+(VLOOKUP($Q$36,'DATOS ¬'!$B$131:$O$137,14,FALSE)))</f>
        <v>#DIV/0!</v>
      </c>
      <c r="Q39" s="633"/>
      <c r="R39" s="633"/>
      <c r="S39" s="633"/>
      <c r="T39" s="633"/>
      <c r="U39" s="633"/>
      <c r="V39" s="633"/>
      <c r="W39" s="633"/>
      <c r="X39" s="633"/>
      <c r="Y39" s="633"/>
    </row>
    <row r="40" spans="1:25" s="12" customFormat="1" ht="30" customHeight="1" thickBot="1" x14ac:dyDescent="0.35">
      <c r="A40" s="716"/>
      <c r="B40" s="633"/>
      <c r="C40" s="633"/>
      <c r="D40" s="633"/>
      <c r="E40" s="633"/>
      <c r="F40" s="633"/>
      <c r="G40" s="633"/>
      <c r="H40" s="716"/>
      <c r="I40" s="716"/>
      <c r="J40" s="633"/>
      <c r="K40" s="633"/>
      <c r="L40" s="633"/>
      <c r="M40" s="633"/>
      <c r="N40" s="633"/>
      <c r="O40" s="633"/>
      <c r="P40" s="633"/>
      <c r="Q40" s="633"/>
      <c r="R40" s="633"/>
      <c r="S40" s="633"/>
      <c r="T40" s="633"/>
      <c r="U40" s="633"/>
      <c r="V40" s="633"/>
      <c r="W40" s="633"/>
      <c r="X40" s="633"/>
      <c r="Y40" s="633"/>
    </row>
    <row r="41" spans="1:25" s="13" customFormat="1" ht="30" customHeight="1" thickBot="1" x14ac:dyDescent="0.3">
      <c r="A41" s="716"/>
      <c r="B41" s="1505" t="s">
        <v>306</v>
      </c>
      <c r="C41" s="1506"/>
      <c r="D41" s="1506"/>
      <c r="E41" s="1506"/>
      <c r="F41" s="1506"/>
      <c r="G41" s="1506"/>
      <c r="H41" s="1434"/>
      <c r="I41" s="1506"/>
      <c r="J41" s="1506"/>
      <c r="K41" s="1506"/>
      <c r="L41" s="1506"/>
      <c r="M41" s="1506"/>
      <c r="N41" s="1507"/>
      <c r="O41" s="716"/>
      <c r="P41" s="716"/>
      <c r="Q41" s="716"/>
      <c r="R41" s="716"/>
      <c r="S41" s="716"/>
      <c r="T41" s="716"/>
      <c r="U41" s="716"/>
      <c r="V41" s="716"/>
      <c r="W41" s="716"/>
      <c r="X41" s="716"/>
      <c r="Y41" s="716"/>
    </row>
    <row r="42" spans="1:25" s="13" customFormat="1" ht="27.75" customHeight="1" thickBot="1" x14ac:dyDescent="0.35">
      <c r="A42" s="716"/>
      <c r="B42" s="1457" t="s">
        <v>307</v>
      </c>
      <c r="C42" s="1405"/>
      <c r="D42" s="1405"/>
      <c r="E42" s="1405"/>
      <c r="F42" s="1405"/>
      <c r="G42" s="1458"/>
      <c r="H42" s="716"/>
      <c r="I42" s="1457" t="s">
        <v>308</v>
      </c>
      <c r="J42" s="1405"/>
      <c r="K42" s="1405"/>
      <c r="L42" s="1405"/>
      <c r="M42" s="1405"/>
      <c r="N42" s="1458"/>
      <c r="O42" s="716"/>
      <c r="P42" s="716"/>
      <c r="Q42" s="716"/>
      <c r="R42" s="716"/>
      <c r="S42" s="716"/>
      <c r="T42" s="716"/>
      <c r="U42" s="716"/>
      <c r="V42" s="716"/>
      <c r="W42" s="716"/>
      <c r="X42" s="716"/>
      <c r="Y42" s="716"/>
    </row>
    <row r="43" spans="1:25" s="12" customFormat="1" ht="59.25" customHeight="1" thickBot="1" x14ac:dyDescent="0.3">
      <c r="A43" s="191"/>
      <c r="B43" s="57" t="s">
        <v>309</v>
      </c>
      <c r="C43" s="37" t="s">
        <v>310</v>
      </c>
      <c r="D43" s="37" t="s">
        <v>311</v>
      </c>
      <c r="E43" s="37" t="s">
        <v>312</v>
      </c>
      <c r="F43" s="37" t="s">
        <v>313</v>
      </c>
      <c r="G43" s="38" t="s">
        <v>314</v>
      </c>
      <c r="H43" s="716"/>
      <c r="I43" s="57" t="s">
        <v>315</v>
      </c>
      <c r="J43" s="37" t="s">
        <v>316</v>
      </c>
      <c r="K43" s="37" t="s">
        <v>312</v>
      </c>
      <c r="L43" s="37" t="s">
        <v>313</v>
      </c>
      <c r="M43" s="37" t="s">
        <v>314</v>
      </c>
      <c r="N43" s="38" t="s">
        <v>317</v>
      </c>
      <c r="O43" s="193"/>
      <c r="P43" s="633"/>
      <c r="Q43" s="633"/>
      <c r="R43" s="633"/>
      <c r="S43" s="633"/>
      <c r="T43" s="633"/>
      <c r="U43" s="633"/>
      <c r="V43" s="633"/>
      <c r="W43" s="633"/>
      <c r="X43" s="633"/>
      <c r="Y43" s="633"/>
    </row>
    <row r="44" spans="1:25" s="12" customFormat="1" ht="30" customHeight="1" thickBot="1" x14ac:dyDescent="0.3">
      <c r="A44" s="716"/>
      <c r="B44" s="49">
        <v>1</v>
      </c>
      <c r="C44" s="792"/>
      <c r="D44" s="1063" t="e">
        <f>C44+(VLOOKUP($A$43,'DATOS ¬'!$A$37:$N$61,13,FALSE))*C44+(VLOOKUP($A$43,'DATOS ¬'!$A$37:$N$61,14,FALSE))</f>
        <v>#N/A</v>
      </c>
      <c r="E44" s="794"/>
      <c r="F44" s="795"/>
      <c r="G44" s="796">
        <f>E44+F44</f>
        <v>0</v>
      </c>
      <c r="H44" s="716"/>
      <c r="I44" s="797"/>
      <c r="J44" s="1063" t="e">
        <f>I44+(VLOOKUP($O$43,'DATOS ¬'!$A$37:$N$61,13,FALSE))*I44+(VLOOKUP($O$43,'DATOS ¬'!$A$37:$N$61,14,FALSE))</f>
        <v>#N/A</v>
      </c>
      <c r="K44" s="798"/>
      <c r="L44" s="799"/>
      <c r="M44" s="800">
        <f>K44+L44</f>
        <v>0</v>
      </c>
      <c r="N44" s="896"/>
      <c r="O44" s="716"/>
      <c r="P44" s="633"/>
      <c r="Q44" s="633"/>
      <c r="R44" s="633"/>
      <c r="S44" s="633"/>
      <c r="T44" s="633"/>
      <c r="U44" s="633"/>
      <c r="V44" s="633"/>
      <c r="W44" s="633"/>
      <c r="X44" s="633"/>
      <c r="Y44" s="633"/>
    </row>
    <row r="45" spans="1:25" s="12" customFormat="1" ht="30" customHeight="1" thickBot="1" x14ac:dyDescent="0.3">
      <c r="A45" s="716"/>
      <c r="B45" s="31">
        <v>2</v>
      </c>
      <c r="C45" s="802"/>
      <c r="D45" s="638" t="e">
        <f>C45+(VLOOKUP($A$43,'DATOS ¬'!$A$37:$N$61,13,FALSE))*C45+(VLOOKUP($A$43,'DATOS ¬'!$A$37:$N$61,14,FALSE))</f>
        <v>#N/A</v>
      </c>
      <c r="E45" s="804"/>
      <c r="F45" s="496"/>
      <c r="G45" s="805">
        <f>E45+F45</f>
        <v>0</v>
      </c>
      <c r="H45" s="716"/>
      <c r="I45" s="806"/>
      <c r="J45" s="638" t="e">
        <f>I45+(VLOOKUP($O$43,'DATOS ¬'!$A$37:$N$61,13,FALSE))*I45+(VLOOKUP($O$43,'DATOS ¬'!$A$37:$N$61,14,FALSE))</f>
        <v>#N/A</v>
      </c>
      <c r="K45" s="807"/>
      <c r="L45" s="495"/>
      <c r="M45" s="808">
        <f>K45+L45</f>
        <v>0</v>
      </c>
      <c r="N45" s="897"/>
      <c r="O45" s="716"/>
      <c r="P45" s="633"/>
      <c r="Q45" s="1574" t="s">
        <v>318</v>
      </c>
      <c r="R45" s="1575"/>
      <c r="S45" s="1575"/>
      <c r="T45" s="1575"/>
      <c r="U45" s="1575"/>
      <c r="V45" s="1575"/>
      <c r="W45" s="1575"/>
      <c r="X45" s="1575"/>
      <c r="Y45" s="1576"/>
    </row>
    <row r="46" spans="1:25" s="12" customFormat="1" ht="30" customHeight="1" thickBot="1" x14ac:dyDescent="0.3">
      <c r="A46" s="809" t="s">
        <v>319</v>
      </c>
      <c r="B46" s="31">
        <v>3</v>
      </c>
      <c r="C46" s="802"/>
      <c r="D46" s="638" t="e">
        <f>C46+(VLOOKUP($A$43,'DATOS ¬'!$A$37:$N$61,13,FALSE))*C46+(VLOOKUP($A$43,'DATOS ¬'!$A$37:$N$61,14,FALSE))</f>
        <v>#N/A</v>
      </c>
      <c r="E46" s="804"/>
      <c r="F46" s="496"/>
      <c r="G46" s="805">
        <f>E46+F46</f>
        <v>0</v>
      </c>
      <c r="H46" s="716"/>
      <c r="I46" s="806"/>
      <c r="J46" s="638" t="e">
        <f>I46+(VLOOKUP($O$43,'DATOS ¬'!$A$37:$N$61,13,FALSE))*I46+(VLOOKUP($O$43,'DATOS ¬'!$A$37:$N$61,14,FALSE))</f>
        <v>#N/A</v>
      </c>
      <c r="K46" s="807"/>
      <c r="L46" s="495"/>
      <c r="M46" s="808">
        <f>K46+L46</f>
        <v>0</v>
      </c>
      <c r="N46" s="897"/>
      <c r="O46" s="716"/>
      <c r="P46" s="633"/>
      <c r="Q46" s="1556"/>
      <c r="R46" s="1557"/>
      <c r="S46" s="1557"/>
      <c r="T46" s="1557"/>
      <c r="U46" s="1557"/>
      <c r="V46" s="1557"/>
      <c r="W46" s="1557"/>
      <c r="X46" s="1557"/>
      <c r="Y46" s="1558"/>
    </row>
    <row r="47" spans="1:25" s="12" customFormat="1" ht="33.75" customHeight="1" thickBot="1" x14ac:dyDescent="0.3">
      <c r="A47" s="716"/>
      <c r="B47" s="1566" t="s">
        <v>320</v>
      </c>
      <c r="C47" s="1567"/>
      <c r="D47" s="1567"/>
      <c r="E47" s="1567"/>
      <c r="F47" s="1567"/>
      <c r="G47" s="192" t="e">
        <f>AVERAGE(D44:D46)</f>
        <v>#N/A</v>
      </c>
      <c r="H47" s="716"/>
      <c r="I47" s="1566"/>
      <c r="J47" s="1567"/>
      <c r="K47" s="1567"/>
      <c r="L47" s="1567"/>
      <c r="M47" s="1567"/>
      <c r="N47" s="192" t="e">
        <f>AVERAGE(J44:J46)</f>
        <v>#N/A</v>
      </c>
      <c r="O47" s="716"/>
      <c r="P47" s="633"/>
      <c r="Q47" s="1559"/>
      <c r="R47" s="1560"/>
      <c r="S47" s="1560"/>
      <c r="T47" s="1560"/>
      <c r="U47" s="1560"/>
      <c r="V47" s="1560"/>
      <c r="W47" s="1560"/>
      <c r="X47" s="1560"/>
      <c r="Y47" s="1561"/>
    </row>
    <row r="48" spans="1:25" s="12" customFormat="1" ht="45" customHeight="1" thickBot="1" x14ac:dyDescent="0.3">
      <c r="A48" s="716"/>
      <c r="B48" s="633"/>
      <c r="C48" s="633"/>
      <c r="D48" s="810"/>
      <c r="E48" s="633"/>
      <c r="F48" s="633"/>
      <c r="G48" s="633"/>
      <c r="H48" s="633"/>
      <c r="I48" s="633"/>
      <c r="J48" s="633"/>
      <c r="K48" s="633"/>
      <c r="L48" s="633"/>
      <c r="M48" s="633"/>
      <c r="N48" s="633"/>
      <c r="O48" s="716"/>
      <c r="P48" s="633"/>
      <c r="Q48" s="1562"/>
      <c r="R48" s="1563"/>
      <c r="S48" s="1563"/>
      <c r="T48" s="1563"/>
      <c r="U48" s="1563"/>
      <c r="V48" s="1563"/>
      <c r="W48" s="1563"/>
      <c r="X48" s="1563"/>
      <c r="Y48" s="1564"/>
    </row>
    <row r="49" spans="1:22" s="12" customFormat="1" ht="45" customHeight="1" x14ac:dyDescent="0.25">
      <c r="A49" s="716"/>
      <c r="B49" s="716"/>
      <c r="C49" s="633"/>
      <c r="D49" s="633"/>
      <c r="E49" s="633"/>
      <c r="F49" s="633"/>
      <c r="G49" s="633"/>
      <c r="H49" s="633"/>
      <c r="I49" s="633"/>
      <c r="J49" s="633"/>
      <c r="K49" s="633"/>
      <c r="L49" s="633"/>
      <c r="M49" s="633"/>
      <c r="N49" s="633"/>
      <c r="O49" s="633"/>
      <c r="P49" s="633"/>
      <c r="Q49" s="633"/>
      <c r="R49" s="633"/>
      <c r="S49" s="633"/>
      <c r="T49" s="633"/>
      <c r="U49" s="633"/>
      <c r="V49" s="633"/>
    </row>
    <row r="50" spans="1:22" s="12" customFormat="1" ht="30" customHeight="1" x14ac:dyDescent="0.25">
      <c r="A50" s="716"/>
      <c r="B50" s="716"/>
      <c r="C50" s="716"/>
      <c r="D50" s="716"/>
      <c r="E50" s="716"/>
      <c r="F50" s="716"/>
      <c r="G50" s="716"/>
      <c r="H50" s="716"/>
      <c r="I50" s="716"/>
      <c r="J50" s="716"/>
      <c r="K50" s="716"/>
      <c r="L50" s="716"/>
      <c r="M50" s="716"/>
      <c r="N50" s="716"/>
      <c r="O50" s="716"/>
      <c r="P50" s="716"/>
      <c r="Q50" s="716"/>
      <c r="R50" s="716"/>
      <c r="S50" s="633"/>
      <c r="T50" s="633"/>
      <c r="U50" s="633"/>
      <c r="V50" s="633"/>
    </row>
    <row r="51" spans="1:22" s="12" customFormat="1" ht="30" customHeight="1" x14ac:dyDescent="0.25">
      <c r="A51" s="716"/>
      <c r="B51" s="716"/>
      <c r="C51" s="633"/>
      <c r="D51" s="633"/>
      <c r="E51" s="633"/>
      <c r="F51" s="633"/>
      <c r="G51" s="633"/>
      <c r="H51" s="716"/>
      <c r="I51" s="633"/>
      <c r="J51" s="633"/>
      <c r="K51" s="633"/>
      <c r="L51" s="633"/>
      <c r="M51" s="633"/>
      <c r="N51" s="716"/>
      <c r="O51" s="716"/>
      <c r="P51" s="716"/>
      <c r="Q51" s="716"/>
      <c r="R51" s="716"/>
      <c r="S51" s="633"/>
      <c r="T51" s="633"/>
      <c r="U51" s="633"/>
      <c r="V51" s="633"/>
    </row>
    <row r="52" spans="1:22" s="13" customFormat="1" ht="25.5" customHeight="1" thickBot="1" x14ac:dyDescent="0.3">
      <c r="A52" s="716"/>
      <c r="B52" s="716"/>
      <c r="C52" s="716"/>
      <c r="D52" s="716"/>
      <c r="E52" s="716"/>
      <c r="F52" s="716"/>
      <c r="G52" s="716"/>
      <c r="H52" s="716"/>
      <c r="I52" s="716"/>
      <c r="J52" s="716"/>
      <c r="K52" s="716"/>
      <c r="L52" s="716"/>
      <c r="M52" s="716"/>
      <c r="N52" s="716"/>
      <c r="O52" s="716"/>
      <c r="P52" s="716"/>
      <c r="Q52" s="716"/>
      <c r="R52" s="716"/>
      <c r="S52" s="716"/>
      <c r="T52" s="716"/>
      <c r="U52" s="716"/>
      <c r="V52" s="716"/>
    </row>
    <row r="53" spans="1:22" s="12" customFormat="1" ht="30" customHeight="1" thickBot="1" x14ac:dyDescent="0.3">
      <c r="A53" s="716"/>
      <c r="B53" s="716"/>
      <c r="C53" s="716"/>
      <c r="D53" s="716"/>
      <c r="E53" s="1433" t="s">
        <v>321</v>
      </c>
      <c r="F53" s="1434"/>
      <c r="G53" s="1434"/>
      <c r="H53" s="1434"/>
      <c r="I53" s="1434"/>
      <c r="J53" s="1434"/>
      <c r="K53" s="1434"/>
      <c r="L53" s="1435"/>
      <c r="M53" s="716"/>
      <c r="N53" s="716"/>
      <c r="O53" s="716"/>
      <c r="P53" s="716"/>
      <c r="Q53" s="716"/>
      <c r="R53" s="633"/>
      <c r="S53" s="633"/>
      <c r="T53" s="633"/>
      <c r="U53" s="633"/>
      <c r="V53" s="633"/>
    </row>
    <row r="54" spans="1:22" s="12" customFormat="1" ht="30" customHeight="1" x14ac:dyDescent="0.25">
      <c r="A54" s="716"/>
      <c r="B54" s="633"/>
      <c r="C54" s="633"/>
      <c r="D54" s="633"/>
      <c r="E54" s="1487" t="s">
        <v>309</v>
      </c>
      <c r="F54" s="1488"/>
      <c r="G54" s="10" t="s">
        <v>322</v>
      </c>
      <c r="H54" s="11" t="s">
        <v>323</v>
      </c>
      <c r="I54" s="716"/>
      <c r="J54" s="811"/>
      <c r="K54" s="812"/>
      <c r="L54" s="813"/>
      <c r="M54" s="716"/>
      <c r="N54" s="716"/>
      <c r="O54" s="716"/>
      <c r="P54" s="716"/>
      <c r="Q54" s="716"/>
      <c r="R54" s="633"/>
      <c r="S54" s="633"/>
      <c r="T54" s="633"/>
      <c r="U54" s="633"/>
      <c r="V54" s="633"/>
    </row>
    <row r="55" spans="1:22" s="12" customFormat="1" ht="30" customHeight="1" x14ac:dyDescent="0.25">
      <c r="A55" s="716"/>
      <c r="B55" s="633"/>
      <c r="C55" s="633"/>
      <c r="D55" s="633"/>
      <c r="E55" s="1482">
        <v>1</v>
      </c>
      <c r="F55" s="1483"/>
      <c r="G55" s="814" t="e">
        <f>$C$7*((1-$D$33*($D$29-D44))+($K$55)*(J44-D44)+$F$33*($F$29-J44))</f>
        <v>#N/A</v>
      </c>
      <c r="H55" s="815" t="e">
        <f>G55+N44</f>
        <v>#N/A</v>
      </c>
      <c r="I55" s="716"/>
      <c r="J55" s="31">
        <v>1</v>
      </c>
      <c r="K55" s="816" t="e">
        <f>(-0.1176*((D44+J44)/2)^2+(15.846*(D44+J44)/2)-62.677)*10^-6</f>
        <v>#N/A</v>
      </c>
      <c r="L55" s="817" t="s">
        <v>289</v>
      </c>
      <c r="M55" s="716"/>
      <c r="N55" s="716"/>
      <c r="O55" s="716"/>
      <c r="P55" s="716"/>
      <c r="Q55" s="716"/>
      <c r="R55" s="633"/>
      <c r="S55" s="633"/>
      <c r="T55" s="633"/>
      <c r="U55" s="677"/>
      <c r="V55" s="780"/>
    </row>
    <row r="56" spans="1:22" s="12" customFormat="1" ht="30" customHeight="1" thickBot="1" x14ac:dyDescent="0.3">
      <c r="A56" s="716"/>
      <c r="B56" s="633"/>
      <c r="C56" s="633"/>
      <c r="D56" s="633"/>
      <c r="E56" s="1482">
        <v>2</v>
      </c>
      <c r="F56" s="1483"/>
      <c r="G56" s="814" t="e">
        <f>$C$7*((1-$D$33*($D$29-D45))+($K$56)*(J45-D45)+$F$33*($F$29-J45))</f>
        <v>#N/A</v>
      </c>
      <c r="H56" s="815" t="e">
        <f>G56+N45</f>
        <v>#N/A</v>
      </c>
      <c r="I56" s="716"/>
      <c r="J56" s="31">
        <v>2</v>
      </c>
      <c r="K56" s="816" t="e">
        <f>(-0.1176*((D45+J45)/2)^2+(15.846*(D45+J45)/2)-62.677)*10^-6</f>
        <v>#N/A</v>
      </c>
      <c r="L56" s="817" t="s">
        <v>289</v>
      </c>
      <c r="M56" s="633"/>
      <c r="N56" s="716"/>
      <c r="O56" s="716"/>
      <c r="P56" s="716"/>
      <c r="Q56" s="716"/>
      <c r="R56" s="633"/>
      <c r="S56" s="633"/>
      <c r="T56" s="633"/>
      <c r="U56" s="633"/>
      <c r="V56" s="633"/>
    </row>
    <row r="57" spans="1:22" s="12" customFormat="1" ht="30" customHeight="1" thickBot="1" x14ac:dyDescent="0.3">
      <c r="A57" s="716"/>
      <c r="B57" s="633"/>
      <c r="C57" s="633"/>
      <c r="D57" s="633"/>
      <c r="E57" s="1482">
        <v>3</v>
      </c>
      <c r="F57" s="1483"/>
      <c r="G57" s="814" t="e">
        <f>$C$7*((1-$D$33*($D$29-D46))+($K$57)*(J46-D46)+$F$33*($F$29-J46))</f>
        <v>#N/A</v>
      </c>
      <c r="H57" s="815" t="e">
        <f>G57+N46</f>
        <v>#N/A</v>
      </c>
      <c r="I57" s="716"/>
      <c r="J57" s="31">
        <v>3</v>
      </c>
      <c r="K57" s="816" t="e">
        <f>(-0.1176*((D46+J46)/2)^2+(15.846*(D46+J46)/2)-62.677)*10^-6</f>
        <v>#N/A</v>
      </c>
      <c r="L57" s="817" t="s">
        <v>289</v>
      </c>
      <c r="M57" s="633"/>
      <c r="N57" s="716"/>
      <c r="O57" s="716"/>
      <c r="P57" s="716"/>
      <c r="Q57" s="716"/>
      <c r="R57" s="633"/>
      <c r="S57" s="633"/>
      <c r="T57" s="1430" t="e">
        <f>IF(AND('Pc ¬'!H11&gt;=97.5%,'Pc ¬'!I11&lt;=2.5%),"AJUSTADO","AJUSTAR")</f>
        <v>#N/A</v>
      </c>
      <c r="U57" s="1431"/>
      <c r="V57" s="1432"/>
    </row>
    <row r="58" spans="1:22" s="12" customFormat="1" ht="30" customHeight="1" thickBot="1" x14ac:dyDescent="0.3">
      <c r="A58" s="716"/>
      <c r="B58" s="633"/>
      <c r="C58" s="633"/>
      <c r="D58" s="633"/>
      <c r="E58" s="1484" t="s">
        <v>324</v>
      </c>
      <c r="F58" s="1485"/>
      <c r="G58" s="1486"/>
      <c r="H58" s="815" t="e">
        <f>AVERAGE(H55:H57)</f>
        <v>#N/A</v>
      </c>
      <c r="I58" s="633"/>
      <c r="J58" s="1" t="s">
        <v>325</v>
      </c>
      <c r="K58" s="818" t="e">
        <f>AVERAGE(K55:K57)</f>
        <v>#N/A</v>
      </c>
      <c r="L58" s="819" t="s">
        <v>289</v>
      </c>
      <c r="M58" s="633"/>
      <c r="N58" s="633"/>
      <c r="O58" s="633"/>
      <c r="P58" s="633"/>
      <c r="Q58" s="633"/>
      <c r="R58" s="633"/>
      <c r="S58" s="633"/>
      <c r="T58" s="780"/>
      <c r="U58" s="633"/>
      <c r="V58" s="633"/>
    </row>
    <row r="59" spans="1:22" s="12" customFormat="1" ht="30" customHeight="1" x14ac:dyDescent="0.25">
      <c r="A59" s="716"/>
      <c r="B59" s="633"/>
      <c r="C59" s="633"/>
      <c r="D59" s="633"/>
      <c r="E59" s="1484" t="s">
        <v>326</v>
      </c>
      <c r="F59" s="1485"/>
      <c r="G59" s="1486"/>
      <c r="H59" s="815" t="e">
        <f>_xlfn.STDEV.S(H55:H57)</f>
        <v>#N/A</v>
      </c>
      <c r="I59" s="716"/>
      <c r="J59" s="633"/>
      <c r="K59" s="633"/>
      <c r="L59" s="633"/>
      <c r="M59" s="633"/>
      <c r="N59" s="633"/>
      <c r="O59" s="633"/>
      <c r="P59" s="633"/>
      <c r="Q59" s="633"/>
      <c r="R59" s="633"/>
      <c r="S59" s="633"/>
      <c r="T59" s="633"/>
      <c r="U59" s="633"/>
      <c r="V59" s="633"/>
    </row>
    <row r="60" spans="1:22" s="12" customFormat="1" ht="30" customHeight="1" thickBot="1" x14ac:dyDescent="0.3">
      <c r="A60" s="716"/>
      <c r="B60" s="716"/>
      <c r="C60" s="633"/>
      <c r="D60" s="633"/>
      <c r="E60" s="1546" t="s">
        <v>327</v>
      </c>
      <c r="F60" s="1547"/>
      <c r="G60" s="1548"/>
      <c r="H60" s="820" t="e">
        <f>H59/SQRT(3)</f>
        <v>#N/A</v>
      </c>
      <c r="I60" s="716"/>
      <c r="J60" s="716"/>
      <c r="K60" s="716"/>
      <c r="L60" s="716"/>
      <c r="M60" s="716"/>
      <c r="N60" s="716"/>
      <c r="O60" s="716"/>
      <c r="P60" s="716"/>
      <c r="Q60" s="716"/>
      <c r="R60" s="716"/>
      <c r="S60" s="633"/>
      <c r="T60" s="633"/>
      <c r="U60" s="633"/>
      <c r="V60" s="633"/>
    </row>
    <row r="61" spans="1:22" s="12" customFormat="1" ht="30" customHeight="1" x14ac:dyDescent="0.25">
      <c r="A61" s="716"/>
      <c r="B61" s="716"/>
      <c r="C61" s="633"/>
      <c r="D61" s="633"/>
      <c r="E61" s="633"/>
      <c r="F61" s="633"/>
      <c r="G61" s="633"/>
      <c r="H61" s="633"/>
      <c r="I61" s="633"/>
      <c r="J61" s="633"/>
      <c r="K61" s="633"/>
      <c r="L61" s="633"/>
      <c r="M61" s="716" t="s">
        <v>328</v>
      </c>
      <c r="N61" s="716"/>
      <c r="O61" s="716"/>
      <c r="P61" s="716"/>
      <c r="Q61" s="716"/>
      <c r="R61" s="716"/>
      <c r="S61" s="633"/>
      <c r="T61" s="633"/>
      <c r="U61" s="633"/>
      <c r="V61" s="633"/>
    </row>
    <row r="62" spans="1:22" s="13" customFormat="1" ht="22.5" customHeight="1" x14ac:dyDescent="0.25">
      <c r="A62" s="109"/>
      <c r="B62" s="716"/>
      <c r="C62" s="716"/>
      <c r="D62" s="716"/>
      <c r="E62" s="716"/>
      <c r="F62" s="716"/>
      <c r="G62" s="716"/>
      <c r="H62" s="716"/>
      <c r="I62" s="716"/>
      <c r="J62" s="733"/>
      <c r="K62" s="733"/>
      <c r="L62" s="110"/>
      <c r="M62" s="110"/>
      <c r="N62" s="110"/>
      <c r="O62" s="110"/>
      <c r="P62" s="716"/>
      <c r="Q62" s="716"/>
      <c r="R62" s="716"/>
      <c r="S62" s="716"/>
      <c r="T62" s="716"/>
      <c r="U62" s="716"/>
      <c r="V62" s="716"/>
    </row>
    <row r="63" spans="1:22" s="12" customFormat="1" ht="30" customHeight="1" thickBot="1" x14ac:dyDescent="0.3">
      <c r="A63" s="633"/>
      <c r="B63" s="633"/>
      <c r="C63" s="633"/>
      <c r="D63" s="633"/>
      <c r="E63" s="633"/>
      <c r="F63" s="633"/>
      <c r="G63" s="633"/>
      <c r="H63" s="633"/>
      <c r="I63" s="633"/>
      <c r="J63" s="633"/>
      <c r="K63" s="633"/>
      <c r="L63" s="633"/>
      <c r="M63" s="716"/>
      <c r="N63" s="716"/>
      <c r="O63" s="716"/>
      <c r="P63" s="716"/>
      <c r="Q63" s="716"/>
      <c r="R63" s="716"/>
      <c r="S63" s="633"/>
      <c r="T63" s="633"/>
      <c r="U63" s="633"/>
      <c r="V63" s="633"/>
    </row>
    <row r="64" spans="1:22" s="12" customFormat="1" ht="30" customHeight="1" thickBot="1" x14ac:dyDescent="0.3">
      <c r="A64" s="716"/>
      <c r="B64" s="1433" t="s">
        <v>329</v>
      </c>
      <c r="C64" s="1434"/>
      <c r="D64" s="1434"/>
      <c r="E64" s="1434"/>
      <c r="F64" s="1434"/>
      <c r="G64" s="1434"/>
      <c r="H64" s="1434"/>
      <c r="I64" s="1434"/>
      <c r="J64" s="1434"/>
      <c r="K64" s="1434"/>
      <c r="L64" s="1435"/>
      <c r="M64" s="716"/>
      <c r="N64" s="633"/>
      <c r="O64" s="633"/>
      <c r="P64" s="633"/>
      <c r="Q64" s="716"/>
      <c r="R64" s="716"/>
      <c r="S64" s="633"/>
      <c r="T64" s="633"/>
      <c r="U64" s="633"/>
      <c r="V64" s="633"/>
    </row>
    <row r="65" spans="1:18" s="12" customFormat="1" ht="30" customHeight="1" thickBot="1" x14ac:dyDescent="0.3">
      <c r="A65" s="716"/>
      <c r="B65" s="821"/>
      <c r="C65" s="822"/>
      <c r="D65" s="822"/>
      <c r="E65" s="822"/>
      <c r="F65" s="822"/>
      <c r="G65" s="822"/>
      <c r="H65" s="822"/>
      <c r="I65" s="822"/>
      <c r="J65" s="822"/>
      <c r="K65" s="108" t="s">
        <v>330</v>
      </c>
      <c r="L65" s="108" t="s">
        <v>132</v>
      </c>
      <c r="M65" s="716"/>
      <c r="N65" s="57" t="s">
        <v>132</v>
      </c>
      <c r="O65" s="37" t="s">
        <v>252</v>
      </c>
      <c r="P65" s="38" t="s">
        <v>268</v>
      </c>
      <c r="Q65" s="716"/>
      <c r="R65" s="716"/>
    </row>
    <row r="66" spans="1:18" s="13" customFormat="1" ht="30" customHeight="1" thickBot="1" x14ac:dyDescent="0.3">
      <c r="A66" s="716"/>
      <c r="B66" s="1478" t="s">
        <v>331</v>
      </c>
      <c r="C66" s="1479"/>
      <c r="D66" s="1479"/>
      <c r="E66" s="823"/>
      <c r="F66" s="823"/>
      <c r="G66" s="824"/>
      <c r="H66" s="824"/>
      <c r="I66" s="824"/>
      <c r="J66" s="824"/>
      <c r="K66" s="825" t="e">
        <f>(1-$O$74*(O72-O68))+(O78)*(P70-O68)+P76*(P80-P70)</f>
        <v>#N/A</v>
      </c>
      <c r="L66" s="75" t="s">
        <v>332</v>
      </c>
      <c r="M66" s="716"/>
      <c r="N66" s="111"/>
      <c r="O66" s="764" t="e">
        <f>C7</f>
        <v>#N/A</v>
      </c>
      <c r="P66" s="112"/>
      <c r="Q66" s="716"/>
      <c r="R66" s="716"/>
    </row>
    <row r="67" spans="1:18" s="12" customFormat="1" ht="5.0999999999999996" customHeight="1" thickBot="1" x14ac:dyDescent="0.3">
      <c r="A67" s="716"/>
      <c r="B67" s="826"/>
      <c r="C67" s="633"/>
      <c r="D67" s="633"/>
      <c r="E67" s="633"/>
      <c r="F67" s="827"/>
      <c r="G67" s="828"/>
      <c r="H67" s="828"/>
      <c r="I67" s="828"/>
      <c r="J67" s="828"/>
      <c r="K67" s="633"/>
      <c r="L67" s="76"/>
      <c r="M67" s="716"/>
      <c r="N67" s="829"/>
      <c r="O67" s="830"/>
      <c r="P67" s="831"/>
      <c r="Q67" s="633"/>
      <c r="R67" s="716"/>
    </row>
    <row r="68" spans="1:18" s="13" customFormat="1" ht="30" customHeight="1" thickBot="1" x14ac:dyDescent="0.3">
      <c r="A68" s="716"/>
      <c r="B68" s="1478" t="s">
        <v>333</v>
      </c>
      <c r="C68" s="1479"/>
      <c r="D68" s="1479"/>
      <c r="E68" s="1479"/>
      <c r="F68" s="823"/>
      <c r="G68" s="824"/>
      <c r="H68" s="824"/>
      <c r="I68" s="824"/>
      <c r="J68" s="824"/>
      <c r="K68" s="825" t="e">
        <f>$O$66*(O74-O78)</f>
        <v>#N/A</v>
      </c>
      <c r="L68" s="75" t="s">
        <v>334</v>
      </c>
      <c r="M68" s="716"/>
      <c r="N68" s="113"/>
      <c r="O68" s="571" t="e">
        <f>G47</f>
        <v>#N/A</v>
      </c>
      <c r="P68" s="114"/>
      <c r="Q68" s="716"/>
      <c r="R68" s="716"/>
    </row>
    <row r="69" spans="1:18" s="12" customFormat="1" ht="5.0999999999999996" customHeight="1" thickBot="1" x14ac:dyDescent="0.3">
      <c r="A69" s="716"/>
      <c r="B69" s="826"/>
      <c r="C69" s="633"/>
      <c r="D69" s="633"/>
      <c r="E69" s="633"/>
      <c r="F69" s="827"/>
      <c r="G69" s="828"/>
      <c r="H69" s="828"/>
      <c r="I69" s="828"/>
      <c r="J69" s="828"/>
      <c r="K69" s="633"/>
      <c r="L69" s="77"/>
      <c r="M69" s="716"/>
      <c r="N69" s="829"/>
      <c r="O69" s="830"/>
      <c r="P69" s="831"/>
      <c r="Q69" s="716"/>
      <c r="R69" s="716"/>
    </row>
    <row r="70" spans="1:18" s="13" customFormat="1" ht="30" customHeight="1" thickBot="1" x14ac:dyDescent="0.3">
      <c r="A70" s="716"/>
      <c r="B70" s="1478" t="s">
        <v>335</v>
      </c>
      <c r="C70" s="1479"/>
      <c r="D70" s="1479"/>
      <c r="E70" s="1479"/>
      <c r="F70" s="823"/>
      <c r="G70" s="824"/>
      <c r="H70" s="824"/>
      <c r="I70" s="824"/>
      <c r="J70" s="824"/>
      <c r="K70" s="825" t="e">
        <f>$O$66*(O78-P76)</f>
        <v>#N/A</v>
      </c>
      <c r="L70" s="75" t="s">
        <v>334</v>
      </c>
      <c r="M70" s="716"/>
      <c r="N70" s="113"/>
      <c r="O70" s="115"/>
      <c r="P70" s="653" t="e">
        <f>N47</f>
        <v>#N/A</v>
      </c>
      <c r="Q70" s="716"/>
      <c r="R70" s="716"/>
    </row>
    <row r="71" spans="1:18" s="12" customFormat="1" ht="5.0999999999999996" customHeight="1" thickBot="1" x14ac:dyDescent="0.3">
      <c r="A71" s="716"/>
      <c r="B71" s="826"/>
      <c r="C71" s="633"/>
      <c r="D71" s="633"/>
      <c r="E71" s="633"/>
      <c r="F71" s="633"/>
      <c r="G71" s="828"/>
      <c r="H71" s="828"/>
      <c r="I71" s="828"/>
      <c r="J71" s="828"/>
      <c r="K71" s="633"/>
      <c r="L71" s="77"/>
      <c r="M71" s="716"/>
      <c r="N71" s="829"/>
      <c r="O71" s="830"/>
      <c r="P71" s="831"/>
      <c r="Q71" s="716"/>
      <c r="R71" s="716"/>
    </row>
    <row r="72" spans="1:18" s="13" customFormat="1" ht="30" customHeight="1" thickBot="1" x14ac:dyDescent="0.3">
      <c r="A72" s="716"/>
      <c r="B72" s="1478" t="s">
        <v>412</v>
      </c>
      <c r="C72" s="1479"/>
      <c r="D72" s="1479"/>
      <c r="E72" s="1479"/>
      <c r="F72" s="1479"/>
      <c r="G72" s="824"/>
      <c r="H72" s="824"/>
      <c r="I72" s="824"/>
      <c r="J72" s="824"/>
      <c r="K72" s="832" t="e">
        <f>-O$66*(O72-O68)</f>
        <v>#N/A</v>
      </c>
      <c r="L72" s="75" t="s">
        <v>337</v>
      </c>
      <c r="M72" s="716"/>
      <c r="N72" s="833"/>
      <c r="O72" s="697" t="e">
        <f>D29</f>
        <v>#N/A</v>
      </c>
      <c r="P72" s="651"/>
      <c r="Q72" s="716"/>
      <c r="R72" s="716"/>
    </row>
    <row r="73" spans="1:18" s="12" customFormat="1" ht="5.0999999999999996" customHeight="1" thickBot="1" x14ac:dyDescent="0.3">
      <c r="A73" s="716"/>
      <c r="B73" s="826"/>
      <c r="C73" s="633"/>
      <c r="D73" s="633"/>
      <c r="E73" s="633"/>
      <c r="F73" s="633"/>
      <c r="G73" s="828"/>
      <c r="H73" s="828"/>
      <c r="I73" s="828"/>
      <c r="J73" s="828"/>
      <c r="K73" s="763"/>
      <c r="L73" s="77"/>
      <c r="M73" s="716"/>
      <c r="N73" s="829"/>
      <c r="O73" s="830"/>
      <c r="P73" s="831"/>
      <c r="Q73" s="716"/>
      <c r="R73" s="716"/>
    </row>
    <row r="74" spans="1:18" s="13" customFormat="1" ht="30" customHeight="1" thickBot="1" x14ac:dyDescent="0.3">
      <c r="A74" s="716"/>
      <c r="B74" s="1478" t="s">
        <v>413</v>
      </c>
      <c r="C74" s="1479"/>
      <c r="D74" s="1479"/>
      <c r="E74" s="1479"/>
      <c r="F74" s="1479"/>
      <c r="G74" s="116"/>
      <c r="H74" s="116"/>
      <c r="I74" s="116"/>
      <c r="J74" s="824"/>
      <c r="K74" s="832" t="e">
        <f>$O$66*(P80-P70)</f>
        <v>#N/A</v>
      </c>
      <c r="L74" s="75" t="s">
        <v>337</v>
      </c>
      <c r="M74" s="716"/>
      <c r="N74" s="113"/>
      <c r="O74" s="569" t="e">
        <f>D33</f>
        <v>#N/A</v>
      </c>
      <c r="P74" s="114"/>
      <c r="Q74" s="716"/>
      <c r="R74" s="716"/>
    </row>
    <row r="75" spans="1:18" s="12" customFormat="1" ht="5.0999999999999996" customHeight="1" thickBot="1" x14ac:dyDescent="0.3">
      <c r="A75" s="716"/>
      <c r="B75" s="826"/>
      <c r="C75" s="633"/>
      <c r="D75" s="633"/>
      <c r="E75" s="633"/>
      <c r="F75" s="633"/>
      <c r="G75" s="828"/>
      <c r="H75" s="828"/>
      <c r="I75" s="828"/>
      <c r="J75" s="828"/>
      <c r="K75" s="633"/>
      <c r="L75" s="77"/>
      <c r="M75" s="716"/>
      <c r="N75" s="829"/>
      <c r="O75" s="830"/>
      <c r="P75" s="831"/>
      <c r="Q75" s="716"/>
      <c r="R75" s="716"/>
    </row>
    <row r="76" spans="1:18" s="13" customFormat="1" ht="30" customHeight="1" thickBot="1" x14ac:dyDescent="0.3">
      <c r="A76" s="716"/>
      <c r="B76" s="1478" t="s">
        <v>414</v>
      </c>
      <c r="C76" s="1479"/>
      <c r="D76" s="1479"/>
      <c r="E76" s="1479"/>
      <c r="F76" s="1479"/>
      <c r="G76" s="824"/>
      <c r="H76" s="824"/>
      <c r="I76" s="824"/>
      <c r="J76" s="824"/>
      <c r="K76" s="825" t="e">
        <f>$O$66*(P70-O68)</f>
        <v>#N/A</v>
      </c>
      <c r="L76" s="75" t="s">
        <v>337</v>
      </c>
      <c r="M76" s="716"/>
      <c r="N76" s="113"/>
      <c r="O76" s="115"/>
      <c r="P76" s="834" t="e">
        <f>F33</f>
        <v>#N/A</v>
      </c>
      <c r="Q76" s="716"/>
      <c r="R76" s="716"/>
    </row>
    <row r="77" spans="1:18" s="12" customFormat="1" ht="5.0999999999999996" customHeight="1" thickBot="1" x14ac:dyDescent="0.3">
      <c r="A77" s="716"/>
      <c r="B77" s="826"/>
      <c r="C77" s="633"/>
      <c r="D77" s="633"/>
      <c r="E77" s="827"/>
      <c r="F77" s="827"/>
      <c r="G77" s="828"/>
      <c r="H77" s="828"/>
      <c r="I77" s="828"/>
      <c r="J77" s="828"/>
      <c r="K77" s="633"/>
      <c r="L77" s="77"/>
      <c r="M77" s="110"/>
      <c r="N77" s="117"/>
      <c r="O77" s="830"/>
      <c r="P77" s="831"/>
      <c r="Q77" s="716"/>
      <c r="R77" s="716"/>
    </row>
    <row r="78" spans="1:18" s="13" customFormat="1" ht="30" customHeight="1" thickBot="1" x14ac:dyDescent="0.3">
      <c r="A78" s="716"/>
      <c r="B78" s="1478" t="s">
        <v>340</v>
      </c>
      <c r="C78" s="1479"/>
      <c r="D78" s="1479"/>
      <c r="E78" s="118"/>
      <c r="F78" s="118"/>
      <c r="G78" s="116"/>
      <c r="H78" s="116"/>
      <c r="I78" s="116"/>
      <c r="J78" s="824"/>
      <c r="K78" s="835">
        <v>1</v>
      </c>
      <c r="L78" s="75" t="s">
        <v>332</v>
      </c>
      <c r="M78" s="110"/>
      <c r="N78" s="113"/>
      <c r="O78" s="836" t="e">
        <f>D37</f>
        <v>#N/A</v>
      </c>
      <c r="P78" s="837" t="e">
        <f>F37</f>
        <v>#N/A</v>
      </c>
      <c r="Q78" s="716"/>
      <c r="R78" s="716"/>
    </row>
    <row r="79" spans="1:18" s="12" customFormat="1" ht="5.0999999999999996" customHeight="1" thickBot="1" x14ac:dyDescent="0.3">
      <c r="A79" s="633"/>
      <c r="B79" s="826"/>
      <c r="C79" s="633"/>
      <c r="D79" s="633"/>
      <c r="E79" s="827"/>
      <c r="F79" s="827"/>
      <c r="G79" s="828"/>
      <c r="H79" s="828"/>
      <c r="I79" s="828"/>
      <c r="J79" s="828"/>
      <c r="K79" s="633"/>
      <c r="L79" s="77"/>
      <c r="M79" s="110"/>
      <c r="N79" s="117"/>
      <c r="O79" s="830"/>
      <c r="P79" s="831"/>
      <c r="Q79" s="716"/>
      <c r="R79" s="716"/>
    </row>
    <row r="80" spans="1:18" s="13" customFormat="1" ht="30" customHeight="1" thickBot="1" x14ac:dyDescent="0.3">
      <c r="A80" s="716"/>
      <c r="B80" s="1478" t="s">
        <v>341</v>
      </c>
      <c r="C80" s="1479"/>
      <c r="D80" s="1479"/>
      <c r="E80" s="118"/>
      <c r="F80" s="118"/>
      <c r="G80" s="116"/>
      <c r="H80" s="116"/>
      <c r="I80" s="116"/>
      <c r="J80" s="824"/>
      <c r="K80" s="835">
        <v>1</v>
      </c>
      <c r="L80" s="75" t="s">
        <v>332</v>
      </c>
      <c r="M80" s="110"/>
      <c r="N80" s="119"/>
      <c r="O80" s="120"/>
      <c r="P80" s="838" t="e">
        <f>F29</f>
        <v>#N/A</v>
      </c>
      <c r="Q80" s="716"/>
      <c r="R80" s="716"/>
    </row>
    <row r="81" spans="1:20" s="12" customFormat="1" ht="5.0999999999999996" customHeight="1" thickBot="1" x14ac:dyDescent="0.3">
      <c r="A81" s="716"/>
      <c r="B81" s="826"/>
      <c r="C81" s="633"/>
      <c r="D81" s="633"/>
      <c r="E81" s="827"/>
      <c r="F81" s="827"/>
      <c r="G81" s="828"/>
      <c r="H81" s="828"/>
      <c r="I81" s="828"/>
      <c r="J81" s="828"/>
      <c r="K81" s="633"/>
      <c r="L81" s="77"/>
      <c r="M81" s="110"/>
      <c r="N81" s="633"/>
      <c r="O81" s="633"/>
      <c r="P81" s="633"/>
      <c r="Q81" s="716"/>
      <c r="R81" s="716"/>
      <c r="S81" s="633"/>
      <c r="T81" s="633"/>
    </row>
    <row r="82" spans="1:20" s="13" customFormat="1" ht="30" customHeight="1" thickBot="1" x14ac:dyDescent="0.3">
      <c r="A82" s="716"/>
      <c r="B82" s="1478" t="s">
        <v>342</v>
      </c>
      <c r="C82" s="1479"/>
      <c r="D82" s="1479"/>
      <c r="E82" s="823"/>
      <c r="F82" s="823"/>
      <c r="G82" s="824"/>
      <c r="H82" s="824"/>
      <c r="I82" s="824"/>
      <c r="J82" s="824"/>
      <c r="K82" s="835">
        <v>1</v>
      </c>
      <c r="L82" s="75" t="s">
        <v>332</v>
      </c>
      <c r="M82" s="110"/>
      <c r="N82" s="716"/>
      <c r="O82" s="716"/>
      <c r="P82" s="716"/>
      <c r="Q82" s="716"/>
      <c r="R82" s="716"/>
      <c r="S82" s="716"/>
      <c r="T82" s="716"/>
    </row>
    <row r="83" spans="1:20" s="13" customFormat="1" ht="9.75" customHeight="1" thickBot="1" x14ac:dyDescent="0.3">
      <c r="A83" s="716"/>
      <c r="B83" s="839"/>
      <c r="C83" s="840"/>
      <c r="D83" s="840"/>
      <c r="E83" s="840"/>
      <c r="F83" s="840"/>
      <c r="G83" s="840"/>
      <c r="H83" s="840"/>
      <c r="I83" s="840"/>
      <c r="J83" s="840"/>
      <c r="K83" s="840"/>
      <c r="L83" s="841"/>
      <c r="M83" s="110"/>
      <c r="N83" s="110"/>
      <c r="O83" s="121"/>
      <c r="P83" s="716"/>
      <c r="Q83" s="716"/>
      <c r="R83" s="716"/>
      <c r="S83" s="716"/>
      <c r="T83" s="716"/>
    </row>
    <row r="84" spans="1:20" s="13" customFormat="1" ht="39.75" customHeight="1" x14ac:dyDescent="0.25">
      <c r="A84" s="716"/>
      <c r="B84" s="110"/>
      <c r="C84" s="110"/>
      <c r="D84" s="110"/>
      <c r="E84" s="110"/>
      <c r="F84" s="110"/>
      <c r="G84" s="110"/>
      <c r="H84" s="110"/>
      <c r="I84" s="110"/>
      <c r="J84" s="110"/>
      <c r="K84" s="110"/>
      <c r="L84" s="110"/>
      <c r="M84" s="110"/>
      <c r="N84" s="716"/>
      <c r="O84" s="716"/>
      <c r="P84" s="716"/>
      <c r="Q84" s="716"/>
      <c r="R84" s="716"/>
      <c r="S84" s="716"/>
      <c r="T84" s="716"/>
    </row>
    <row r="85" spans="1:20" s="13" customFormat="1" ht="34.5" customHeight="1" thickBot="1" x14ac:dyDescent="0.3">
      <c r="A85" s="716"/>
      <c r="B85" s="716"/>
      <c r="C85" s="716"/>
      <c r="D85" s="716"/>
      <c r="E85" s="716"/>
      <c r="F85" s="716"/>
      <c r="G85" s="716"/>
      <c r="H85" s="716"/>
      <c r="I85" s="716"/>
      <c r="J85" s="716"/>
      <c r="K85" s="716"/>
      <c r="L85" s="716"/>
      <c r="M85" s="110"/>
      <c r="N85" s="110"/>
      <c r="O85" s="121"/>
      <c r="P85" s="716"/>
      <c r="Q85" s="716"/>
      <c r="R85" s="716"/>
      <c r="S85" s="716"/>
      <c r="T85" s="716"/>
    </row>
    <row r="86" spans="1:20" s="13" customFormat="1" ht="34.5" customHeight="1" thickBot="1" x14ac:dyDescent="0.3">
      <c r="A86" s="110"/>
      <c r="B86" s="1433" t="s">
        <v>343</v>
      </c>
      <c r="C86" s="1434"/>
      <c r="D86" s="1434"/>
      <c r="E86" s="1434"/>
      <c r="F86" s="1434"/>
      <c r="G86" s="1434"/>
      <c r="H86" s="1434"/>
      <c r="I86" s="1434"/>
      <c r="J86" s="1434"/>
      <c r="K86" s="1434"/>
      <c r="L86" s="1434"/>
      <c r="M86" s="1434"/>
      <c r="N86" s="1434"/>
      <c r="O86" s="1434"/>
      <c r="P86" s="1434"/>
      <c r="Q86" s="1434"/>
      <c r="R86" s="1435"/>
      <c r="S86" s="716"/>
      <c r="T86" s="716"/>
    </row>
    <row r="87" spans="1:20" s="12" customFormat="1" ht="57.75" customHeight="1" thickBot="1" x14ac:dyDescent="0.3">
      <c r="A87" s="633"/>
      <c r="B87" s="1469" t="s">
        <v>344</v>
      </c>
      <c r="C87" s="1470"/>
      <c r="D87" s="59" t="s">
        <v>345</v>
      </c>
      <c r="E87" s="37" t="s">
        <v>346</v>
      </c>
      <c r="F87" s="37"/>
      <c r="G87" s="37" t="s">
        <v>347</v>
      </c>
      <c r="H87" s="37" t="s">
        <v>348</v>
      </c>
      <c r="I87" s="37"/>
      <c r="J87" s="37" t="s">
        <v>349</v>
      </c>
      <c r="K87" s="37"/>
      <c r="L87" s="37" t="s">
        <v>350</v>
      </c>
      <c r="M87" s="37"/>
      <c r="N87" s="37" t="s">
        <v>351</v>
      </c>
      <c r="O87" s="37" t="s">
        <v>352</v>
      </c>
      <c r="P87" s="37" t="s">
        <v>353</v>
      </c>
      <c r="Q87" s="38" t="s">
        <v>354</v>
      </c>
      <c r="R87" s="38" t="s">
        <v>355</v>
      </c>
      <c r="S87" s="633"/>
      <c r="T87" s="633"/>
    </row>
    <row r="88" spans="1:20" s="12" customFormat="1" ht="39.950000000000003" customHeight="1" thickBot="1" x14ac:dyDescent="0.3">
      <c r="A88" s="716"/>
      <c r="B88" s="1471" t="s">
        <v>356</v>
      </c>
      <c r="C88" s="1472"/>
      <c r="D88" s="270" t="e">
        <f>C7</f>
        <v>#N/A</v>
      </c>
      <c r="E88" s="633"/>
      <c r="F88" s="633"/>
      <c r="G88" s="633"/>
      <c r="H88" s="633"/>
      <c r="I88" s="633"/>
      <c r="J88" s="633"/>
      <c r="K88" s="633"/>
      <c r="L88" s="633"/>
      <c r="M88" s="633"/>
      <c r="N88" s="633"/>
      <c r="O88" s="633"/>
      <c r="P88" s="633"/>
      <c r="Q88" s="633"/>
      <c r="R88" s="633"/>
      <c r="S88" s="633"/>
      <c r="T88" s="633"/>
    </row>
    <row r="89" spans="1:20" s="121" customFormat="1" ht="39.950000000000003" customHeight="1" x14ac:dyDescent="0.25">
      <c r="B89" s="1459" t="s">
        <v>357</v>
      </c>
      <c r="C89" s="1473"/>
      <c r="D89" s="271"/>
      <c r="E89" s="689" t="e">
        <f>I7</f>
        <v>#N/A</v>
      </c>
      <c r="F89" s="268" t="s">
        <v>120</v>
      </c>
      <c r="G89" s="583" t="e">
        <f>O7</f>
        <v>#N/A</v>
      </c>
      <c r="H89" s="583" t="e">
        <f>E89/G89</f>
        <v>#N/A</v>
      </c>
      <c r="I89" s="268" t="s">
        <v>120</v>
      </c>
      <c r="J89" s="842" t="e">
        <f>K66</f>
        <v>#N/A</v>
      </c>
      <c r="K89" s="843"/>
      <c r="L89" s="587" t="e">
        <f>H89*J89</f>
        <v>#N/A</v>
      </c>
      <c r="M89" s="843" t="s">
        <v>120</v>
      </c>
      <c r="N89" s="842" t="e">
        <f>L89^2</f>
        <v>#N/A</v>
      </c>
      <c r="O89" s="843" t="s">
        <v>358</v>
      </c>
      <c r="P89" s="843" t="s">
        <v>359</v>
      </c>
      <c r="Q89" s="843">
        <v>50</v>
      </c>
      <c r="R89" s="844" t="e">
        <f>(L89/$N$119)^2</f>
        <v>#N/A</v>
      </c>
      <c r="S89" s="289" t="e">
        <f>IF(L89=MAX($L$89,$L$90,$L$93,$L$94,$L$95,$L$98,$L$99,$L$100,$L$101,$L$103,$L$104,$L$105,$L$106,$L$108,$L$109,$L$110,$L$111,$L$112,,$L$115,$L$116,$L$117,$L$118),"",L89)</f>
        <v>#N/A</v>
      </c>
    </row>
    <row r="90" spans="1:20" s="12" customFormat="1" ht="39.950000000000003" customHeight="1" thickBot="1" x14ac:dyDescent="0.3">
      <c r="A90" s="1474"/>
      <c r="B90" s="1461" t="s">
        <v>360</v>
      </c>
      <c r="C90" s="1475"/>
      <c r="D90" s="266"/>
      <c r="E90" s="591" t="e">
        <f>K7</f>
        <v>#N/A</v>
      </c>
      <c r="F90" s="845" t="s">
        <v>120</v>
      </c>
      <c r="G90" s="591">
        <f>SQRT(12)</f>
        <v>3.4641016151377544</v>
      </c>
      <c r="H90" s="589" t="e">
        <f>E90/G90</f>
        <v>#N/A</v>
      </c>
      <c r="I90" s="845" t="str">
        <f>F90</f>
        <v>mL</v>
      </c>
      <c r="J90" s="846" t="e">
        <f>K66</f>
        <v>#N/A</v>
      </c>
      <c r="K90" s="847"/>
      <c r="L90" s="594" t="e">
        <f>H90*J90</f>
        <v>#N/A</v>
      </c>
      <c r="M90" s="847" t="s">
        <v>120</v>
      </c>
      <c r="N90" s="846" t="e">
        <f>L90^2</f>
        <v>#N/A</v>
      </c>
      <c r="O90" s="847" t="s">
        <v>358</v>
      </c>
      <c r="P90" s="847" t="s">
        <v>361</v>
      </c>
      <c r="Q90" s="847" t="s">
        <v>362</v>
      </c>
      <c r="R90" s="848" t="e">
        <f>(L90/$N$119)^2</f>
        <v>#N/A</v>
      </c>
      <c r="S90" s="289" t="e">
        <f t="shared" ref="S90:S118" si="1">IF(L90=MAX($L$89,$L$90,$L$93,$L$94,$L$95,$L$98,$L$99,$L$100,$L$101,$L$103,$L$104,$L$105,$L$106,$L$108,$L$109,$L$110,$L$111,$L$112,,$L$115,$L$116,$L$117,$L$118),"",L90)</f>
        <v>#N/A</v>
      </c>
      <c r="T90" s="633"/>
    </row>
    <row r="91" spans="1:20" s="12" customFormat="1" ht="5.0999999999999996" customHeight="1" thickBot="1" x14ac:dyDescent="0.3">
      <c r="A91" s="1474"/>
      <c r="B91" s="1476"/>
      <c r="C91" s="1477"/>
      <c r="D91" s="274"/>
      <c r="E91" s="633"/>
      <c r="F91" s="633"/>
      <c r="G91" s="633"/>
      <c r="H91" s="633"/>
      <c r="I91" s="633"/>
      <c r="J91" s="633"/>
      <c r="K91" s="633"/>
      <c r="L91" s="633"/>
      <c r="M91" s="633"/>
      <c r="N91" s="633"/>
      <c r="O91" s="633"/>
      <c r="P91" s="633"/>
      <c r="Q91" s="633"/>
      <c r="R91" s="633"/>
      <c r="S91" s="289"/>
      <c r="T91" s="849"/>
    </row>
    <row r="92" spans="1:20" s="121" customFormat="1" ht="39.950000000000003" customHeight="1" thickBot="1" x14ac:dyDescent="0.3">
      <c r="B92" s="1444" t="s">
        <v>363</v>
      </c>
      <c r="C92" s="1446"/>
      <c r="D92" s="275" t="e">
        <f>C18</f>
        <v>#N/A</v>
      </c>
      <c r="L92" s="285"/>
      <c r="S92" s="289"/>
      <c r="T92" s="849"/>
    </row>
    <row r="93" spans="1:20" s="12" customFormat="1" ht="39.950000000000003" customHeight="1" x14ac:dyDescent="0.25">
      <c r="A93" s="716"/>
      <c r="B93" s="1444" t="s">
        <v>364</v>
      </c>
      <c r="C93" s="1446"/>
      <c r="D93" s="850"/>
      <c r="E93" s="766" t="e">
        <f>I18</f>
        <v>#N/A</v>
      </c>
      <c r="F93" s="851" t="str">
        <f>F19</f>
        <v>mL</v>
      </c>
      <c r="G93" s="852" t="e">
        <f>O18</f>
        <v>#N/A</v>
      </c>
      <c r="H93" s="587" t="e">
        <f>E93/G93</f>
        <v>#N/A</v>
      </c>
      <c r="I93" s="851" t="str">
        <f>F93</f>
        <v>mL</v>
      </c>
      <c r="J93" s="852">
        <f>K82</f>
        <v>1</v>
      </c>
      <c r="K93" s="851"/>
      <c r="L93" s="853" t="e">
        <f>H93*J93</f>
        <v>#N/A</v>
      </c>
      <c r="M93" s="851" t="s">
        <v>120</v>
      </c>
      <c r="N93" s="842" t="e">
        <f>L93^2</f>
        <v>#N/A</v>
      </c>
      <c r="O93" s="843" t="s">
        <v>358</v>
      </c>
      <c r="P93" s="843" t="s">
        <v>359</v>
      </c>
      <c r="Q93" s="843">
        <v>50</v>
      </c>
      <c r="R93" s="844" t="e">
        <f t="shared" ref="R93:R95" si="2">(L93/$N$119)^2</f>
        <v>#N/A</v>
      </c>
      <c r="S93" s="289" t="e">
        <f t="shared" si="1"/>
        <v>#N/A</v>
      </c>
      <c r="T93" s="633"/>
    </row>
    <row r="94" spans="1:20" s="121" customFormat="1" ht="39.950000000000003" customHeight="1" x14ac:dyDescent="0.25">
      <c r="B94" s="1444" t="s">
        <v>365</v>
      </c>
      <c r="C94" s="1446"/>
      <c r="D94" s="850"/>
      <c r="E94" s="854" t="e">
        <f>E18</f>
        <v>#N/A</v>
      </c>
      <c r="F94" s="855" t="str">
        <f>F19</f>
        <v>mL</v>
      </c>
      <c r="G94" s="768">
        <f>SQRT(12)</f>
        <v>3.4641016151377544</v>
      </c>
      <c r="H94" s="768" t="e">
        <f>E94/G94</f>
        <v>#N/A</v>
      </c>
      <c r="I94" s="855" t="str">
        <f>F94</f>
        <v>mL</v>
      </c>
      <c r="J94" s="808">
        <f>K82</f>
        <v>1</v>
      </c>
      <c r="K94" s="855"/>
      <c r="L94" s="856" t="e">
        <f>H94*J94</f>
        <v>#N/A</v>
      </c>
      <c r="M94" s="855" t="s">
        <v>120</v>
      </c>
      <c r="N94" s="856" t="e">
        <f>L94^2</f>
        <v>#N/A</v>
      </c>
      <c r="O94" s="857" t="s">
        <v>358</v>
      </c>
      <c r="P94" s="857" t="s">
        <v>361</v>
      </c>
      <c r="Q94" s="857" t="s">
        <v>362</v>
      </c>
      <c r="R94" s="858" t="e">
        <f t="shared" si="2"/>
        <v>#N/A</v>
      </c>
      <c r="S94" s="289" t="e">
        <f t="shared" si="1"/>
        <v>#N/A</v>
      </c>
    </row>
    <row r="95" spans="1:20" s="12" customFormat="1" ht="39.950000000000003" customHeight="1" thickBot="1" x14ac:dyDescent="0.3">
      <c r="A95" s="716"/>
      <c r="B95" s="1444" t="s">
        <v>366</v>
      </c>
      <c r="C95" s="1446"/>
      <c r="D95" s="859"/>
      <c r="E95" s="860" t="e">
        <f>K18</f>
        <v>#N/A</v>
      </c>
      <c r="F95" s="861" t="str">
        <f>F19</f>
        <v>mL</v>
      </c>
      <c r="G95" s="591">
        <f>SQRT(12)</f>
        <v>3.4641016151377544</v>
      </c>
      <c r="H95" s="791" t="e">
        <f>E95/G95</f>
        <v>#N/A</v>
      </c>
      <c r="I95" s="861" t="str">
        <f>F95</f>
        <v>mL</v>
      </c>
      <c r="J95" s="862">
        <f>K82</f>
        <v>1</v>
      </c>
      <c r="K95" s="861"/>
      <c r="L95" s="863" t="e">
        <f>H95*J95</f>
        <v>#N/A</v>
      </c>
      <c r="M95" s="861" t="s">
        <v>120</v>
      </c>
      <c r="N95" s="846" t="e">
        <f>L95^2</f>
        <v>#N/A</v>
      </c>
      <c r="O95" s="847" t="s">
        <v>358</v>
      </c>
      <c r="P95" s="847" t="s">
        <v>361</v>
      </c>
      <c r="Q95" s="847" t="s">
        <v>362</v>
      </c>
      <c r="R95" s="848" t="e">
        <f t="shared" si="2"/>
        <v>#N/A</v>
      </c>
      <c r="S95" s="289" t="e">
        <f t="shared" si="1"/>
        <v>#N/A</v>
      </c>
      <c r="T95" s="633"/>
    </row>
    <row r="96" spans="1:20" s="12" customFormat="1" ht="5.0999999999999996" customHeight="1" thickBot="1" x14ac:dyDescent="0.3">
      <c r="A96" s="716"/>
      <c r="B96" s="272"/>
      <c r="C96" s="273"/>
      <c r="D96" s="864"/>
      <c r="E96" s="865"/>
      <c r="F96" s="865"/>
      <c r="G96" s="633"/>
      <c r="H96" s="633"/>
      <c r="I96" s="633"/>
      <c r="J96" s="633"/>
      <c r="K96" s="633"/>
      <c r="L96" s="633"/>
      <c r="M96" s="633"/>
      <c r="N96" s="633"/>
      <c r="O96" s="633"/>
      <c r="P96" s="633"/>
      <c r="Q96" s="633"/>
      <c r="R96" s="633"/>
      <c r="S96" s="289"/>
      <c r="T96" s="780"/>
    </row>
    <row r="97" spans="1:90" s="12" customFormat="1" ht="39.950000000000003" customHeight="1" thickBot="1" x14ac:dyDescent="0.3">
      <c r="A97" s="716"/>
      <c r="B97" s="1444" t="s">
        <v>367</v>
      </c>
      <c r="C97" s="1446"/>
      <c r="D97" s="277" t="e">
        <f>G47</f>
        <v>#N/A</v>
      </c>
      <c r="E97" s="898" t="e">
        <f>G47</f>
        <v>#N/A</v>
      </c>
      <c r="F97" s="899" t="s">
        <v>134</v>
      </c>
      <c r="G97" s="633"/>
      <c r="H97" s="633"/>
      <c r="I97" s="633"/>
      <c r="J97" s="633"/>
      <c r="K97" s="633"/>
      <c r="L97" s="633"/>
      <c r="M97" s="633"/>
      <c r="N97" s="633"/>
      <c r="O97" s="633"/>
      <c r="P97" s="633"/>
      <c r="Q97" s="633"/>
      <c r="R97" s="633"/>
      <c r="S97" s="289"/>
      <c r="T97" s="849"/>
      <c r="U97" s="868"/>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row>
    <row r="98" spans="1:90" s="12" customFormat="1" ht="39.950000000000003" customHeight="1" x14ac:dyDescent="0.25">
      <c r="A98" s="716"/>
      <c r="B98" s="1444" t="s">
        <v>368</v>
      </c>
      <c r="C98" s="1446"/>
      <c r="D98" s="276" t="e">
        <f>E11</f>
        <v>#N/A</v>
      </c>
      <c r="E98" s="583" t="e">
        <f>E9</f>
        <v>#N/A</v>
      </c>
      <c r="F98" s="900" t="s">
        <v>134</v>
      </c>
      <c r="G98" s="901">
        <f>SQRT(12)</f>
        <v>3.4641016151377544</v>
      </c>
      <c r="H98" s="583" t="e">
        <f>E98/G98</f>
        <v>#N/A</v>
      </c>
      <c r="I98" s="869" t="s">
        <v>134</v>
      </c>
      <c r="J98" s="690" t="e">
        <f>K68</f>
        <v>#N/A</v>
      </c>
      <c r="K98" s="843" t="s">
        <v>369</v>
      </c>
      <c r="L98" s="583" t="e">
        <f t="shared" ref="L98:L110" si="3">H98*J98</f>
        <v>#N/A</v>
      </c>
      <c r="M98" s="843" t="s">
        <v>120</v>
      </c>
      <c r="N98" s="842" t="e">
        <f t="shared" ref="N98:N110" si="4">L98^2</f>
        <v>#N/A</v>
      </c>
      <c r="O98" s="843" t="s">
        <v>370</v>
      </c>
      <c r="P98" s="843" t="s">
        <v>361</v>
      </c>
      <c r="Q98" s="843" t="s">
        <v>362</v>
      </c>
      <c r="R98" s="844" t="e">
        <f>IFERROR(L98/$N$119,"--")^2</f>
        <v>#VALUE!</v>
      </c>
      <c r="S98" s="289" t="e">
        <f t="shared" si="1"/>
        <v>#N/A</v>
      </c>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row>
    <row r="99" spans="1:90" s="121" customFormat="1" ht="39.950000000000003" customHeight="1" x14ac:dyDescent="0.25">
      <c r="B99" s="1444" t="s">
        <v>371</v>
      </c>
      <c r="C99" s="1446"/>
      <c r="D99" s="870"/>
      <c r="E99" s="571" t="e">
        <f>MAX(I8:I12)</f>
        <v>#N/A</v>
      </c>
      <c r="F99" s="902" t="str">
        <f>F14</f>
        <v>°C</v>
      </c>
      <c r="G99" s="652" t="e">
        <f>O9</f>
        <v>#N/A</v>
      </c>
      <c r="H99" s="623" t="e">
        <f t="shared" ref="H99:H111" si="5">E99/G99</f>
        <v>#N/A</v>
      </c>
      <c r="I99" s="871" t="s">
        <v>134</v>
      </c>
      <c r="J99" s="569" t="e">
        <f>K68</f>
        <v>#N/A</v>
      </c>
      <c r="K99" s="857" t="s">
        <v>369</v>
      </c>
      <c r="L99" s="623" t="e">
        <f t="shared" si="3"/>
        <v>#N/A</v>
      </c>
      <c r="M99" s="857" t="s">
        <v>120</v>
      </c>
      <c r="N99" s="856" t="e">
        <f t="shared" si="4"/>
        <v>#N/A</v>
      </c>
      <c r="O99" s="857" t="s">
        <v>358</v>
      </c>
      <c r="P99" s="857" t="s">
        <v>359</v>
      </c>
      <c r="Q99" s="857">
        <v>50</v>
      </c>
      <c r="R99" s="858" t="e">
        <f t="shared" ref="R99:R112" si="6">IFERROR(L99/$N$119,"--")^2</f>
        <v>#VALUE!</v>
      </c>
      <c r="S99" s="289" t="e">
        <f t="shared" si="1"/>
        <v>#N/A</v>
      </c>
    </row>
    <row r="100" spans="1:90" s="12" customFormat="1" ht="39.950000000000003" customHeight="1" x14ac:dyDescent="0.25">
      <c r="A100" s="716"/>
      <c r="B100" s="1444" t="s">
        <v>360</v>
      </c>
      <c r="C100" s="1446"/>
      <c r="D100" s="870"/>
      <c r="E100" s="808" t="e">
        <f>VLOOKUP(D97,C8:K12,9,TRUE)</f>
        <v>#N/A</v>
      </c>
      <c r="F100" s="902" t="str">
        <f>F14</f>
        <v>°C</v>
      </c>
      <c r="G100" s="767">
        <f>SQRT(12)</f>
        <v>3.4641016151377544</v>
      </c>
      <c r="H100" s="623" t="e">
        <f>E100/G100</f>
        <v>#N/A</v>
      </c>
      <c r="I100" s="871" t="s">
        <v>134</v>
      </c>
      <c r="J100" s="569" t="e">
        <f>K68</f>
        <v>#N/A</v>
      </c>
      <c r="K100" s="857" t="s">
        <v>369</v>
      </c>
      <c r="L100" s="623" t="e">
        <f t="shared" si="3"/>
        <v>#N/A</v>
      </c>
      <c r="M100" s="857" t="s">
        <v>120</v>
      </c>
      <c r="N100" s="856" t="e">
        <f t="shared" si="4"/>
        <v>#N/A</v>
      </c>
      <c r="O100" s="857" t="s">
        <v>358</v>
      </c>
      <c r="P100" s="857" t="s">
        <v>361</v>
      </c>
      <c r="Q100" s="857" t="s">
        <v>362</v>
      </c>
      <c r="R100" s="858" t="e">
        <f t="shared" si="6"/>
        <v>#VALUE!</v>
      </c>
      <c r="S100" s="289" t="e">
        <f t="shared" si="1"/>
        <v>#N/A</v>
      </c>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row>
    <row r="101" spans="1:90" s="12" customFormat="1" ht="39.950000000000003" customHeight="1" thickBot="1" x14ac:dyDescent="0.3">
      <c r="A101" s="716"/>
      <c r="B101" s="1444" t="s">
        <v>372</v>
      </c>
      <c r="C101" s="1446"/>
      <c r="D101" s="872"/>
      <c r="E101" s="592" t="e">
        <f>(MAX(D44:D46)-(MIN(D44:D46)))</f>
        <v>#N/A</v>
      </c>
      <c r="F101" s="903" t="str">
        <f>F14</f>
        <v>°C</v>
      </c>
      <c r="G101" s="656">
        <f>SQRT(12)</f>
        <v>3.4641016151377544</v>
      </c>
      <c r="H101" s="589" t="e">
        <f t="shared" si="5"/>
        <v>#N/A</v>
      </c>
      <c r="I101" s="845" t="s">
        <v>134</v>
      </c>
      <c r="J101" s="863" t="e">
        <f>K68</f>
        <v>#N/A</v>
      </c>
      <c r="K101" s="847" t="s">
        <v>369</v>
      </c>
      <c r="L101" s="589" t="e">
        <f t="shared" si="3"/>
        <v>#N/A</v>
      </c>
      <c r="M101" s="847" t="s">
        <v>120</v>
      </c>
      <c r="N101" s="846" t="e">
        <f t="shared" si="4"/>
        <v>#N/A</v>
      </c>
      <c r="O101" s="847" t="s">
        <v>370</v>
      </c>
      <c r="P101" s="847" t="s">
        <v>361</v>
      </c>
      <c r="Q101" s="847" t="s">
        <v>362</v>
      </c>
      <c r="R101" s="848" t="e">
        <f t="shared" si="6"/>
        <v>#VALUE!</v>
      </c>
      <c r="S101" s="289" t="e">
        <f t="shared" si="1"/>
        <v>#N/A</v>
      </c>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row>
    <row r="102" spans="1:90" s="12" customFormat="1" ht="39.950000000000003" customHeight="1" thickBot="1" x14ac:dyDescent="0.3">
      <c r="A102" s="716"/>
      <c r="B102" s="1444" t="s">
        <v>373</v>
      </c>
      <c r="C102" s="1446"/>
      <c r="D102" s="277" t="e">
        <f>N47</f>
        <v>#N/A</v>
      </c>
      <c r="E102" s="898">
        <f>M50</f>
        <v>0</v>
      </c>
      <c r="F102" s="899" t="str">
        <f>F14</f>
        <v>°C</v>
      </c>
      <c r="G102" s="633"/>
      <c r="H102" s="633"/>
      <c r="I102" s="633"/>
      <c r="J102" s="633"/>
      <c r="K102" s="633"/>
      <c r="L102" s="633"/>
      <c r="M102" s="633"/>
      <c r="N102" s="633"/>
      <c r="O102" s="633"/>
      <c r="P102" s="633"/>
      <c r="Q102" s="633"/>
      <c r="R102" s="875"/>
      <c r="S102" s="289"/>
      <c r="T102" s="849"/>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row>
    <row r="103" spans="1:90" s="12" customFormat="1" ht="39.950000000000003" customHeight="1" x14ac:dyDescent="0.25">
      <c r="A103" s="716"/>
      <c r="B103" s="1444" t="s">
        <v>368</v>
      </c>
      <c r="C103" s="1446"/>
      <c r="D103" s="253" t="e">
        <f>E14</f>
        <v>#N/A</v>
      </c>
      <c r="E103" s="583" t="e">
        <f>E14</f>
        <v>#N/A</v>
      </c>
      <c r="F103" s="904" t="str">
        <f>F14</f>
        <v>°C</v>
      </c>
      <c r="G103" s="901">
        <f>SQRT(12)</f>
        <v>3.4641016151377544</v>
      </c>
      <c r="H103" s="583" t="e">
        <f t="shared" si="5"/>
        <v>#N/A</v>
      </c>
      <c r="I103" s="869" t="s">
        <v>134</v>
      </c>
      <c r="J103" s="842" t="e">
        <f>K70</f>
        <v>#N/A</v>
      </c>
      <c r="K103" s="843" t="s">
        <v>369</v>
      </c>
      <c r="L103" s="583" t="e">
        <f t="shared" si="3"/>
        <v>#N/A</v>
      </c>
      <c r="M103" s="843" t="s">
        <v>120</v>
      </c>
      <c r="N103" s="842" t="e">
        <f t="shared" si="4"/>
        <v>#N/A</v>
      </c>
      <c r="O103" s="843" t="s">
        <v>370</v>
      </c>
      <c r="P103" s="843" t="s">
        <v>361</v>
      </c>
      <c r="Q103" s="843" t="s">
        <v>362</v>
      </c>
      <c r="R103" s="844" t="e">
        <f t="shared" si="6"/>
        <v>#VALUE!</v>
      </c>
      <c r="S103" s="289" t="e">
        <f t="shared" si="1"/>
        <v>#N/A</v>
      </c>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row>
    <row r="104" spans="1:90" s="121" customFormat="1" ht="39.950000000000003" customHeight="1" x14ac:dyDescent="0.25">
      <c r="B104" s="1441" t="s">
        <v>371</v>
      </c>
      <c r="C104" s="1443"/>
      <c r="D104" s="870"/>
      <c r="E104" s="571" t="e">
        <f>MAX(I13:I17)</f>
        <v>#N/A</v>
      </c>
      <c r="F104" s="902" t="str">
        <f>F14</f>
        <v>°C</v>
      </c>
      <c r="G104" s="905" t="e">
        <f>O14</f>
        <v>#N/A</v>
      </c>
      <c r="H104" s="623" t="e">
        <f t="shared" si="5"/>
        <v>#N/A</v>
      </c>
      <c r="I104" s="871" t="s">
        <v>134</v>
      </c>
      <c r="J104" s="856" t="e">
        <f>K70</f>
        <v>#N/A</v>
      </c>
      <c r="K104" s="857" t="s">
        <v>369</v>
      </c>
      <c r="L104" s="623" t="e">
        <f>H104*J104</f>
        <v>#N/A</v>
      </c>
      <c r="M104" s="857" t="s">
        <v>120</v>
      </c>
      <c r="N104" s="856" t="e">
        <f>L104^2</f>
        <v>#N/A</v>
      </c>
      <c r="O104" s="857" t="s">
        <v>358</v>
      </c>
      <c r="P104" s="857" t="s">
        <v>359</v>
      </c>
      <c r="Q104" s="857">
        <v>50</v>
      </c>
      <c r="R104" s="858" t="e">
        <f t="shared" si="6"/>
        <v>#VALUE!</v>
      </c>
      <c r="S104" s="289" t="e">
        <f t="shared" si="1"/>
        <v>#N/A</v>
      </c>
    </row>
    <row r="105" spans="1:90" s="12" customFormat="1" ht="39.950000000000003" customHeight="1" x14ac:dyDescent="0.25">
      <c r="A105" s="716"/>
      <c r="B105" s="1441" t="s">
        <v>360</v>
      </c>
      <c r="C105" s="1443"/>
      <c r="D105" s="833"/>
      <c r="E105" s="654" t="e">
        <f>VLOOKUP(D102,C13:K17,9,TRUE)</f>
        <v>#N/A</v>
      </c>
      <c r="F105" s="902" t="str">
        <f>F14</f>
        <v>°C</v>
      </c>
      <c r="G105" s="767">
        <f>SQRT(12)</f>
        <v>3.4641016151377544</v>
      </c>
      <c r="H105" s="623" t="e">
        <f t="shared" si="5"/>
        <v>#N/A</v>
      </c>
      <c r="I105" s="871" t="s">
        <v>134</v>
      </c>
      <c r="J105" s="856" t="e">
        <f>K70</f>
        <v>#N/A</v>
      </c>
      <c r="K105" s="857" t="s">
        <v>369</v>
      </c>
      <c r="L105" s="623" t="e">
        <f t="shared" si="3"/>
        <v>#N/A</v>
      </c>
      <c r="M105" s="857" t="s">
        <v>120</v>
      </c>
      <c r="N105" s="856" t="e">
        <f t="shared" si="4"/>
        <v>#N/A</v>
      </c>
      <c r="O105" s="857" t="s">
        <v>358</v>
      </c>
      <c r="P105" s="857" t="s">
        <v>361</v>
      </c>
      <c r="Q105" s="857" t="s">
        <v>362</v>
      </c>
      <c r="R105" s="858" t="e">
        <f t="shared" si="6"/>
        <v>#VALUE!</v>
      </c>
      <c r="S105" s="289" t="e">
        <f t="shared" si="1"/>
        <v>#N/A</v>
      </c>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row>
    <row r="106" spans="1:90" s="12" customFormat="1" ht="39.950000000000003" customHeight="1" thickBot="1" x14ac:dyDescent="0.3">
      <c r="A106" s="716"/>
      <c r="B106" s="1441" t="s">
        <v>372</v>
      </c>
      <c r="C106" s="1443"/>
      <c r="D106" s="269"/>
      <c r="E106" s="591" t="e">
        <f>(MAX(J44:J46)-(MIN(J44:J46)))</f>
        <v>#N/A</v>
      </c>
      <c r="F106" s="903" t="str">
        <f>F14</f>
        <v>°C</v>
      </c>
      <c r="G106" s="656">
        <f>SQRT(12)</f>
        <v>3.4641016151377544</v>
      </c>
      <c r="H106" s="589" t="e">
        <f t="shared" si="5"/>
        <v>#N/A</v>
      </c>
      <c r="I106" s="845" t="s">
        <v>134</v>
      </c>
      <c r="J106" s="846" t="e">
        <f>K70</f>
        <v>#N/A</v>
      </c>
      <c r="K106" s="847" t="s">
        <v>369</v>
      </c>
      <c r="L106" s="589" t="e">
        <f t="shared" si="3"/>
        <v>#N/A</v>
      </c>
      <c r="M106" s="847" t="s">
        <v>120</v>
      </c>
      <c r="N106" s="846" t="e">
        <f t="shared" si="4"/>
        <v>#N/A</v>
      </c>
      <c r="O106" s="847" t="s">
        <v>370</v>
      </c>
      <c r="P106" s="847" t="s">
        <v>361</v>
      </c>
      <c r="Q106" s="847" t="s">
        <v>362</v>
      </c>
      <c r="R106" s="848" t="e">
        <f t="shared" si="6"/>
        <v>#VALUE!</v>
      </c>
      <c r="S106" s="289" t="e">
        <f t="shared" si="1"/>
        <v>#N/A</v>
      </c>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row>
    <row r="107" spans="1:90" s="12" customFormat="1" ht="45.95" customHeight="1" thickBot="1" x14ac:dyDescent="0.3">
      <c r="A107" s="716"/>
      <c r="B107" s="1441" t="s">
        <v>374</v>
      </c>
      <c r="C107" s="1443"/>
      <c r="D107" s="278" t="e">
        <f>D37</f>
        <v>#N/A</v>
      </c>
      <c r="E107" s="906" t="e">
        <f>D37</f>
        <v>#N/A</v>
      </c>
      <c r="F107" s="907" t="s">
        <v>122</v>
      </c>
      <c r="G107" s="633"/>
      <c r="H107" s="633"/>
      <c r="I107" s="633"/>
      <c r="J107" s="633"/>
      <c r="K107" s="633"/>
      <c r="L107" s="633"/>
      <c r="M107" s="633"/>
      <c r="N107" s="633"/>
      <c r="O107" s="633"/>
      <c r="P107" s="633"/>
      <c r="Q107" s="633"/>
      <c r="R107" s="849"/>
      <c r="S107" s="289"/>
      <c r="T107" s="849"/>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row>
    <row r="108" spans="1:90" s="121" customFormat="1" ht="45.95" customHeight="1" x14ac:dyDescent="0.25">
      <c r="A108" s="716"/>
      <c r="B108" s="1441" t="s">
        <v>375</v>
      </c>
      <c r="C108" s="1442"/>
      <c r="D108" s="267"/>
      <c r="E108" s="878" t="e">
        <f>(D37*5%)</f>
        <v>#N/A</v>
      </c>
      <c r="F108" s="843" t="s">
        <v>122</v>
      </c>
      <c r="G108" s="583">
        <f>SQRT(3)</f>
        <v>1.7320508075688772</v>
      </c>
      <c r="H108" s="583" t="e">
        <f>E108/G108</f>
        <v>#N/A</v>
      </c>
      <c r="I108" s="843" t="s">
        <v>122</v>
      </c>
      <c r="J108" s="853" t="e">
        <f>K76</f>
        <v>#N/A</v>
      </c>
      <c r="K108" s="843" t="s">
        <v>337</v>
      </c>
      <c r="L108" s="583" t="e">
        <f t="shared" si="3"/>
        <v>#N/A</v>
      </c>
      <c r="M108" s="843" t="s">
        <v>120</v>
      </c>
      <c r="N108" s="842" t="e">
        <f t="shared" si="4"/>
        <v>#N/A</v>
      </c>
      <c r="O108" s="843" t="s">
        <v>376</v>
      </c>
      <c r="P108" s="843" t="s">
        <v>361</v>
      </c>
      <c r="Q108" s="843" t="s">
        <v>362</v>
      </c>
      <c r="R108" s="844" t="e">
        <f t="shared" si="6"/>
        <v>#VALUE!</v>
      </c>
      <c r="S108" s="289" t="e">
        <f t="shared" si="1"/>
        <v>#N/A</v>
      </c>
    </row>
    <row r="109" spans="1:90" s="123" customFormat="1" ht="45.95" customHeight="1" x14ac:dyDescent="0.25">
      <c r="A109" s="716"/>
      <c r="B109" s="1441" t="s">
        <v>288</v>
      </c>
      <c r="C109" s="1442"/>
      <c r="D109" s="31" t="s">
        <v>252</v>
      </c>
      <c r="E109" s="879" t="e">
        <f>(D33*5%)</f>
        <v>#N/A</v>
      </c>
      <c r="F109" s="857" t="s">
        <v>122</v>
      </c>
      <c r="G109" s="623">
        <f>SQRT(3)</f>
        <v>1.7320508075688772</v>
      </c>
      <c r="H109" s="623" t="e">
        <f t="shared" si="5"/>
        <v>#N/A</v>
      </c>
      <c r="I109" s="857" t="s">
        <v>122</v>
      </c>
      <c r="J109" s="571" t="e">
        <f>K72</f>
        <v>#N/A</v>
      </c>
      <c r="K109" s="857" t="s">
        <v>337</v>
      </c>
      <c r="L109" s="623" t="e">
        <f t="shared" si="3"/>
        <v>#N/A</v>
      </c>
      <c r="M109" s="857" t="s">
        <v>120</v>
      </c>
      <c r="N109" s="856" t="e">
        <f t="shared" si="4"/>
        <v>#N/A</v>
      </c>
      <c r="O109" s="857" t="s">
        <v>377</v>
      </c>
      <c r="P109" s="857" t="s">
        <v>361</v>
      </c>
      <c r="Q109" s="857" t="s">
        <v>362</v>
      </c>
      <c r="R109" s="858" t="e">
        <f t="shared" si="6"/>
        <v>#VALUE!</v>
      </c>
      <c r="S109" s="289" t="e">
        <f t="shared" si="1"/>
        <v>#N/A</v>
      </c>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c r="BM109" s="633"/>
      <c r="BN109" s="633"/>
      <c r="BO109" s="633"/>
      <c r="BP109" s="633"/>
      <c r="BQ109" s="633"/>
      <c r="BR109" s="633"/>
      <c r="BS109" s="633"/>
      <c r="BT109" s="633"/>
      <c r="BU109" s="633"/>
      <c r="BV109" s="633"/>
      <c r="BW109" s="633"/>
      <c r="BX109" s="633"/>
      <c r="BY109" s="633"/>
      <c r="BZ109" s="633"/>
      <c r="CA109" s="633"/>
      <c r="CB109" s="633"/>
      <c r="CC109" s="633"/>
      <c r="CD109" s="633"/>
      <c r="CE109" s="633"/>
      <c r="CF109" s="633"/>
      <c r="CG109" s="633"/>
      <c r="CH109" s="633"/>
      <c r="CI109" s="633"/>
      <c r="CJ109" s="633"/>
      <c r="CK109" s="633"/>
      <c r="CL109" s="633"/>
    </row>
    <row r="110" spans="1:90" s="121" customFormat="1" ht="45.95" customHeight="1" x14ac:dyDescent="0.25">
      <c r="B110" s="1441" t="s">
        <v>288</v>
      </c>
      <c r="C110" s="1442"/>
      <c r="D110" s="31" t="s">
        <v>268</v>
      </c>
      <c r="E110" s="879" t="e">
        <f>(F33*5%)</f>
        <v>#N/A</v>
      </c>
      <c r="F110" s="857" t="s">
        <v>122</v>
      </c>
      <c r="G110" s="623">
        <f>SQRT(3)</f>
        <v>1.7320508075688772</v>
      </c>
      <c r="H110" s="623" t="e">
        <f t="shared" si="5"/>
        <v>#N/A</v>
      </c>
      <c r="I110" s="857" t="s">
        <v>122</v>
      </c>
      <c r="J110" s="571" t="e">
        <f>K74</f>
        <v>#N/A</v>
      </c>
      <c r="K110" s="857" t="s">
        <v>337</v>
      </c>
      <c r="L110" s="623" t="e">
        <f t="shared" si="3"/>
        <v>#N/A</v>
      </c>
      <c r="M110" s="857" t="s">
        <v>120</v>
      </c>
      <c r="N110" s="856" t="e">
        <f t="shared" si="4"/>
        <v>#N/A</v>
      </c>
      <c r="O110" s="857" t="s">
        <v>378</v>
      </c>
      <c r="P110" s="857" t="s">
        <v>361</v>
      </c>
      <c r="Q110" s="857" t="s">
        <v>362</v>
      </c>
      <c r="R110" s="858" t="e">
        <f t="shared" si="6"/>
        <v>#VALUE!</v>
      </c>
      <c r="S110" s="289" t="e">
        <f t="shared" si="1"/>
        <v>#N/A</v>
      </c>
    </row>
    <row r="111" spans="1:90" s="12" customFormat="1" ht="45.95" customHeight="1" x14ac:dyDescent="0.25">
      <c r="A111" s="716"/>
      <c r="B111" s="1441" t="s">
        <v>288</v>
      </c>
      <c r="C111" s="1442"/>
      <c r="D111" s="31" t="s">
        <v>379</v>
      </c>
      <c r="E111" s="879" t="e">
        <f>(D36*7.5%)</f>
        <v>#N/A</v>
      </c>
      <c r="F111" s="857" t="s">
        <v>122</v>
      </c>
      <c r="G111" s="623">
        <f>SQRT(12)</f>
        <v>3.4641016151377544</v>
      </c>
      <c r="H111" s="569" t="e">
        <f t="shared" si="5"/>
        <v>#N/A</v>
      </c>
      <c r="I111" s="857" t="s">
        <v>122</v>
      </c>
      <c r="J111" s="808">
        <f>K82</f>
        <v>1</v>
      </c>
      <c r="K111" s="857" t="s">
        <v>337</v>
      </c>
      <c r="L111" s="569" t="e">
        <f>H111*J111</f>
        <v>#N/A</v>
      </c>
      <c r="M111" s="857" t="s">
        <v>120</v>
      </c>
      <c r="N111" s="856" t="e">
        <f>L111^2</f>
        <v>#N/A</v>
      </c>
      <c r="O111" s="857" t="s">
        <v>378</v>
      </c>
      <c r="P111" s="857" t="s">
        <v>361</v>
      </c>
      <c r="Q111" s="857" t="s">
        <v>362</v>
      </c>
      <c r="R111" s="858" t="e">
        <f t="shared" si="6"/>
        <v>#VALUE!</v>
      </c>
      <c r="S111" s="289" t="e">
        <f t="shared" si="1"/>
        <v>#N/A</v>
      </c>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row>
    <row r="112" spans="1:90" s="12" customFormat="1" ht="45.95" customHeight="1" thickBot="1" x14ac:dyDescent="0.3">
      <c r="A112" s="716"/>
      <c r="B112" s="1439" t="s">
        <v>380</v>
      </c>
      <c r="C112" s="1440"/>
      <c r="D112" s="32"/>
      <c r="E112" s="880">
        <v>0.25703300000000001</v>
      </c>
      <c r="F112" s="847" t="s">
        <v>120</v>
      </c>
      <c r="G112" s="589">
        <f>SQRT(9)</f>
        <v>3</v>
      </c>
      <c r="H112" s="863">
        <f>E112/G112</f>
        <v>8.5677666666666666E-2</v>
      </c>
      <c r="I112" s="847" t="s">
        <v>120</v>
      </c>
      <c r="J112" s="862">
        <v>1</v>
      </c>
      <c r="K112" s="847" t="s">
        <v>120</v>
      </c>
      <c r="L112" s="863">
        <f>H112*J112</f>
        <v>8.5677666666666666E-2</v>
      </c>
      <c r="M112" s="847" t="s">
        <v>120</v>
      </c>
      <c r="N112" s="846">
        <f>L112^2</f>
        <v>7.3406625654444443E-3</v>
      </c>
      <c r="O112" s="847" t="s">
        <v>381</v>
      </c>
      <c r="P112" s="847" t="s">
        <v>382</v>
      </c>
      <c r="Q112" s="847">
        <v>6</v>
      </c>
      <c r="R112" s="848" t="e">
        <f t="shared" si="6"/>
        <v>#VALUE!</v>
      </c>
      <c r="S112" s="289" t="e">
        <f t="shared" si="1"/>
        <v>#N/A</v>
      </c>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633"/>
      <c r="CD112" s="633"/>
      <c r="CE112" s="633"/>
      <c r="CF112" s="633"/>
      <c r="CG112" s="633"/>
      <c r="CH112" s="633"/>
      <c r="CI112" s="633"/>
      <c r="CJ112" s="633"/>
      <c r="CK112" s="633"/>
      <c r="CL112" s="633"/>
    </row>
    <row r="113" spans="1:31" s="12" customFormat="1" ht="30" customHeight="1" x14ac:dyDescent="0.25">
      <c r="A113" s="110"/>
      <c r="B113" s="633"/>
      <c r="C113" s="633"/>
      <c r="D113" s="633"/>
      <c r="E113" s="881"/>
      <c r="F113" s="633"/>
      <c r="G113" s="633"/>
      <c r="H113" s="633"/>
      <c r="I113" s="633"/>
      <c r="J113" s="633"/>
      <c r="K113" s="633"/>
      <c r="L113" s="633"/>
      <c r="M113" s="633"/>
      <c r="N113" s="633"/>
      <c r="O113" s="633"/>
      <c r="P113" s="633"/>
      <c r="Q113" s="633"/>
      <c r="R113" s="882"/>
      <c r="S113" s="289"/>
      <c r="T113" s="633"/>
      <c r="U113" s="633"/>
      <c r="V113" s="633"/>
      <c r="W113" s="633"/>
      <c r="X113" s="633"/>
      <c r="Y113" s="633"/>
      <c r="Z113" s="633"/>
      <c r="AA113" s="633"/>
      <c r="AB113" s="633"/>
      <c r="AC113" s="633"/>
      <c r="AD113" s="633"/>
      <c r="AE113" s="633"/>
    </row>
    <row r="114" spans="1:31" s="12" customFormat="1" ht="30" customHeight="1" thickBot="1" x14ac:dyDescent="0.3">
      <c r="A114" s="110"/>
      <c r="B114" s="1447" t="s">
        <v>383</v>
      </c>
      <c r="C114" s="1448"/>
      <c r="D114" s="1449"/>
      <c r="E114" s="1449"/>
      <c r="F114" s="1449"/>
      <c r="G114" s="1449"/>
      <c r="H114" s="1449"/>
      <c r="I114" s="1449"/>
      <c r="J114" s="1449"/>
      <c r="K114" s="1449"/>
      <c r="L114" s="1449"/>
      <c r="M114" s="1449"/>
      <c r="N114" s="1449"/>
      <c r="O114" s="1449"/>
      <c r="P114" s="1449"/>
      <c r="Q114" s="1449"/>
      <c r="R114" s="1450"/>
      <c r="S114" s="289"/>
      <c r="T114" s="633"/>
      <c r="U114" s="633"/>
      <c r="V114" s="633"/>
      <c r="W114" s="633"/>
      <c r="X114" s="633"/>
      <c r="Y114" s="633"/>
      <c r="Z114" s="633"/>
      <c r="AA114" s="633"/>
      <c r="AB114" s="633"/>
      <c r="AC114" s="633"/>
      <c r="AD114" s="633"/>
      <c r="AE114" s="633"/>
    </row>
    <row r="115" spans="1:31" s="12" customFormat="1" ht="30" customHeight="1" x14ac:dyDescent="0.25">
      <c r="A115" s="716"/>
      <c r="B115" s="1459" t="s">
        <v>384</v>
      </c>
      <c r="C115" s="1460"/>
      <c r="D115" s="286"/>
      <c r="E115" s="583" t="e">
        <f>(PI()*(D34)^2/4)*D35</f>
        <v>#N/A</v>
      </c>
      <c r="F115" s="843" t="s">
        <v>120</v>
      </c>
      <c r="G115" s="583">
        <f>SQRT(3)</f>
        <v>1.7320508075688772</v>
      </c>
      <c r="H115" s="583" t="e">
        <f>E115/G115</f>
        <v>#N/A</v>
      </c>
      <c r="I115" s="843" t="s">
        <v>120</v>
      </c>
      <c r="J115" s="583">
        <v>1</v>
      </c>
      <c r="K115" s="843"/>
      <c r="L115" s="583" t="e">
        <f>H115*J115</f>
        <v>#N/A</v>
      </c>
      <c r="M115" s="843" t="s">
        <v>120</v>
      </c>
      <c r="N115" s="842" t="e">
        <f>L115^2</f>
        <v>#N/A</v>
      </c>
      <c r="O115" s="843" t="s">
        <v>385</v>
      </c>
      <c r="P115" s="843" t="s">
        <v>361</v>
      </c>
      <c r="Q115" s="843" t="s">
        <v>362</v>
      </c>
      <c r="R115" s="844" t="e">
        <f t="shared" ref="R115:R118" si="7">IFERROR(L115/$N$119,"--")^2</f>
        <v>#VALUE!</v>
      </c>
      <c r="S115" s="289" t="e">
        <f t="shared" si="1"/>
        <v>#N/A</v>
      </c>
      <c r="T115" s="633"/>
      <c r="U115" s="633"/>
      <c r="V115" s="633"/>
      <c r="W115" s="633"/>
      <c r="X115" s="633"/>
      <c r="Y115" s="633"/>
      <c r="Z115" s="633"/>
      <c r="AA115" s="633"/>
      <c r="AB115" s="633"/>
      <c r="AC115" s="633"/>
      <c r="AD115" s="633"/>
      <c r="AE115" s="633"/>
    </row>
    <row r="116" spans="1:31" s="12" customFormat="1" ht="30" customHeight="1" x14ac:dyDescent="0.25">
      <c r="A116" s="633"/>
      <c r="B116" s="1444" t="s">
        <v>386</v>
      </c>
      <c r="C116" s="1445"/>
      <c r="D116" s="287"/>
      <c r="E116" s="697" t="e">
        <f>(PI()*(1.5/2)^2*F35)+(PI()*(F34/2)^2*F35)</f>
        <v>#N/A</v>
      </c>
      <c r="F116" s="857" t="s">
        <v>120</v>
      </c>
      <c r="G116" s="623">
        <f>SQRT(3)</f>
        <v>1.7320508075688772</v>
      </c>
      <c r="H116" s="623" t="e">
        <f>E116/G116</f>
        <v>#N/A</v>
      </c>
      <c r="I116" s="857" t="s">
        <v>120</v>
      </c>
      <c r="J116" s="623">
        <v>1</v>
      </c>
      <c r="K116" s="857"/>
      <c r="L116" s="623" t="e">
        <f>H116*J116</f>
        <v>#N/A</v>
      </c>
      <c r="M116" s="857" t="s">
        <v>120</v>
      </c>
      <c r="N116" s="856" t="e">
        <f>L116^2</f>
        <v>#N/A</v>
      </c>
      <c r="O116" s="857" t="s">
        <v>385</v>
      </c>
      <c r="P116" s="857" t="s">
        <v>361</v>
      </c>
      <c r="Q116" s="857" t="s">
        <v>362</v>
      </c>
      <c r="R116" s="858" t="e">
        <f t="shared" si="7"/>
        <v>#VALUE!</v>
      </c>
      <c r="S116" s="289" t="e">
        <f t="shared" si="1"/>
        <v>#N/A</v>
      </c>
      <c r="T116" s="633"/>
      <c r="U116" s="633"/>
      <c r="V116" s="633"/>
      <c r="W116" s="633"/>
      <c r="X116" s="633"/>
      <c r="Y116" s="633"/>
      <c r="Z116" s="633"/>
      <c r="AA116" s="633"/>
      <c r="AB116" s="633"/>
      <c r="AC116" s="633"/>
      <c r="AD116" s="633"/>
      <c r="AE116" s="633"/>
    </row>
    <row r="117" spans="1:31" s="12" customFormat="1" ht="39.950000000000003" customHeight="1" x14ac:dyDescent="0.25">
      <c r="A117" s="633"/>
      <c r="B117" s="1444" t="s">
        <v>387</v>
      </c>
      <c r="C117" s="1445"/>
      <c r="D117" s="287"/>
      <c r="E117" s="856" t="e">
        <f>H59</f>
        <v>#N/A</v>
      </c>
      <c r="F117" s="857" t="s">
        <v>120</v>
      </c>
      <c r="G117" s="697">
        <f>SQRT(B46)</f>
        <v>1.7320508075688772</v>
      </c>
      <c r="H117" s="856" t="e">
        <f>E117/G117</f>
        <v>#N/A</v>
      </c>
      <c r="I117" s="857" t="s">
        <v>120</v>
      </c>
      <c r="J117" s="623">
        <v>1</v>
      </c>
      <c r="K117" s="857"/>
      <c r="L117" s="623" t="e">
        <f>H117*J117</f>
        <v>#N/A</v>
      </c>
      <c r="M117" s="857" t="s">
        <v>120</v>
      </c>
      <c r="N117" s="856" t="e">
        <f>L117^2</f>
        <v>#N/A</v>
      </c>
      <c r="O117" s="857" t="s">
        <v>388</v>
      </c>
      <c r="P117" s="857" t="s">
        <v>359</v>
      </c>
      <c r="Q117" s="857">
        <f>B46-1</f>
        <v>2</v>
      </c>
      <c r="R117" s="858" t="e">
        <f t="shared" si="7"/>
        <v>#VALUE!</v>
      </c>
      <c r="S117" s="289" t="e">
        <f t="shared" si="1"/>
        <v>#N/A</v>
      </c>
      <c r="T117" s="633"/>
      <c r="U117" s="633"/>
      <c r="V117" s="633"/>
      <c r="W117" s="633"/>
      <c r="X117" s="633"/>
      <c r="Y117" s="633"/>
      <c r="Z117" s="633"/>
      <c r="AA117" s="633"/>
      <c r="AB117" s="633"/>
      <c r="AC117" s="633"/>
      <c r="AD117" s="633"/>
      <c r="AE117" s="633"/>
    </row>
    <row r="118" spans="1:31" s="12" customFormat="1" ht="30" customHeight="1" thickBot="1" x14ac:dyDescent="0.3">
      <c r="A118" s="124" t="s">
        <v>389</v>
      </c>
      <c r="B118" s="1461" t="s">
        <v>390</v>
      </c>
      <c r="C118" s="1462"/>
      <c r="D118" s="288"/>
      <c r="E118" s="591" t="e">
        <f>C122*0.01%</f>
        <v>#N/A</v>
      </c>
      <c r="F118" s="847" t="s">
        <v>120</v>
      </c>
      <c r="G118" s="589">
        <v>1</v>
      </c>
      <c r="H118" s="589" t="e">
        <f>E118/G118</f>
        <v>#N/A</v>
      </c>
      <c r="I118" s="847" t="s">
        <v>120</v>
      </c>
      <c r="J118" s="589">
        <v>1</v>
      </c>
      <c r="K118" s="847"/>
      <c r="L118" s="589" t="e">
        <f>H118*J118</f>
        <v>#N/A</v>
      </c>
      <c r="M118" s="847" t="s">
        <v>120</v>
      </c>
      <c r="N118" s="846" t="e">
        <f>L118^2</f>
        <v>#N/A</v>
      </c>
      <c r="O118" s="847" t="s">
        <v>391</v>
      </c>
      <c r="P118" s="847" t="s">
        <v>359</v>
      </c>
      <c r="Q118" s="847" t="s">
        <v>362</v>
      </c>
      <c r="R118" s="848" t="e">
        <f t="shared" si="7"/>
        <v>#VALUE!</v>
      </c>
      <c r="S118" s="849" t="e">
        <f t="shared" si="1"/>
        <v>#N/A</v>
      </c>
      <c r="T118" s="633"/>
      <c r="U118" s="633"/>
      <c r="V118" s="633"/>
      <c r="W118" s="633"/>
      <c r="X118" s="633"/>
      <c r="Y118" s="633"/>
      <c r="Z118" s="633"/>
      <c r="AA118" s="633"/>
      <c r="AB118" s="633"/>
      <c r="AC118" s="633"/>
      <c r="AD118" s="633"/>
      <c r="AE118" s="633"/>
    </row>
    <row r="119" spans="1:31" s="12" customFormat="1" ht="45.75" customHeight="1" thickBot="1" x14ac:dyDescent="0.3">
      <c r="A119" s="716"/>
      <c r="B119" s="633"/>
      <c r="C119" s="633"/>
      <c r="D119" s="633"/>
      <c r="E119" s="633"/>
      <c r="F119" s="633"/>
      <c r="G119" s="633"/>
      <c r="H119" s="633"/>
      <c r="I119" s="633"/>
      <c r="J119" s="633"/>
      <c r="K119" s="633"/>
      <c r="L119" s="125"/>
      <c r="M119" s="126"/>
      <c r="N119" s="43" t="e">
        <f>SQRT(SUM(N89:N90,N93:N95,N98:N101,N103:N106,N108:N111,N112,N115,N116,N117,N118))</f>
        <v>#N/A</v>
      </c>
      <c r="O119" s="633"/>
      <c r="P119" s="633"/>
      <c r="Q119" s="633"/>
      <c r="R119" s="884" t="e">
        <f>SUM(R89:R90,R93:R95,R98:R101,R103:R106,R108:R112,R114:R118)</f>
        <v>#N/A</v>
      </c>
      <c r="S119" s="633"/>
      <c r="T119" s="633"/>
      <c r="U119" s="633"/>
      <c r="V119" s="633"/>
      <c r="W119" s="633"/>
      <c r="X119" s="633"/>
      <c r="Y119" s="633"/>
      <c r="Z119" s="633"/>
      <c r="AA119" s="633"/>
      <c r="AB119" s="633"/>
      <c r="AC119" s="633"/>
      <c r="AD119" s="633"/>
      <c r="AE119" s="633"/>
    </row>
    <row r="120" spans="1:31" s="12" customFormat="1" ht="41.25" customHeight="1" thickBot="1" x14ac:dyDescent="0.3">
      <c r="A120" s="716"/>
      <c r="B120" s="1433" t="s">
        <v>392</v>
      </c>
      <c r="C120" s="1434"/>
      <c r="D120" s="1434"/>
      <c r="E120" s="1434"/>
      <c r="F120" s="1434"/>
      <c r="G120" s="1434"/>
      <c r="H120" s="1434"/>
      <c r="I120" s="1435"/>
      <c r="J120" s="633"/>
      <c r="K120" s="716"/>
      <c r="L120" s="1453" t="s">
        <v>393</v>
      </c>
      <c r="M120" s="1454"/>
      <c r="N120" s="80" t="e">
        <f>E122*N119</f>
        <v>#N/A</v>
      </c>
      <c r="O120" s="716"/>
      <c r="P120" s="716"/>
      <c r="Q120" s="633"/>
      <c r="R120" s="36"/>
      <c r="S120" s="633"/>
      <c r="T120" s="633"/>
      <c r="U120" s="633"/>
      <c r="V120" s="122"/>
      <c r="W120" s="122"/>
      <c r="X120" s="633"/>
      <c r="Y120" s="633"/>
      <c r="Z120" s="633"/>
      <c r="AA120" s="633"/>
      <c r="AB120" s="633"/>
      <c r="AC120" s="633"/>
      <c r="AD120" s="633"/>
      <c r="AE120" s="633"/>
    </row>
    <row r="121" spans="1:31" s="12" customFormat="1" ht="34.5" customHeight="1" thickBot="1" x14ac:dyDescent="0.3">
      <c r="A121" s="716"/>
      <c r="B121" s="127"/>
      <c r="C121" s="128" t="s">
        <v>394</v>
      </c>
      <c r="D121" s="129" t="s">
        <v>395</v>
      </c>
      <c r="E121" s="129" t="s">
        <v>396</v>
      </c>
      <c r="F121" s="129" t="s">
        <v>397</v>
      </c>
      <c r="G121" s="129" t="s">
        <v>398</v>
      </c>
      <c r="H121" s="129" t="s">
        <v>399</v>
      </c>
      <c r="I121" s="130" t="s">
        <v>400</v>
      </c>
      <c r="J121" s="633"/>
      <c r="K121" s="886"/>
      <c r="L121" s="1455" t="s">
        <v>401</v>
      </c>
      <c r="M121" s="1456"/>
      <c r="N121" s="42" t="e">
        <f>(N119^4)/((L89^4/Q89)+(L99^4/Q99)+(L104^4/Q104)+(L93^4/Q93)+(L112^4/Q112)+(L117^4/Q117))</f>
        <v>#N/A</v>
      </c>
      <c r="O121" s="716"/>
      <c r="P121" s="633"/>
      <c r="Q121" s="633"/>
      <c r="R121" s="633"/>
      <c r="S121" s="633"/>
      <c r="T121" s="633"/>
      <c r="U121" s="633"/>
      <c r="V121" s="633"/>
      <c r="W121" s="633"/>
      <c r="X121" s="633"/>
      <c r="Y121" s="633"/>
      <c r="Z121" s="633"/>
      <c r="AA121" s="633"/>
      <c r="AB121" s="633"/>
      <c r="AC121" s="633"/>
      <c r="AD121" s="633"/>
      <c r="AE121" s="633"/>
    </row>
    <row r="122" spans="1:31" s="12" customFormat="1" ht="30" customHeight="1" thickBot="1" x14ac:dyDescent="0.3">
      <c r="A122" s="716"/>
      <c r="B122" s="174" t="s">
        <v>120</v>
      </c>
      <c r="C122" s="198" t="e">
        <f>H58</f>
        <v>#N/A</v>
      </c>
      <c r="D122" s="689" t="e">
        <f>N119</f>
        <v>#N/A</v>
      </c>
      <c r="E122" s="1463" t="str">
        <f>N125</f>
        <v>2</v>
      </c>
      <c r="F122" s="689" t="e">
        <f>(D122*E122)</f>
        <v>#N/A</v>
      </c>
      <c r="G122" s="1466">
        <v>95</v>
      </c>
      <c r="H122" s="689" t="e">
        <f>C122-C7</f>
        <v>#N/A</v>
      </c>
      <c r="I122" s="887" t="e">
        <f>ABS(H122)</f>
        <v>#N/A</v>
      </c>
      <c r="J122" s="633"/>
      <c r="K122" s="888"/>
      <c r="L122" s="633"/>
      <c r="M122" s="633"/>
      <c r="N122" s="633"/>
      <c r="O122" s="716"/>
      <c r="P122" s="633"/>
      <c r="Q122" s="633"/>
      <c r="R122" s="633"/>
      <c r="S122" s="633"/>
      <c r="T122" s="633"/>
      <c r="U122" s="633"/>
      <c r="V122" s="633"/>
      <c r="W122" s="633"/>
      <c r="X122" s="633"/>
      <c r="Y122" s="633"/>
      <c r="Z122" s="633"/>
      <c r="AA122" s="633"/>
      <c r="AB122" s="633"/>
      <c r="AC122" s="633"/>
      <c r="AD122" s="633"/>
      <c r="AE122" s="633"/>
    </row>
    <row r="123" spans="1:31" s="12" customFormat="1" ht="30" customHeight="1" thickBot="1" x14ac:dyDescent="0.3">
      <c r="A123" s="716"/>
      <c r="B123" s="175" t="s">
        <v>402</v>
      </c>
      <c r="C123" s="90" t="e">
        <f>C122/L30</f>
        <v>#N/A</v>
      </c>
      <c r="D123" s="697" t="e">
        <f>D122/K28</f>
        <v>#N/A</v>
      </c>
      <c r="E123" s="1464"/>
      <c r="F123" s="697" t="e">
        <f>D123*E122</f>
        <v>#N/A</v>
      </c>
      <c r="G123" s="1467"/>
      <c r="H123" s="697" t="e">
        <f>H122/L30</f>
        <v>#N/A</v>
      </c>
      <c r="I123" s="655" t="e">
        <f>ABS(H123)</f>
        <v>#N/A</v>
      </c>
      <c r="J123" s="633"/>
      <c r="K123" s="716"/>
      <c r="L123" s="1593" t="s">
        <v>396</v>
      </c>
      <c r="M123" s="1594"/>
      <c r="N123" s="716"/>
      <c r="O123" s="291">
        <v>0.3</v>
      </c>
      <c r="P123" s="131">
        <v>1.65</v>
      </c>
      <c r="Q123" s="633"/>
      <c r="R123" s="633"/>
      <c r="S123" s="633"/>
      <c r="T123" s="633"/>
      <c r="U123" s="633"/>
      <c r="V123" s="633"/>
      <c r="W123" s="633"/>
      <c r="X123" s="633"/>
      <c r="Y123" s="633"/>
      <c r="Z123" s="633"/>
      <c r="AA123" s="633"/>
      <c r="AB123" s="633"/>
      <c r="AC123" s="633"/>
      <c r="AD123" s="633"/>
      <c r="AE123" s="633"/>
    </row>
    <row r="124" spans="1:31" s="13" customFormat="1" ht="36.75" customHeight="1" thickBot="1" x14ac:dyDescent="0.3">
      <c r="A124" s="716"/>
      <c r="B124" s="175" t="s">
        <v>283</v>
      </c>
      <c r="C124" s="768" t="e">
        <f>C123/L27</f>
        <v>#N/A</v>
      </c>
      <c r="D124" s="654" t="e">
        <f>D123/L27</f>
        <v>#N/A</v>
      </c>
      <c r="E124" s="1464"/>
      <c r="F124" s="768" t="e">
        <f>D124*E122</f>
        <v>#N/A</v>
      </c>
      <c r="G124" s="1467"/>
      <c r="H124" s="768" t="e">
        <f>H123/L27</f>
        <v>#N/A</v>
      </c>
      <c r="I124" s="769" t="e">
        <f>ABS(H124)</f>
        <v>#N/A</v>
      </c>
      <c r="J124" s="633"/>
      <c r="K124" s="716"/>
      <c r="L124" s="292" t="e">
        <f>_xlfn.T.INV.2T(0.05,N121)</f>
        <v>#N/A</v>
      </c>
      <c r="M124" s="293" t="e">
        <f>TINV(0.05,N121)</f>
        <v>#N/A</v>
      </c>
      <c r="N124" s="61" t="s">
        <v>396</v>
      </c>
      <c r="O124" s="1436" t="s">
        <v>403</v>
      </c>
      <c r="P124" s="1437"/>
      <c r="Q124" s="1438"/>
      <c r="R124" s="716"/>
      <c r="S124" s="633"/>
      <c r="T124" s="633"/>
      <c r="U124" s="633"/>
      <c r="V124" s="132"/>
      <c r="W124" s="132"/>
      <c r="X124" s="132"/>
      <c r="Y124" s="132"/>
      <c r="Z124" s="132"/>
      <c r="AA124" s="132"/>
      <c r="AB124" s="716"/>
      <c r="AC124" s="716"/>
      <c r="AD124" s="716"/>
      <c r="AE124" s="716"/>
    </row>
    <row r="125" spans="1:31" s="12" customFormat="1" ht="42" customHeight="1" thickBot="1" x14ac:dyDescent="0.3">
      <c r="A125" s="716"/>
      <c r="B125" s="32" t="s">
        <v>404</v>
      </c>
      <c r="C125" s="591" t="e">
        <f>(C122*100)/C7</f>
        <v>#N/A</v>
      </c>
      <c r="D125" s="889" t="e">
        <f>(D124/C124)*100</f>
        <v>#N/A</v>
      </c>
      <c r="E125" s="1465"/>
      <c r="F125" s="592" t="e">
        <f>(D125*E122)</f>
        <v>#N/A</v>
      </c>
      <c r="G125" s="1468"/>
      <c r="H125" s="889" t="e">
        <f>(H124*100)/C124</f>
        <v>#N/A</v>
      </c>
      <c r="I125" s="779" t="e">
        <f>(I124*100)/M27</f>
        <v>#N/A</v>
      </c>
      <c r="J125" s="633"/>
      <c r="K125" s="716"/>
      <c r="L125" s="1451" t="s">
        <v>405</v>
      </c>
      <c r="M125" s="1452"/>
      <c r="N125" s="61" t="str">
        <f>IF((M126)&lt;=(O123),"1,65","2")</f>
        <v>2</v>
      </c>
      <c r="O125" s="62" t="s">
        <v>406</v>
      </c>
      <c r="P125" s="63" t="s">
        <v>407</v>
      </c>
      <c r="Q125" s="64" t="s">
        <v>408</v>
      </c>
      <c r="R125" s="633"/>
      <c r="S125" s="633"/>
      <c r="T125" s="633"/>
      <c r="U125" s="633"/>
      <c r="V125" s="1591"/>
      <c r="W125" s="1591"/>
      <c r="X125" s="1591"/>
      <c r="Y125" s="633"/>
      <c r="Z125" s="633"/>
      <c r="AA125" s="633"/>
      <c r="AB125" s="633"/>
      <c r="AC125" s="633"/>
      <c r="AD125" s="633"/>
      <c r="AE125" s="633"/>
    </row>
    <row r="126" spans="1:31" s="12" customFormat="1" ht="30" customHeight="1" thickBot="1" x14ac:dyDescent="0.3">
      <c r="A126" s="633"/>
      <c r="B126" s="633"/>
      <c r="C126" s="868"/>
      <c r="D126" s="810"/>
      <c r="E126" s="890"/>
      <c r="F126" s="633"/>
      <c r="G126" s="891"/>
      <c r="H126" s="677"/>
      <c r="I126" s="633"/>
      <c r="J126" s="633"/>
      <c r="K126" s="716"/>
      <c r="L126" s="208" t="s">
        <v>409</v>
      </c>
      <c r="M126" s="69" t="str">
        <f>IFERROR(SQRT(SUMSQ(S89:S90,S93:S95,S98:S101,S103:S106,S108:S112,S115:S118))/MAX(L89:L90,L93:L95,L98:L101,L103:L106,L108:L112,L115:L118),"--")</f>
        <v>--</v>
      </c>
      <c r="N126" s="840"/>
      <c r="O126" s="65" t="s">
        <v>406</v>
      </c>
      <c r="P126" s="66" t="s">
        <v>410</v>
      </c>
      <c r="Q126" s="67" t="s">
        <v>411</v>
      </c>
      <c r="R126" s="633"/>
      <c r="S126" s="633"/>
      <c r="T126" s="633"/>
      <c r="U126" s="633"/>
      <c r="V126" s="1592"/>
      <c r="W126" s="1592"/>
      <c r="X126" s="1592"/>
      <c r="Y126" s="633"/>
      <c r="Z126" s="633"/>
      <c r="AA126" s="633"/>
      <c r="AB126" s="633"/>
      <c r="AC126" s="633"/>
      <c r="AD126" s="633"/>
      <c r="AE126" s="633"/>
    </row>
    <row r="127" spans="1:31" x14ac:dyDescent="0.2">
      <c r="A127" s="536"/>
      <c r="B127" s="536"/>
      <c r="C127" s="536"/>
      <c r="D127" s="536"/>
      <c r="E127" s="536"/>
      <c r="F127" s="536"/>
      <c r="G127" s="612"/>
      <c r="H127" s="892"/>
      <c r="I127" s="536"/>
      <c r="J127" s="536"/>
      <c r="K127" s="536"/>
      <c r="L127" s="536"/>
      <c r="M127" s="536"/>
      <c r="N127" s="536"/>
      <c r="O127" s="536"/>
      <c r="P127" s="536"/>
      <c r="Q127" s="536"/>
      <c r="R127" s="536"/>
      <c r="S127" s="536"/>
      <c r="T127" s="536"/>
      <c r="U127" s="536"/>
      <c r="V127" s="536"/>
      <c r="W127" s="536"/>
      <c r="X127" s="536"/>
      <c r="Y127" s="536"/>
      <c r="Z127" s="536"/>
      <c r="AA127" s="536"/>
      <c r="AB127" s="536"/>
      <c r="AC127" s="536"/>
      <c r="AD127" s="536"/>
      <c r="AE127" s="536"/>
    </row>
  </sheetData>
  <sheetProtection password="CF5C" sheet="1" objects="1" scenarios="1"/>
  <mergeCells count="140">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13" priority="5" operator="equal">
      <formula>MAX($R$89:$R$90,$R$93:$R$95,$R$98:$R$101,$R$103:$R$106,$R$108:$R$112,$R$115:$R$118)</formula>
    </cfRule>
  </conditionalFormatting>
  <conditionalFormatting sqref="T57:V57">
    <cfRule type="containsText" dxfId="12" priority="1" operator="containsText" text="AJUSTADO">
      <formula>NOT(ISERROR(SEARCH("AJUSTADO",T57)))</formula>
    </cfRule>
    <cfRule type="containsText" dxfId="11"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(2023-06-06)</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¬'!$C$43:$C$60</xm:f>
          </x14:formula1>
          <xm:sqref>S13:S17</xm:sqref>
        </x14:dataValidation>
        <x14:dataValidation type="list" allowBlank="1" showInputMessage="1" showErrorMessage="1">
          <x14:formula1>
            <xm:f>'DATOS ¬'!$A$39:$A$58</xm:f>
          </x14:formula1>
          <xm:sqref>A43</xm:sqref>
        </x14:dataValidation>
        <x14:dataValidation type="list" allowBlank="1" showInputMessage="1" showErrorMessage="1">
          <x14:formula1>
            <xm:f>'DATOS ¬'!$C$37:$C$60</xm:f>
          </x14:formula1>
          <xm:sqref>S8:S12</xm:sqref>
        </x14:dataValidation>
        <x14:dataValidation type="list" allowBlank="1" showInputMessage="1" showErrorMessage="1">
          <x14:formula1>
            <xm:f>'DATOS ¬'!$A$45:$A$58</xm:f>
          </x14:formula1>
          <xm:sqref>O43</xm:sqref>
        </x14:dataValidation>
        <x14:dataValidation type="list" allowBlank="1" showInputMessage="1" showErrorMessage="1">
          <x14:formula1>
            <xm:f>'DATOS ¬'!$C$167:$C$168</xm:f>
          </x14:formula1>
          <xm:sqref>S21</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¬'!$C$143:$C$148</xm:f>
          </x14:formula1>
          <xm:sqref>S18</xm:sqref>
        </x14:dataValidation>
        <x14:dataValidation type="list" allowBlank="1" showInputMessage="1" showErrorMessage="1">
          <x14:formula1>
            <xm:f>'DATOS ¬'!$B$131:$B$136</xm:f>
          </x14:formula1>
          <xm:sqref>Q36</xm:sqref>
        </x14:dataValidation>
        <x14:dataValidation type="list" allowBlank="1" showInputMessage="1" showErrorMessage="1">
          <x14:formula1>
            <xm:f>'DATOS ¬'!$C$30:$C$32</xm:f>
          </x14:formula1>
          <xm:sqref>S7</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zoomScale="52" zoomScaleNormal="52" zoomScaleSheetLayoutView="5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500"/>
      <c r="B1" s="1501"/>
      <c r="C1" s="1502"/>
      <c r="D1" s="1641" t="s">
        <v>415</v>
      </c>
      <c r="E1" s="1642"/>
      <c r="F1" s="1642"/>
      <c r="G1" s="1642"/>
      <c r="H1" s="1642"/>
      <c r="I1" s="1642"/>
      <c r="J1" s="1642"/>
      <c r="K1" s="1642"/>
      <c r="L1" s="1642"/>
      <c r="M1" s="1642"/>
      <c r="N1" s="1642"/>
      <c r="O1" s="1642"/>
      <c r="P1" s="1642"/>
      <c r="Q1" s="1642"/>
      <c r="R1" s="1642"/>
      <c r="S1" s="1642"/>
      <c r="T1" s="1642"/>
      <c r="U1" s="1642"/>
      <c r="V1" s="1642"/>
      <c r="W1" s="1643"/>
      <c r="X1" s="633"/>
      <c r="Y1" s="633"/>
      <c r="Z1" s="633"/>
      <c r="AA1" s="633"/>
      <c r="AB1" s="633"/>
      <c r="AC1" s="633"/>
    </row>
    <row r="2" spans="1:29" s="13" customFormat="1" ht="5.0999999999999996" customHeight="1" thickBot="1" x14ac:dyDescent="0.35">
      <c r="A2" s="733"/>
      <c r="B2" s="733"/>
      <c r="C2" s="716"/>
      <c r="D2" s="14"/>
      <c r="E2" s="14"/>
      <c r="F2" s="14"/>
      <c r="G2" s="14"/>
      <c r="H2" s="14"/>
      <c r="I2" s="14"/>
      <c r="J2" s="14"/>
      <c r="K2" s="14"/>
      <c r="L2" s="14"/>
      <c r="M2" s="14"/>
      <c r="N2" s="14"/>
      <c r="O2" s="14"/>
      <c r="P2" s="14"/>
      <c r="Q2" s="14"/>
      <c r="R2" s="14"/>
      <c r="S2" s="716"/>
      <c r="T2" s="716"/>
      <c r="U2" s="716"/>
      <c r="V2" s="716"/>
      <c r="W2" s="716"/>
      <c r="X2" s="716"/>
      <c r="Y2" s="716"/>
      <c r="Z2" s="716"/>
      <c r="AA2" s="716"/>
      <c r="AB2" s="716"/>
      <c r="AC2" s="716"/>
    </row>
    <row r="3" spans="1:29" s="13" customFormat="1" ht="39.950000000000003" customHeight="1" thickBot="1" x14ac:dyDescent="0.3">
      <c r="A3" s="2" t="s">
        <v>241</v>
      </c>
      <c r="B3" s="8" t="e">
        <f>VLOOKUP(S3,'DATOS ¬'!D7:N19,2,FALSE)</f>
        <v>#N/A</v>
      </c>
      <c r="C3" s="3" t="s">
        <v>3</v>
      </c>
      <c r="D3" s="1664" t="e">
        <f>VLOOKUP(S3,'DATOS ¬'!D7:N19,3,FALSE)</f>
        <v>#N/A</v>
      </c>
      <c r="E3" s="1664"/>
      <c r="F3" s="4" t="s">
        <v>242</v>
      </c>
      <c r="G3" s="1665" t="e">
        <f>VLOOKUP(S3,'DATOS ¬'!D7:N19,7,FALSE)</f>
        <v>#N/A</v>
      </c>
      <c r="H3" s="1665"/>
      <c r="I3" s="4" t="s">
        <v>416</v>
      </c>
      <c r="J3" s="1665" t="e">
        <f>VLOOKUP(S3,'DATOS ¬'!D7:N19,4,FALSE)</f>
        <v>#N/A</v>
      </c>
      <c r="K3" s="1665"/>
      <c r="L3" s="4" t="s">
        <v>417</v>
      </c>
      <c r="M3" s="1644"/>
      <c r="N3" s="1645"/>
      <c r="O3" s="4" t="s">
        <v>418</v>
      </c>
      <c r="P3" s="1665" t="e">
        <f>VLOOKUP(S3,'DATOS ¬'!D7:N19,11,FALSE)</f>
        <v>#N/A</v>
      </c>
      <c r="Q3" s="1665"/>
      <c r="R3" s="1666"/>
      <c r="S3" s="7"/>
      <c r="T3" s="716"/>
      <c r="U3" s="716"/>
      <c r="V3" s="716"/>
      <c r="W3" s="716"/>
      <c r="X3" s="716"/>
      <c r="Y3" s="716"/>
      <c r="Z3" s="716"/>
      <c r="AA3" s="716"/>
      <c r="AB3" s="716"/>
      <c r="AC3" s="716"/>
    </row>
    <row r="4" spans="1:29" s="13" customFormat="1" ht="9.9499999999999993" customHeight="1" x14ac:dyDescent="0.3">
      <c r="A4" s="716"/>
      <c r="B4" s="716"/>
      <c r="C4" s="908"/>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9.9499999999999993" customHeight="1" thickBot="1" x14ac:dyDescent="0.3">
      <c r="A5" s="675"/>
      <c r="B5" s="536"/>
      <c r="C5" s="536"/>
      <c r="D5" s="536"/>
      <c r="E5" s="536"/>
      <c r="F5" s="536"/>
      <c r="G5" s="536"/>
      <c r="H5" s="716"/>
      <c r="I5" s="536"/>
      <c r="J5" s="716"/>
      <c r="K5" s="536"/>
      <c r="L5" s="536"/>
      <c r="M5" s="536"/>
      <c r="N5" s="536"/>
      <c r="O5" s="536"/>
      <c r="P5" s="676"/>
      <c r="Q5" s="676"/>
      <c r="R5" s="676"/>
      <c r="S5" s="676"/>
      <c r="T5" s="676"/>
      <c r="U5" s="676"/>
      <c r="V5" s="676"/>
      <c r="W5" s="536"/>
      <c r="X5" s="676"/>
      <c r="Y5" s="676"/>
      <c r="Z5" s="676"/>
      <c r="AA5" s="676"/>
      <c r="AB5" s="909"/>
      <c r="AC5" s="676"/>
    </row>
    <row r="6" spans="1:29" ht="39.950000000000003" customHeight="1" thickBot="1" x14ac:dyDescent="0.25">
      <c r="A6" s="1673" t="s">
        <v>419</v>
      </c>
      <c r="B6" s="1674"/>
      <c r="C6" s="1674"/>
      <c r="D6" s="1674"/>
      <c r="E6" s="1674"/>
      <c r="F6" s="1674"/>
      <c r="G6" s="1674"/>
      <c r="H6" s="536"/>
      <c r="I6" s="1457" t="s">
        <v>290</v>
      </c>
      <c r="J6" s="1565"/>
      <c r="K6" s="1595"/>
      <c r="L6" s="1596"/>
      <c r="M6" s="1658" t="s">
        <v>420</v>
      </c>
      <c r="N6" s="1659"/>
      <c r="O6" s="1659"/>
      <c r="P6" s="1659"/>
      <c r="Q6" s="1660"/>
      <c r="R6" s="1667" t="s">
        <v>421</v>
      </c>
      <c r="S6" s="1668"/>
      <c r="T6" s="1668"/>
      <c r="U6" s="1668"/>
      <c r="V6" s="1668"/>
      <c r="W6" s="1669"/>
      <c r="X6" s="536"/>
      <c r="Y6" s="536"/>
      <c r="Z6" s="536"/>
      <c r="AA6" s="536"/>
      <c r="AB6" s="536"/>
      <c r="AC6" s="536"/>
    </row>
    <row r="7" spans="1:29" ht="50.25" customHeight="1" thickBot="1" x14ac:dyDescent="0.25">
      <c r="A7" s="6" t="s">
        <v>247</v>
      </c>
      <c r="B7" s="16" t="s">
        <v>422</v>
      </c>
      <c r="C7" s="16" t="s">
        <v>423</v>
      </c>
      <c r="D7" s="9" t="s">
        <v>424</v>
      </c>
      <c r="E7" s="9" t="s">
        <v>425</v>
      </c>
      <c r="F7" s="16" t="s">
        <v>426</v>
      </c>
      <c r="G7" s="284" t="s">
        <v>396</v>
      </c>
      <c r="H7" s="536"/>
      <c r="I7" s="1457" t="s">
        <v>11</v>
      </c>
      <c r="J7" s="1565"/>
      <c r="K7" s="211" t="e">
        <f>VLOOKUP(L7,'DATOS ¬'!$P$9:$Q$13,2,FALSE)</f>
        <v>#N/A</v>
      </c>
      <c r="L7" s="212"/>
      <c r="M7" s="1661"/>
      <c r="N7" s="1662"/>
      <c r="O7" s="1662"/>
      <c r="P7" s="1662"/>
      <c r="Q7" s="1663"/>
      <c r="R7" s="1670"/>
      <c r="S7" s="1671"/>
      <c r="T7" s="1671"/>
      <c r="U7" s="1671"/>
      <c r="V7" s="1671"/>
      <c r="W7" s="1672"/>
      <c r="X7" s="536"/>
      <c r="Y7" s="536"/>
      <c r="Z7" s="536"/>
      <c r="AA7" s="536"/>
      <c r="AB7" s="536"/>
      <c r="AC7" s="536"/>
    </row>
    <row r="8" spans="1:29" ht="39.950000000000003" customHeight="1" thickBot="1" x14ac:dyDescent="0.25">
      <c r="A8" s="279" t="e">
        <f>'RT03-F11 ¬'!B19:B19</f>
        <v>#N/A</v>
      </c>
      <c r="B8" s="910" t="e">
        <f>'RT03-F11 ¬'!Q20</f>
        <v>#N/A</v>
      </c>
      <c r="C8" s="280" t="e">
        <f>'RT03-F11 ¬'!C19</f>
        <v>#N/A</v>
      </c>
      <c r="D8" s="281" t="e">
        <f>'RT03-F11 ¬'!E19</f>
        <v>#N/A</v>
      </c>
      <c r="E8" s="282" t="e">
        <f>'RT03-F11 ¬'!G19</f>
        <v>#N/A</v>
      </c>
      <c r="F8" s="283" t="e">
        <f>'RT03-F11 ¬'!I19</f>
        <v>#N/A</v>
      </c>
      <c r="G8" s="911" t="e">
        <f>'RT03-F11 ¬'!O19</f>
        <v>#N/A</v>
      </c>
      <c r="H8" s="536"/>
      <c r="I8" s="1469" t="s">
        <v>291</v>
      </c>
      <c r="J8" s="1470"/>
      <c r="K8" s="1595"/>
      <c r="L8" s="1596"/>
      <c r="M8" s="912"/>
      <c r="N8" s="670"/>
      <c r="O8" s="670"/>
      <c r="P8" s="670"/>
      <c r="Q8" s="670"/>
      <c r="R8" s="1605" t="s">
        <v>427</v>
      </c>
      <c r="S8" s="1652" t="s">
        <v>428</v>
      </c>
      <c r="T8" s="1652" t="s">
        <v>429</v>
      </c>
      <c r="U8" s="1652" t="s">
        <v>430</v>
      </c>
      <c r="V8" s="1652" t="s">
        <v>431</v>
      </c>
      <c r="W8" s="1655" t="s">
        <v>432</v>
      </c>
      <c r="X8" s="536"/>
      <c r="Y8" s="536"/>
      <c r="Z8" s="536"/>
      <c r="AA8" s="536"/>
      <c r="AB8" s="536"/>
      <c r="AC8" s="536"/>
    </row>
    <row r="9" spans="1:29" ht="39.950000000000003" customHeight="1" thickBot="1" x14ac:dyDescent="0.25">
      <c r="A9" s="675"/>
      <c r="B9" s="536"/>
      <c r="C9" s="536"/>
      <c r="D9" s="675"/>
      <c r="E9" s="913"/>
      <c r="F9" s="675"/>
      <c r="G9" s="536"/>
      <c r="H9" s="536"/>
      <c r="I9" s="536"/>
      <c r="J9" s="536"/>
      <c r="K9" s="536"/>
      <c r="L9" s="536"/>
      <c r="M9" s="914"/>
      <c r="N9" s="675"/>
      <c r="O9" s="675"/>
      <c r="P9" s="675"/>
      <c r="Q9" s="536"/>
      <c r="R9" s="1606"/>
      <c r="S9" s="1653"/>
      <c r="T9" s="1653"/>
      <c r="U9" s="1653"/>
      <c r="V9" s="1653"/>
      <c r="W9" s="1656"/>
      <c r="X9" s="536"/>
      <c r="Y9" s="536"/>
      <c r="Z9" s="536"/>
      <c r="AA9" s="536"/>
      <c r="AB9" s="536"/>
      <c r="AC9" s="536"/>
    </row>
    <row r="10" spans="1:29" ht="39.950000000000003" customHeight="1" thickBot="1" x14ac:dyDescent="0.25">
      <c r="A10" s="675"/>
      <c r="B10" s="1614" t="s">
        <v>433</v>
      </c>
      <c r="C10" s="1615"/>
      <c r="D10" s="1615"/>
      <c r="E10" s="1616"/>
      <c r="F10" s="675"/>
      <c r="G10" s="536"/>
      <c r="H10" s="1623" t="s">
        <v>434</v>
      </c>
      <c r="I10" s="1625"/>
      <c r="J10" s="536"/>
      <c r="K10" s="536"/>
      <c r="L10" s="536"/>
      <c r="M10" s="914"/>
      <c r="N10" s="675"/>
      <c r="O10" s="675"/>
      <c r="P10" s="675"/>
      <c r="Q10" s="675"/>
      <c r="R10" s="1606"/>
      <c r="S10" s="1653"/>
      <c r="T10" s="1654"/>
      <c r="U10" s="1654"/>
      <c r="V10" s="1654"/>
      <c r="W10" s="1657"/>
      <c r="X10" s="536"/>
      <c r="Y10" s="536"/>
      <c r="Z10" s="536"/>
      <c r="AA10" s="536"/>
      <c r="AB10" s="536"/>
      <c r="AC10" s="536"/>
    </row>
    <row r="11" spans="1:29" ht="39.950000000000003" customHeight="1" thickBot="1" x14ac:dyDescent="0.4">
      <c r="A11" s="675"/>
      <c r="B11" s="1610" t="s">
        <v>435</v>
      </c>
      <c r="C11" s="1611"/>
      <c r="D11" s="1612" t="s">
        <v>436</v>
      </c>
      <c r="E11" s="1613"/>
      <c r="F11" s="675"/>
      <c r="G11" s="536"/>
      <c r="H11" s="706" t="s">
        <v>437</v>
      </c>
      <c r="I11" s="915" t="s">
        <v>120</v>
      </c>
      <c r="J11" s="536"/>
      <c r="K11" s="536"/>
      <c r="L11" s="536"/>
      <c r="M11" s="17" t="s">
        <v>438</v>
      </c>
      <c r="N11" s="675"/>
      <c r="O11" s="675"/>
      <c r="P11" s="916" t="s">
        <v>439</v>
      </c>
      <c r="Q11" s="675"/>
      <c r="R11" s="1617" t="e">
        <f>B8</f>
        <v>#N/A</v>
      </c>
      <c r="S11" s="1603" t="e">
        <f>C8</f>
        <v>#N/A</v>
      </c>
      <c r="T11" s="917"/>
      <c r="U11" s="918" t="e">
        <f>M19</f>
        <v>#N/A</v>
      </c>
      <c r="V11" s="918" t="e">
        <f>($S$11-U11)</f>
        <v>#N/A</v>
      </c>
      <c r="W11" s="919" t="e">
        <f>V11/$D$12</f>
        <v>#N/A</v>
      </c>
      <c r="X11" s="536"/>
      <c r="Y11" s="536"/>
      <c r="Z11" s="536"/>
      <c r="AA11" s="536"/>
      <c r="AB11" s="536"/>
      <c r="AC11" s="536"/>
    </row>
    <row r="12" spans="1:29" ht="39.950000000000003" customHeight="1" thickBot="1" x14ac:dyDescent="0.3">
      <c r="A12" s="675"/>
      <c r="B12" s="18" t="e">
        <f>VLOOKUP(F12,'DATOS ¬'!$Y$58:$AB$64,2,FALSE)</f>
        <v>#N/A</v>
      </c>
      <c r="C12" s="19"/>
      <c r="D12" s="20" t="e">
        <f>VLOOKUP(F12,'DATOS ¬'!$Y$58:$AA$64,3,FALSE)</f>
        <v>#N/A</v>
      </c>
      <c r="E12" s="21"/>
      <c r="F12" s="534"/>
      <c r="G12" s="536"/>
      <c r="H12" s="298" t="e">
        <f>B12</f>
        <v>#N/A</v>
      </c>
      <c r="I12" s="920" t="e">
        <f>H12*I13</f>
        <v>#N/A</v>
      </c>
      <c r="J12" s="536"/>
      <c r="K12" s="536"/>
      <c r="L12" s="536"/>
      <c r="M12" s="17" t="s">
        <v>440</v>
      </c>
      <c r="N12" s="916"/>
      <c r="O12" s="916" t="s">
        <v>439</v>
      </c>
      <c r="P12" s="916"/>
      <c r="Q12" s="675"/>
      <c r="R12" s="1617"/>
      <c r="S12" s="1603"/>
      <c r="T12" s="917"/>
      <c r="U12" s="918" t="e">
        <f>M20</f>
        <v>#N/A</v>
      </c>
      <c r="V12" s="918" t="e">
        <f>($S$11-U12)</f>
        <v>#N/A</v>
      </c>
      <c r="W12" s="919" t="e">
        <f>V12/$D$12</f>
        <v>#N/A</v>
      </c>
      <c r="X12" s="536"/>
      <c r="Y12" s="536"/>
      <c r="Z12" s="536"/>
      <c r="AA12" s="536"/>
      <c r="AB12" s="536"/>
      <c r="AC12" s="536"/>
    </row>
    <row r="13" spans="1:29" ht="39.950000000000003" customHeight="1" thickBot="1" x14ac:dyDescent="0.4">
      <c r="A13" s="675"/>
      <c r="B13" s="536"/>
      <c r="C13" s="536"/>
      <c r="D13" s="536"/>
      <c r="E13" s="536"/>
      <c r="F13" s="675"/>
      <c r="G13" s="536"/>
      <c r="H13" s="22">
        <v>1</v>
      </c>
      <c r="I13" s="921">
        <v>16.387060000000002</v>
      </c>
      <c r="J13" s="536"/>
      <c r="K13" s="536"/>
      <c r="L13" s="536"/>
      <c r="M13" s="23" t="s">
        <v>441</v>
      </c>
      <c r="N13" s="922" t="s">
        <v>439</v>
      </c>
      <c r="O13" s="672"/>
      <c r="P13" s="672"/>
      <c r="Q13" s="24" t="s">
        <v>442</v>
      </c>
      <c r="R13" s="1618"/>
      <c r="S13" s="1604"/>
      <c r="T13" s="923"/>
      <c r="U13" s="924" t="e">
        <f>M21</f>
        <v>#N/A</v>
      </c>
      <c r="V13" s="924" t="e">
        <f>($S$11-U13)</f>
        <v>#N/A</v>
      </c>
      <c r="W13" s="920" t="e">
        <f>V13/$D$12</f>
        <v>#N/A</v>
      </c>
      <c r="X13" s="536"/>
      <c r="Y13" s="536"/>
      <c r="Z13" s="536"/>
      <c r="AA13" s="536"/>
      <c r="AB13" s="536"/>
      <c r="AC13" s="536"/>
    </row>
    <row r="14" spans="1:29" s="15" customFormat="1" ht="39.950000000000003" customHeight="1" thickBot="1" x14ac:dyDescent="0.45">
      <c r="A14" s="675"/>
      <c r="B14" s="675"/>
      <c r="C14" s="675"/>
      <c r="D14" s="675"/>
      <c r="E14" s="675"/>
      <c r="F14" s="675"/>
      <c r="G14" s="675"/>
      <c r="H14" s="675"/>
      <c r="I14" s="675"/>
      <c r="J14" s="675"/>
      <c r="K14" s="675"/>
      <c r="L14" s="675"/>
      <c r="M14" s="660"/>
      <c r="N14" s="25" t="s">
        <v>443</v>
      </c>
      <c r="O14" s="25" t="s">
        <v>442</v>
      </c>
      <c r="P14" s="25" t="s">
        <v>444</v>
      </c>
      <c r="Q14" s="925"/>
      <c r="R14" s="675"/>
      <c r="S14" s="675"/>
      <c r="T14" s="675"/>
      <c r="U14" s="26" t="s">
        <v>445</v>
      </c>
      <c r="V14" s="926" t="e">
        <f>AVERAGE(V11:V13)</f>
        <v>#N/A</v>
      </c>
      <c r="W14" s="927" t="e">
        <f>AVERAGE(W11:W13)</f>
        <v>#N/A</v>
      </c>
      <c r="X14" s="675"/>
      <c r="Y14" s="675"/>
      <c r="Z14" s="675"/>
      <c r="AA14" s="675"/>
      <c r="AB14" s="675"/>
      <c r="AC14" s="675"/>
    </row>
    <row r="15" spans="1:29" ht="39.950000000000003" customHeight="1" thickBot="1" x14ac:dyDescent="0.3">
      <c r="A15" s="675"/>
      <c r="B15" s="536"/>
      <c r="C15" s="536"/>
      <c r="D15" s="675"/>
      <c r="E15" s="675"/>
      <c r="F15" s="675"/>
      <c r="G15" s="536"/>
      <c r="H15" s="536"/>
      <c r="I15" s="536"/>
      <c r="J15" s="536"/>
      <c r="K15" s="536"/>
      <c r="L15" s="536"/>
      <c r="M15" s="536"/>
      <c r="N15" s="536"/>
      <c r="O15" s="536"/>
      <c r="P15" s="536"/>
      <c r="Q15" s="536"/>
      <c r="R15" s="536"/>
      <c r="S15" s="675"/>
      <c r="T15" s="675"/>
      <c r="U15" s="27"/>
      <c r="V15" s="924" t="e">
        <f>STDEVA(V11:V13)</f>
        <v>#N/A</v>
      </c>
      <c r="W15" s="928" t="e">
        <f>_xlfn.STDEV.S(W11:W13)</f>
        <v>#N/A</v>
      </c>
      <c r="X15" s="536"/>
      <c r="Y15" s="536"/>
      <c r="Z15" s="536"/>
      <c r="AA15" s="536"/>
      <c r="AB15" s="536"/>
      <c r="AC15" s="536"/>
    </row>
    <row r="16" spans="1:29" ht="39.950000000000003" customHeight="1" thickBot="1" x14ac:dyDescent="0.3">
      <c r="A16" s="675"/>
      <c r="B16" s="536"/>
      <c r="C16" s="536"/>
      <c r="D16" s="536"/>
      <c r="E16" s="536"/>
      <c r="F16" s="536"/>
      <c r="G16" s="536"/>
      <c r="H16" s="536"/>
      <c r="I16" s="536"/>
      <c r="J16" s="536"/>
      <c r="K16" s="536"/>
      <c r="L16" s="536"/>
      <c r="M16" s="536"/>
      <c r="N16" s="536"/>
      <c r="O16" s="536"/>
      <c r="P16" s="536"/>
      <c r="Q16" s="536"/>
      <c r="R16" s="536"/>
      <c r="S16" s="536"/>
      <c r="T16" s="536"/>
      <c r="U16" s="28"/>
      <c r="V16" s="924" t="e">
        <f>V15/SQRT(3)</f>
        <v>#N/A</v>
      </c>
      <c r="W16" s="929" t="e">
        <f>W15/SQRT(3)</f>
        <v>#N/A</v>
      </c>
      <c r="X16" s="536"/>
      <c r="Y16" s="536"/>
      <c r="Z16" s="536"/>
      <c r="AA16" s="536"/>
      <c r="AB16" s="536"/>
      <c r="AC16" s="536"/>
    </row>
    <row r="17" spans="1:29" ht="49.5" customHeight="1" thickBot="1" x14ac:dyDescent="0.25">
      <c r="A17" s="675"/>
      <c r="B17" s="1633" t="s">
        <v>446</v>
      </c>
      <c r="C17" s="1634"/>
      <c r="D17" s="1634"/>
      <c r="E17" s="1634"/>
      <c r="F17" s="1635"/>
      <c r="G17" s="1638" t="s">
        <v>447</v>
      </c>
      <c r="H17" s="1639"/>
      <c r="I17" s="1639"/>
      <c r="J17" s="1639"/>
      <c r="K17" s="1640"/>
      <c r="L17" s="536"/>
      <c r="M17" s="536"/>
      <c r="N17" s="536"/>
      <c r="O17" s="536"/>
      <c r="P17" s="536"/>
      <c r="Q17" s="536"/>
      <c r="R17" s="536"/>
      <c r="S17" s="536"/>
      <c r="T17" s="675"/>
      <c r="U17" s="675"/>
      <c r="V17" s="675"/>
      <c r="W17" s="536"/>
      <c r="X17" s="536"/>
      <c r="Y17" s="536"/>
      <c r="Z17" s="536"/>
      <c r="AA17" s="536"/>
      <c r="AB17" s="536"/>
      <c r="AC17" s="930"/>
    </row>
    <row r="18" spans="1:29" ht="39.950000000000003" customHeight="1" thickBot="1" x14ac:dyDescent="0.3">
      <c r="A18" s="675"/>
      <c r="B18" s="931" t="s">
        <v>267</v>
      </c>
      <c r="C18" s="932" t="s">
        <v>448</v>
      </c>
      <c r="D18" s="932" t="s">
        <v>449</v>
      </c>
      <c r="E18" s="932" t="s">
        <v>450</v>
      </c>
      <c r="F18" s="933" t="s">
        <v>451</v>
      </c>
      <c r="G18" s="57" t="s">
        <v>132</v>
      </c>
      <c r="H18" s="37" t="s">
        <v>269</v>
      </c>
      <c r="I18" s="37" t="s">
        <v>270</v>
      </c>
      <c r="J18" s="37" t="s">
        <v>279</v>
      </c>
      <c r="K18" s="50" t="s">
        <v>272</v>
      </c>
      <c r="L18" s="59" t="s">
        <v>452</v>
      </c>
      <c r="M18" s="37" t="s">
        <v>453</v>
      </c>
      <c r="N18" s="51" t="s">
        <v>454</v>
      </c>
      <c r="O18" s="29" t="e">
        <f>(O21-O20)/(N21-N20)</f>
        <v>#N/A</v>
      </c>
      <c r="P18" s="675"/>
      <c r="Q18" s="934"/>
      <c r="R18" s="672"/>
      <c r="S18" s="536"/>
      <c r="T18" s="536"/>
      <c r="U18" s="536"/>
      <c r="V18" s="52"/>
      <c r="W18" s="935" t="e">
        <f>AVERAGE(T11:T13)</f>
        <v>#DIV/0!</v>
      </c>
      <c r="X18" s="536"/>
      <c r="Y18" s="536"/>
      <c r="Z18" s="536"/>
      <c r="AA18" s="536"/>
      <c r="AB18" s="536"/>
      <c r="AC18" s="930"/>
    </row>
    <row r="19" spans="1:29" s="15" customFormat="1" ht="49.5" customHeight="1" x14ac:dyDescent="0.2">
      <c r="A19" s="675"/>
      <c r="B19" s="30" t="s">
        <v>455</v>
      </c>
      <c r="C19" s="936">
        <v>2.7</v>
      </c>
      <c r="D19" s="936">
        <v>2.7</v>
      </c>
      <c r="E19" s="936">
        <v>2.7</v>
      </c>
      <c r="F19" s="937">
        <f>AVERAGE(C19:E19)</f>
        <v>2.7000000000000006</v>
      </c>
      <c r="G19" s="49" t="s">
        <v>277</v>
      </c>
      <c r="H19" s="938">
        <v>3.7854100000000002</v>
      </c>
      <c r="I19" s="938">
        <f>(H19/H21)*1000</f>
        <v>3785.4100000000003</v>
      </c>
      <c r="J19" s="938">
        <f>(I19*I22)/I20</f>
        <v>230.99994751956731</v>
      </c>
      <c r="K19" s="56">
        <v>5</v>
      </c>
      <c r="L19" s="939">
        <f>T11</f>
        <v>0</v>
      </c>
      <c r="M19" s="940" t="e">
        <f>($O$21+$O$18*(L19-$N$21))</f>
        <v>#N/A</v>
      </c>
      <c r="N19" s="55" t="s">
        <v>456</v>
      </c>
      <c r="O19" s="55" t="s">
        <v>457</v>
      </c>
      <c r="P19" s="45" t="s">
        <v>458</v>
      </c>
      <c r="Q19" s="1627" t="s">
        <v>459</v>
      </c>
      <c r="R19" s="1627"/>
      <c r="S19" s="1628"/>
      <c r="T19" s="675"/>
      <c r="U19" s="675"/>
      <c r="V19" s="53"/>
      <c r="W19" s="941" t="e">
        <f>(I12/D12)/SQRT(3)</f>
        <v>#N/A</v>
      </c>
      <c r="X19" s="675"/>
      <c r="Y19" s="675"/>
      <c r="Z19" s="675"/>
      <c r="AA19" s="675"/>
      <c r="AB19" s="675"/>
      <c r="AC19" s="675"/>
    </row>
    <row r="20" spans="1:29" s="15" customFormat="1" ht="39.950000000000003" customHeight="1" thickBot="1" x14ac:dyDescent="0.25">
      <c r="A20" s="675"/>
      <c r="B20" s="22" t="s">
        <v>460</v>
      </c>
      <c r="C20" s="942">
        <v>2.69</v>
      </c>
      <c r="D20" s="943">
        <v>2.69</v>
      </c>
      <c r="E20" s="942">
        <v>2.57</v>
      </c>
      <c r="F20" s="944">
        <f>AVERAGE(C20:E20)</f>
        <v>2.65</v>
      </c>
      <c r="G20" s="31" t="s">
        <v>279</v>
      </c>
      <c r="H20" s="571">
        <v>1.6387059999999998E-2</v>
      </c>
      <c r="I20" s="571">
        <f>(H20/H21)*I21</f>
        <v>16.387059999999998</v>
      </c>
      <c r="J20" s="571">
        <v>1</v>
      </c>
      <c r="K20" s="945">
        <f>J19*K19</f>
        <v>1154.9997375978367</v>
      </c>
      <c r="L20" s="946">
        <f>T12</f>
        <v>0</v>
      </c>
      <c r="M20" s="918" t="e">
        <f>($O$21+$O$18*(L20-$N$21))</f>
        <v>#N/A</v>
      </c>
      <c r="N20" s="44" t="e">
        <f>'RT03-F11 ¬'!Q19</f>
        <v>#N/A</v>
      </c>
      <c r="O20" s="44" t="e">
        <f>'RT03-F11 ¬'!R19</f>
        <v>#N/A</v>
      </c>
      <c r="P20" s="46" t="e">
        <f>(O20-N20)</f>
        <v>#N/A</v>
      </c>
      <c r="Q20" s="1629"/>
      <c r="R20" s="1629"/>
      <c r="S20" s="1630"/>
      <c r="T20" s="675"/>
      <c r="U20" s="675"/>
      <c r="V20" s="54"/>
      <c r="W20" s="929" t="e">
        <f>(I12/D12)/SQRT(3)</f>
        <v>#N/A</v>
      </c>
      <c r="X20" s="675"/>
      <c r="Y20" s="675"/>
      <c r="Z20" s="675"/>
      <c r="AA20" s="675"/>
      <c r="AB20" s="675"/>
      <c r="AC20" s="675"/>
    </row>
    <row r="21" spans="1:29" s="15" customFormat="1" ht="49.5" customHeight="1" thickBot="1" x14ac:dyDescent="0.3">
      <c r="A21" s="675"/>
      <c r="B21" s="33" t="s">
        <v>461</v>
      </c>
      <c r="C21" s="947">
        <f>F19-F20</f>
        <v>5.0000000000000711E-2</v>
      </c>
      <c r="D21" s="912"/>
      <c r="E21" s="670"/>
      <c r="F21" s="670"/>
      <c r="G21" s="31" t="s">
        <v>462</v>
      </c>
      <c r="H21" s="571">
        <v>1</v>
      </c>
      <c r="I21" s="571">
        <v>1000</v>
      </c>
      <c r="J21" s="571">
        <f>H20</f>
        <v>1.6387059999999998E-2</v>
      </c>
      <c r="K21" s="945">
        <f>K19*H19</f>
        <v>18.927050000000001</v>
      </c>
      <c r="L21" s="948">
        <f>T13</f>
        <v>0</v>
      </c>
      <c r="M21" s="924" t="e">
        <f>($O$21+$O$18*(L21-$N$21))</f>
        <v>#N/A</v>
      </c>
      <c r="N21" s="47" t="e">
        <f>'RT03-F11 ¬'!Q20</f>
        <v>#N/A</v>
      </c>
      <c r="O21" s="47" t="e">
        <f>'RT03-F11 ¬'!R20</f>
        <v>#N/A</v>
      </c>
      <c r="P21" s="48" t="e">
        <f>(O21-N21)</f>
        <v>#N/A</v>
      </c>
      <c r="Q21" s="1631" t="e">
        <f>ABS(P21-P20)/12^0.5</f>
        <v>#N/A</v>
      </c>
      <c r="R21" s="1631"/>
      <c r="S21" s="1632"/>
      <c r="T21" s="675"/>
      <c r="U21" s="675"/>
      <c r="V21" s="675"/>
      <c r="W21" s="675"/>
      <c r="X21" s="675"/>
      <c r="Y21" s="675"/>
      <c r="Z21" s="675"/>
      <c r="AA21" s="675"/>
      <c r="AB21" s="675"/>
      <c r="AC21" s="675"/>
    </row>
    <row r="22" spans="1:29" s="15" customFormat="1" ht="39.950000000000003" customHeight="1" thickBot="1" x14ac:dyDescent="0.25">
      <c r="A22" s="675"/>
      <c r="B22" s="34" t="s">
        <v>463</v>
      </c>
      <c r="C22" s="949" t="e">
        <f>I12*((F19-F20)/((SQRT(12)*F19)))</f>
        <v>#N/A</v>
      </c>
      <c r="D22" s="950"/>
      <c r="E22" s="672"/>
      <c r="F22" s="672"/>
      <c r="G22" s="32" t="s">
        <v>464</v>
      </c>
      <c r="H22" s="592">
        <v>1E-3</v>
      </c>
      <c r="I22" s="592">
        <v>1</v>
      </c>
      <c r="J22" s="592">
        <f>I20</f>
        <v>16.387059999999998</v>
      </c>
      <c r="K22" s="951">
        <f>K19*I19</f>
        <v>18927.050000000003</v>
      </c>
      <c r="L22" s="675"/>
      <c r="M22" s="675"/>
      <c r="N22" s="675"/>
      <c r="O22" s="675"/>
      <c r="P22" s="675"/>
      <c r="Q22" s="675"/>
      <c r="R22" s="675"/>
      <c r="S22" s="675"/>
      <c r="T22" s="675"/>
      <c r="U22" s="675"/>
      <c r="V22" s="675"/>
      <c r="W22" s="675"/>
      <c r="X22" s="675"/>
      <c r="Y22" s="675"/>
      <c r="Z22" s="675"/>
      <c r="AA22" s="675"/>
      <c r="AB22" s="675"/>
      <c r="AC22" s="675"/>
    </row>
    <row r="23" spans="1:29" s="15" customFormat="1" ht="39.950000000000003" customHeight="1" thickBot="1" x14ac:dyDescent="0.3">
      <c r="A23" s="675"/>
      <c r="B23" s="35"/>
      <c r="C23" s="675"/>
      <c r="D23" s="14"/>
      <c r="E23" s="14"/>
      <c r="F23" s="952"/>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row>
    <row r="24" spans="1:29" s="15" customFormat="1" ht="39.950000000000003" customHeight="1" thickBot="1" x14ac:dyDescent="0.3">
      <c r="A24" s="675"/>
      <c r="B24" s="1623" t="s">
        <v>465</v>
      </c>
      <c r="C24" s="1624"/>
      <c r="D24" s="1624"/>
      <c r="E24" s="1624"/>
      <c r="F24" s="1624"/>
      <c r="G24" s="1624"/>
      <c r="H24" s="1624"/>
      <c r="I24" s="1624"/>
      <c r="J24" s="1624"/>
      <c r="K24" s="1624"/>
      <c r="L24" s="1625"/>
      <c r="M24" s="675"/>
      <c r="N24" s="675"/>
      <c r="O24" s="675"/>
      <c r="P24" s="675"/>
      <c r="Q24" s="675"/>
      <c r="R24" s="675"/>
      <c r="S24" s="675"/>
      <c r="T24" s="675"/>
      <c r="U24" s="675"/>
      <c r="V24" s="675"/>
      <c r="W24" s="675"/>
      <c r="X24" s="675"/>
      <c r="Y24" s="675"/>
      <c r="Z24" s="675"/>
      <c r="AA24" s="675"/>
      <c r="AB24" s="675"/>
      <c r="AC24" s="675"/>
    </row>
    <row r="25" spans="1:29" s="12" customFormat="1" ht="39.950000000000003" customHeight="1" thickBot="1" x14ac:dyDescent="0.35">
      <c r="A25" s="716"/>
      <c r="B25" s="953"/>
      <c r="C25" s="954"/>
      <c r="D25" s="954"/>
      <c r="E25" s="954"/>
      <c r="F25" s="954"/>
      <c r="G25" s="954"/>
      <c r="H25" s="954"/>
      <c r="I25" s="954"/>
      <c r="J25" s="954"/>
      <c r="K25" s="70" t="s">
        <v>330</v>
      </c>
      <c r="L25" s="71" t="s">
        <v>132</v>
      </c>
      <c r="M25" s="633"/>
      <c r="N25" s="633"/>
      <c r="O25" s="633"/>
      <c r="P25" s="633"/>
      <c r="Q25" s="633"/>
      <c r="R25" s="633"/>
      <c r="S25" s="633"/>
      <c r="T25" s="633"/>
      <c r="U25" s="633"/>
      <c r="V25" s="633"/>
      <c r="W25" s="633"/>
      <c r="X25" s="633"/>
      <c r="Y25" s="633"/>
      <c r="Z25" s="633"/>
      <c r="AA25" s="633"/>
      <c r="AB25" s="633"/>
      <c r="AC25" s="633"/>
    </row>
    <row r="26" spans="1:29" s="13" customFormat="1" ht="39.950000000000003" customHeight="1" thickBot="1" x14ac:dyDescent="0.35">
      <c r="A26" s="716"/>
      <c r="B26" s="955" t="s">
        <v>466</v>
      </c>
      <c r="C26" s="956"/>
      <c r="D26" s="956"/>
      <c r="E26" s="956"/>
      <c r="F26" s="956"/>
      <c r="G26" s="957"/>
      <c r="H26" s="957"/>
      <c r="I26" s="957"/>
      <c r="J26" s="958"/>
      <c r="K26" s="825" t="e">
        <f>1/(D12)</f>
        <v>#N/A</v>
      </c>
      <c r="L26" s="959" t="s">
        <v>120</v>
      </c>
      <c r="M26" s="716"/>
      <c r="N26" s="716"/>
      <c r="O26" s="716"/>
      <c r="P26" s="716"/>
      <c r="Q26" s="716"/>
      <c r="R26" s="716"/>
      <c r="S26" s="716"/>
      <c r="T26" s="716"/>
      <c r="U26" s="716"/>
      <c r="V26" s="716"/>
      <c r="W26" s="716"/>
      <c r="X26" s="716"/>
      <c r="Y26" s="716"/>
      <c r="Z26" s="716"/>
      <c r="AA26" s="716"/>
      <c r="AB26" s="716"/>
      <c r="AC26" s="716"/>
    </row>
    <row r="27" spans="1:29" s="12" customFormat="1" ht="5.0999999999999996" customHeight="1" thickBot="1" x14ac:dyDescent="0.35">
      <c r="A27" s="716"/>
      <c r="B27" s="960"/>
      <c r="C27" s="961"/>
      <c r="D27" s="961"/>
      <c r="E27" s="961"/>
      <c r="F27" s="961"/>
      <c r="G27" s="716"/>
      <c r="H27" s="716"/>
      <c r="I27" s="716"/>
      <c r="J27" s="716"/>
      <c r="K27" s="962"/>
      <c r="L27" s="72"/>
      <c r="M27" s="633"/>
      <c r="N27" s="633"/>
      <c r="O27" s="633"/>
      <c r="P27" s="633"/>
      <c r="Q27" s="633"/>
      <c r="R27" s="633"/>
      <c r="S27" s="633"/>
      <c r="T27" s="633"/>
      <c r="U27" s="633"/>
      <c r="V27" s="633"/>
      <c r="W27" s="633"/>
      <c r="X27" s="633"/>
      <c r="Y27" s="633"/>
      <c r="Z27" s="633"/>
      <c r="AA27" s="633"/>
      <c r="AB27" s="633"/>
      <c r="AC27" s="633"/>
    </row>
    <row r="28" spans="1:29" s="13" customFormat="1" ht="39.950000000000003" customHeight="1" thickBot="1" x14ac:dyDescent="0.35">
      <c r="A28" s="716"/>
      <c r="B28" s="955" t="s">
        <v>467</v>
      </c>
      <c r="C28" s="956"/>
      <c r="D28" s="956"/>
      <c r="E28" s="956"/>
      <c r="F28" s="956"/>
      <c r="G28" s="957"/>
      <c r="H28" s="957"/>
      <c r="I28" s="957"/>
      <c r="J28" s="958"/>
      <c r="K28" s="825" t="e">
        <f>-1/(D12)</f>
        <v>#N/A</v>
      </c>
      <c r="L28" s="959" t="s">
        <v>120</v>
      </c>
      <c r="M28" s="716"/>
      <c r="N28" s="716"/>
      <c r="O28" s="716"/>
      <c r="P28" s="716"/>
      <c r="Q28" s="716"/>
      <c r="R28" s="716"/>
      <c r="S28" s="716"/>
      <c r="T28" s="716"/>
      <c r="U28" s="716"/>
      <c r="V28" s="716"/>
      <c r="W28" s="716"/>
      <c r="X28" s="716"/>
      <c r="Y28" s="716"/>
      <c r="Z28" s="716"/>
      <c r="AA28" s="716"/>
      <c r="AB28" s="716"/>
      <c r="AC28" s="716"/>
    </row>
    <row r="29" spans="1:29" s="12" customFormat="1" ht="5.0999999999999996" customHeight="1" thickBot="1" x14ac:dyDescent="0.35">
      <c r="A29" s="716"/>
      <c r="B29" s="960"/>
      <c r="C29" s="961"/>
      <c r="D29" s="961"/>
      <c r="E29" s="961"/>
      <c r="F29" s="961"/>
      <c r="G29" s="716"/>
      <c r="H29" s="716"/>
      <c r="I29" s="716"/>
      <c r="J29" s="716"/>
      <c r="K29" s="962"/>
      <c r="L29" s="963"/>
      <c r="M29" s="633"/>
      <c r="N29" s="633"/>
      <c r="O29" s="633"/>
      <c r="P29" s="633"/>
      <c r="Q29" s="633"/>
      <c r="R29" s="633"/>
      <c r="S29" s="633"/>
      <c r="T29" s="633"/>
      <c r="U29" s="633"/>
      <c r="V29" s="633"/>
      <c r="W29" s="633"/>
      <c r="X29" s="633"/>
      <c r="Y29" s="633"/>
      <c r="Z29" s="633"/>
      <c r="AA29" s="633"/>
      <c r="AB29" s="633"/>
      <c r="AC29" s="633"/>
    </row>
    <row r="30" spans="1:29" s="13" customFormat="1" ht="39.950000000000003" customHeight="1" thickBot="1" x14ac:dyDescent="0.35">
      <c r="A30" s="716"/>
      <c r="B30" s="955" t="s">
        <v>467</v>
      </c>
      <c r="C30" s="956"/>
      <c r="D30" s="956"/>
      <c r="E30" s="956"/>
      <c r="F30" s="956"/>
      <c r="G30" s="957"/>
      <c r="H30" s="957"/>
      <c r="I30" s="957"/>
      <c r="J30" s="958"/>
      <c r="K30" s="825" t="e">
        <f>1/(D12)</f>
        <v>#N/A</v>
      </c>
      <c r="L30" s="959" t="s">
        <v>120</v>
      </c>
      <c r="M30" s="716"/>
      <c r="N30" s="716"/>
      <c r="O30" s="716"/>
      <c r="P30" s="716"/>
      <c r="Q30" s="716"/>
      <c r="R30" s="716"/>
      <c r="S30" s="716"/>
      <c r="T30" s="716"/>
      <c r="U30" s="716"/>
      <c r="V30" s="716"/>
      <c r="W30" s="716"/>
      <c r="X30" s="716"/>
      <c r="Y30" s="716"/>
      <c r="Z30" s="716"/>
      <c r="AA30" s="716"/>
      <c r="AB30" s="716"/>
      <c r="AC30" s="716"/>
    </row>
    <row r="31" spans="1:29" s="12" customFormat="1" ht="5.0999999999999996" customHeight="1" thickBot="1" x14ac:dyDescent="0.3">
      <c r="A31" s="716"/>
      <c r="B31" s="826"/>
      <c r="C31" s="961"/>
      <c r="D31" s="961"/>
      <c r="E31" s="961"/>
      <c r="F31" s="961"/>
      <c r="G31" s="716"/>
      <c r="H31" s="716"/>
      <c r="I31" s="716"/>
      <c r="J31" s="716"/>
      <c r="K31" s="964"/>
      <c r="L31" s="963"/>
      <c r="M31" s="733"/>
      <c r="N31" s="716"/>
      <c r="O31" s="716"/>
      <c r="P31" s="716"/>
      <c r="Q31" s="716"/>
      <c r="R31" s="716"/>
      <c r="S31" s="633"/>
      <c r="T31" s="633"/>
      <c r="U31" s="633"/>
      <c r="V31" s="633"/>
      <c r="W31" s="633"/>
      <c r="X31" s="633"/>
      <c r="Y31" s="633"/>
      <c r="Z31" s="633"/>
      <c r="AA31" s="633"/>
      <c r="AB31" s="633"/>
      <c r="AC31" s="633"/>
    </row>
    <row r="32" spans="1:29" s="13" customFormat="1" ht="39.950000000000003" customHeight="1" thickBot="1" x14ac:dyDescent="0.3">
      <c r="A32" s="716"/>
      <c r="B32" s="955" t="s">
        <v>467</v>
      </c>
      <c r="C32" s="956"/>
      <c r="D32" s="956"/>
      <c r="E32" s="956"/>
      <c r="F32" s="956"/>
      <c r="G32" s="957"/>
      <c r="H32" s="957"/>
      <c r="I32" s="957"/>
      <c r="J32" s="958"/>
      <c r="K32" s="825" t="e">
        <f>K30</f>
        <v>#N/A</v>
      </c>
      <c r="L32" s="959" t="s">
        <v>120</v>
      </c>
      <c r="M32" s="716"/>
      <c r="N32" s="716"/>
      <c r="O32" s="716"/>
      <c r="P32" s="716"/>
      <c r="Q32" s="716"/>
      <c r="R32" s="716"/>
      <c r="S32" s="716"/>
      <c r="T32" s="716"/>
      <c r="U32" s="716"/>
      <c r="V32" s="716"/>
      <c r="W32" s="716"/>
      <c r="X32" s="716"/>
      <c r="Y32" s="716"/>
      <c r="Z32" s="716"/>
      <c r="AA32" s="716"/>
      <c r="AB32" s="716"/>
      <c r="AC32" s="716"/>
    </row>
    <row r="33" spans="1:18" s="12" customFormat="1" ht="5.0999999999999996" customHeight="1" thickBot="1" x14ac:dyDescent="0.3">
      <c r="A33" s="716"/>
      <c r="B33" s="960"/>
      <c r="C33" s="961"/>
      <c r="D33" s="961"/>
      <c r="E33" s="961"/>
      <c r="F33" s="961"/>
      <c r="G33" s="716"/>
      <c r="H33" s="716"/>
      <c r="I33" s="716"/>
      <c r="J33" s="716"/>
      <c r="K33" s="964"/>
      <c r="L33" s="963"/>
      <c r="M33" s="733"/>
      <c r="N33" s="716"/>
      <c r="O33" s="716"/>
      <c r="P33" s="716"/>
      <c r="Q33" s="716"/>
      <c r="R33" s="716"/>
    </row>
    <row r="34" spans="1:18" s="13" customFormat="1" ht="39.950000000000003" customHeight="1" thickBot="1" x14ac:dyDescent="0.3">
      <c r="A34" s="716"/>
      <c r="B34" s="955" t="s">
        <v>467</v>
      </c>
      <c r="C34" s="956"/>
      <c r="D34" s="956"/>
      <c r="E34" s="956"/>
      <c r="F34" s="956"/>
      <c r="G34" s="957"/>
      <c r="H34" s="957"/>
      <c r="I34" s="957"/>
      <c r="J34" s="958"/>
      <c r="K34" s="825">
        <v>1</v>
      </c>
      <c r="L34" s="959" t="s">
        <v>120</v>
      </c>
      <c r="M34" s="716"/>
      <c r="N34" s="716"/>
      <c r="O34" s="716"/>
      <c r="P34" s="716"/>
      <c r="Q34" s="716"/>
      <c r="R34" s="716"/>
    </row>
    <row r="35" spans="1:18" s="12" customFormat="1" ht="5.0999999999999996" customHeight="1" thickBot="1" x14ac:dyDescent="0.3">
      <c r="A35" s="716"/>
      <c r="B35" s="965"/>
      <c r="C35" s="716"/>
      <c r="D35" s="716"/>
      <c r="E35" s="716"/>
      <c r="F35" s="716"/>
      <c r="G35" s="716"/>
      <c r="H35" s="716"/>
      <c r="I35" s="716"/>
      <c r="J35" s="716"/>
      <c r="K35" s="966"/>
      <c r="L35" s="967"/>
      <c r="M35" s="733"/>
      <c r="N35" s="716"/>
      <c r="O35" s="716"/>
      <c r="P35" s="716"/>
      <c r="Q35" s="716"/>
      <c r="R35" s="716"/>
    </row>
    <row r="36" spans="1:18" s="13" customFormat="1" ht="39.950000000000003" customHeight="1" thickBot="1" x14ac:dyDescent="0.3">
      <c r="A36" s="716"/>
      <c r="B36" s="955" t="s">
        <v>467</v>
      </c>
      <c r="C36" s="956"/>
      <c r="D36" s="956"/>
      <c r="E36" s="956"/>
      <c r="F36" s="956"/>
      <c r="G36" s="957"/>
      <c r="H36" s="957"/>
      <c r="I36" s="957"/>
      <c r="J36" s="958"/>
      <c r="K36" s="825">
        <v>1</v>
      </c>
      <c r="L36" s="959" t="s">
        <v>120</v>
      </c>
      <c r="M36" s="716"/>
      <c r="N36" s="716"/>
      <c r="O36" s="716"/>
      <c r="P36" s="716"/>
      <c r="Q36" s="716"/>
      <c r="R36" s="716"/>
    </row>
    <row r="37" spans="1:18" s="13" customFormat="1" ht="39.950000000000003" customHeight="1" x14ac:dyDescent="0.25">
      <c r="A37" s="716"/>
      <c r="B37" s="716"/>
      <c r="C37" s="716"/>
      <c r="D37" s="716"/>
      <c r="E37" s="716"/>
      <c r="F37" s="716"/>
      <c r="G37" s="716"/>
      <c r="H37" s="716"/>
      <c r="I37" s="716"/>
      <c r="J37" s="716"/>
      <c r="K37" s="716"/>
      <c r="L37" s="716"/>
      <c r="M37" s="733"/>
      <c r="N37" s="716"/>
      <c r="O37" s="716"/>
      <c r="P37" s="716"/>
      <c r="Q37" s="716"/>
      <c r="R37" s="716"/>
    </row>
    <row r="38" spans="1:18" s="13" customFormat="1" ht="39.950000000000003" customHeight="1" thickBot="1" x14ac:dyDescent="0.3">
      <c r="A38" s="716"/>
      <c r="B38" s="716"/>
      <c r="C38" s="716"/>
      <c r="D38" s="716"/>
      <c r="E38" s="716"/>
      <c r="F38" s="716"/>
      <c r="G38" s="716"/>
      <c r="H38" s="716"/>
      <c r="I38" s="716"/>
      <c r="J38" s="716"/>
      <c r="K38" s="716"/>
      <c r="L38" s="716"/>
      <c r="M38" s="716"/>
      <c r="N38" s="716"/>
      <c r="O38" s="716"/>
      <c r="P38" s="716"/>
      <c r="Q38" s="716"/>
      <c r="R38" s="36"/>
    </row>
    <row r="39" spans="1:18" s="12" customFormat="1" ht="39.950000000000003" customHeight="1" thickBot="1" x14ac:dyDescent="0.3">
      <c r="A39" s="633"/>
      <c r="B39" s="1623" t="s">
        <v>468</v>
      </c>
      <c r="C39" s="1624"/>
      <c r="D39" s="1624"/>
      <c r="E39" s="1624"/>
      <c r="F39" s="1624"/>
      <c r="G39" s="1624"/>
      <c r="H39" s="1624"/>
      <c r="I39" s="1624"/>
      <c r="J39" s="1624"/>
      <c r="K39" s="1624"/>
      <c r="L39" s="1624"/>
      <c r="M39" s="1624"/>
      <c r="N39" s="1624"/>
      <c r="O39" s="1624"/>
      <c r="P39" s="1624"/>
      <c r="Q39" s="1625"/>
      <c r="R39" s="633"/>
    </row>
    <row r="40" spans="1:18" s="12" customFormat="1" ht="48" customHeight="1" thickBot="1" x14ac:dyDescent="0.3">
      <c r="A40" s="716"/>
      <c r="B40" s="1469" t="s">
        <v>469</v>
      </c>
      <c r="C40" s="1626"/>
      <c r="D40" s="37" t="s">
        <v>470</v>
      </c>
      <c r="E40" s="37" t="s">
        <v>471</v>
      </c>
      <c r="F40" s="37" t="s">
        <v>132</v>
      </c>
      <c r="G40" s="37" t="s">
        <v>396</v>
      </c>
      <c r="H40" s="37" t="s">
        <v>472</v>
      </c>
      <c r="I40" s="37"/>
      <c r="J40" s="37" t="s">
        <v>473</v>
      </c>
      <c r="K40" s="37"/>
      <c r="L40" s="58" t="s">
        <v>474</v>
      </c>
      <c r="M40" s="37" t="s">
        <v>132</v>
      </c>
      <c r="N40" s="58" t="s">
        <v>475</v>
      </c>
      <c r="O40" s="37" t="s">
        <v>352</v>
      </c>
      <c r="P40" s="37" t="s">
        <v>476</v>
      </c>
      <c r="Q40" s="38" t="s">
        <v>477</v>
      </c>
      <c r="R40" s="633"/>
    </row>
    <row r="41" spans="1:18" s="13" customFormat="1" ht="39.950000000000003" customHeight="1" thickBot="1" x14ac:dyDescent="0.3">
      <c r="A41" s="716"/>
      <c r="B41" s="39"/>
      <c r="C41" s="14"/>
      <c r="D41" s="14"/>
      <c r="E41" s="14"/>
      <c r="F41" s="14"/>
      <c r="G41" s="716"/>
      <c r="H41" s="716"/>
      <c r="I41" s="716"/>
      <c r="J41" s="716"/>
      <c r="K41" s="716"/>
      <c r="L41" s="716"/>
      <c r="M41" s="716"/>
      <c r="N41" s="716"/>
      <c r="O41" s="716"/>
      <c r="P41" s="716"/>
      <c r="Q41" s="716"/>
      <c r="R41" s="716"/>
    </row>
    <row r="42" spans="1:18" s="12" customFormat="1" ht="39.950000000000003" customHeight="1" thickBot="1" x14ac:dyDescent="0.3">
      <c r="A42" s="1646"/>
      <c r="B42" s="1651" t="s">
        <v>478</v>
      </c>
      <c r="C42" s="1628"/>
      <c r="D42" s="78" t="e">
        <f>V14</f>
        <v>#N/A</v>
      </c>
      <c r="E42" s="968"/>
      <c r="F42" s="867" t="s">
        <v>120</v>
      </c>
      <c r="G42" s="716"/>
      <c r="H42" s="716"/>
      <c r="I42" s="716"/>
      <c r="J42" s="716"/>
      <c r="K42" s="716"/>
      <c r="L42" s="716"/>
      <c r="M42" s="716"/>
      <c r="N42" s="716"/>
      <c r="O42" s="716"/>
      <c r="P42" s="716"/>
      <c r="Q42" s="716"/>
      <c r="R42" s="716"/>
    </row>
    <row r="43" spans="1:18" s="12" customFormat="1" ht="39.950000000000003" customHeight="1" x14ac:dyDescent="0.25">
      <c r="A43" s="1646"/>
      <c r="B43" s="1649" t="s">
        <v>479</v>
      </c>
      <c r="C43" s="1650"/>
      <c r="D43" s="290" t="e">
        <f>S11</f>
        <v>#N/A</v>
      </c>
      <c r="E43" s="969" t="e">
        <f>F8</f>
        <v>#N/A</v>
      </c>
      <c r="F43" s="869" t="s">
        <v>120</v>
      </c>
      <c r="G43" s="970" t="e">
        <f>G8</f>
        <v>#N/A</v>
      </c>
      <c r="H43" s="971" t="e">
        <f>E43/G43</f>
        <v>#N/A</v>
      </c>
      <c r="I43" s="869" t="str">
        <f>F42</f>
        <v>mL</v>
      </c>
      <c r="J43" s="851">
        <v>0.05</v>
      </c>
      <c r="K43" s="869" t="s">
        <v>120</v>
      </c>
      <c r="L43" s="971" t="e">
        <f>J43*H43</f>
        <v>#N/A</v>
      </c>
      <c r="M43" s="869" t="s">
        <v>120</v>
      </c>
      <c r="N43" s="972" t="e">
        <f t="shared" ref="N43:N48" si="0">L43^2</f>
        <v>#N/A</v>
      </c>
      <c r="O43" s="843" t="s">
        <v>358</v>
      </c>
      <c r="P43" s="843" t="s">
        <v>359</v>
      </c>
      <c r="Q43" s="973">
        <v>50</v>
      </c>
      <c r="R43" s="716"/>
    </row>
    <row r="44" spans="1:18" s="12" customFormat="1" ht="39.950000000000003" customHeight="1" x14ac:dyDescent="0.25">
      <c r="A44" s="1646"/>
      <c r="B44" s="1647" t="s">
        <v>480</v>
      </c>
      <c r="C44" s="1648"/>
      <c r="D44" s="79" t="e">
        <f>W18</f>
        <v>#DIV/0!</v>
      </c>
      <c r="E44" s="974" t="e">
        <f>D8</f>
        <v>#N/A</v>
      </c>
      <c r="F44" s="871" t="s">
        <v>120</v>
      </c>
      <c r="G44" s="857">
        <f>SQRT(3)</f>
        <v>1.7320508075688772</v>
      </c>
      <c r="H44" s="975" t="e">
        <f>SQRT((H43)^2+(Q21)^2)</f>
        <v>#N/A</v>
      </c>
      <c r="I44" s="871" t="str">
        <f>F43</f>
        <v>mL</v>
      </c>
      <c r="J44" s="855" t="e">
        <f>K28</f>
        <v>#N/A</v>
      </c>
      <c r="K44" s="871" t="s">
        <v>120</v>
      </c>
      <c r="L44" s="976" t="e">
        <f>J44*H44</f>
        <v>#N/A</v>
      </c>
      <c r="M44" s="871" t="s">
        <v>120</v>
      </c>
      <c r="N44" s="977" t="e">
        <f t="shared" si="0"/>
        <v>#N/A</v>
      </c>
      <c r="O44" s="857" t="s">
        <v>358</v>
      </c>
      <c r="P44" s="857" t="s">
        <v>361</v>
      </c>
      <c r="Q44" s="817">
        <v>50</v>
      </c>
      <c r="R44" s="716"/>
    </row>
    <row r="45" spans="1:18" s="12" customFormat="1" ht="39.950000000000003" customHeight="1" thickBot="1" x14ac:dyDescent="0.3">
      <c r="A45" s="716"/>
      <c r="B45" s="1619" t="s">
        <v>481</v>
      </c>
      <c r="C45" s="1620"/>
      <c r="D45" s="40"/>
      <c r="E45" s="847" t="e">
        <f>I12/D12</f>
        <v>#N/A</v>
      </c>
      <c r="F45" s="845" t="s">
        <v>120</v>
      </c>
      <c r="G45" s="847">
        <f>SQRT(3)</f>
        <v>1.7320508075688772</v>
      </c>
      <c r="H45" s="861" t="e">
        <f>E45/G45</f>
        <v>#N/A</v>
      </c>
      <c r="I45" s="845" t="str">
        <f>F44</f>
        <v>mL</v>
      </c>
      <c r="J45" s="861">
        <f>J43</f>
        <v>0.05</v>
      </c>
      <c r="K45" s="845" t="s">
        <v>120</v>
      </c>
      <c r="L45" s="978" t="e">
        <f>J45*H45</f>
        <v>#N/A</v>
      </c>
      <c r="M45" s="845" t="s">
        <v>120</v>
      </c>
      <c r="N45" s="978" t="e">
        <f t="shared" si="0"/>
        <v>#N/A</v>
      </c>
      <c r="O45" s="847" t="s">
        <v>482</v>
      </c>
      <c r="P45" s="847" t="s">
        <v>361</v>
      </c>
      <c r="Q45" s="979" t="s">
        <v>362</v>
      </c>
      <c r="R45" s="716"/>
    </row>
    <row r="46" spans="1:18" s="13" customFormat="1" ht="39.950000000000003" customHeight="1" x14ac:dyDescent="0.25">
      <c r="A46" s="716"/>
      <c r="B46" s="1636" t="s">
        <v>483</v>
      </c>
      <c r="C46" s="1637"/>
      <c r="D46" s="73"/>
      <c r="E46" s="843" t="e">
        <f>I12/D12</f>
        <v>#N/A</v>
      </c>
      <c r="F46" s="869" t="s">
        <v>120</v>
      </c>
      <c r="G46" s="843">
        <f>SQRT(3)</f>
        <v>1.7320508075688772</v>
      </c>
      <c r="H46" s="851" t="e">
        <f>E46/G46</f>
        <v>#N/A</v>
      </c>
      <c r="I46" s="869" t="str">
        <f>$I$45</f>
        <v>mL</v>
      </c>
      <c r="J46" s="980">
        <f>J43</f>
        <v>0.05</v>
      </c>
      <c r="K46" s="869" t="s">
        <v>120</v>
      </c>
      <c r="L46" s="972" t="e">
        <f>H46*J46</f>
        <v>#N/A</v>
      </c>
      <c r="M46" s="869" t="s">
        <v>120</v>
      </c>
      <c r="N46" s="972" t="e">
        <f t="shared" si="0"/>
        <v>#N/A</v>
      </c>
      <c r="O46" s="843" t="s">
        <v>482</v>
      </c>
      <c r="P46" s="843" t="s">
        <v>361</v>
      </c>
      <c r="Q46" s="973" t="s">
        <v>362</v>
      </c>
      <c r="R46" s="716"/>
    </row>
    <row r="47" spans="1:18" s="12" customFormat="1" ht="39.950000000000003" customHeight="1" thickBot="1" x14ac:dyDescent="0.3">
      <c r="A47" s="716"/>
      <c r="B47" s="1619" t="s">
        <v>484</v>
      </c>
      <c r="C47" s="1620"/>
      <c r="D47" s="40"/>
      <c r="E47" s="861" t="e">
        <f>I12*((C21)/(2*F19))</f>
        <v>#N/A</v>
      </c>
      <c r="F47" s="845" t="s">
        <v>120</v>
      </c>
      <c r="G47" s="847">
        <f>SQRT(12)</f>
        <v>3.4641016151377544</v>
      </c>
      <c r="H47" s="861" t="e">
        <f>E47/G47</f>
        <v>#N/A</v>
      </c>
      <c r="I47" s="845" t="str">
        <f>$I$45</f>
        <v>mL</v>
      </c>
      <c r="J47" s="981">
        <v>1</v>
      </c>
      <c r="K47" s="845" t="s">
        <v>120</v>
      </c>
      <c r="L47" s="978" t="e">
        <f>H47*J47</f>
        <v>#N/A</v>
      </c>
      <c r="M47" s="845" t="s">
        <v>120</v>
      </c>
      <c r="N47" s="978" t="e">
        <f t="shared" si="0"/>
        <v>#N/A</v>
      </c>
      <c r="O47" s="847"/>
      <c r="P47" s="847" t="s">
        <v>361</v>
      </c>
      <c r="Q47" s="979" t="s">
        <v>362</v>
      </c>
      <c r="R47" s="716"/>
    </row>
    <row r="48" spans="1:18" s="12" customFormat="1" ht="39.950000000000003" customHeight="1" thickBot="1" x14ac:dyDescent="0.3">
      <c r="A48" s="716"/>
      <c r="B48" s="1621" t="s">
        <v>485</v>
      </c>
      <c r="C48" s="1622"/>
      <c r="D48" s="68"/>
      <c r="E48" s="982"/>
      <c r="F48" s="845"/>
      <c r="G48" s="982"/>
      <c r="H48" s="983" t="e">
        <f>W16</f>
        <v>#N/A</v>
      </c>
      <c r="I48" s="984" t="str">
        <f>$I$45</f>
        <v>mL</v>
      </c>
      <c r="J48" s="985">
        <v>1</v>
      </c>
      <c r="K48" s="984" t="s">
        <v>120</v>
      </c>
      <c r="L48" s="986" t="e">
        <f>H48*J48</f>
        <v>#N/A</v>
      </c>
      <c r="M48" s="984" t="s">
        <v>120</v>
      </c>
      <c r="N48" s="986" t="e">
        <f t="shared" si="0"/>
        <v>#N/A</v>
      </c>
      <c r="O48" s="982"/>
      <c r="P48" s="982" t="s">
        <v>361</v>
      </c>
      <c r="Q48" s="987">
        <v>2</v>
      </c>
      <c r="R48" s="716"/>
    </row>
    <row r="49" spans="1:18" s="12" customFormat="1" ht="39.950000000000003" customHeight="1" thickBot="1" x14ac:dyDescent="0.3">
      <c r="A49" s="716"/>
      <c r="B49" s="633"/>
      <c r="C49" s="633"/>
      <c r="D49" s="633"/>
      <c r="E49" s="633"/>
      <c r="F49" s="633"/>
      <c r="G49" s="633"/>
      <c r="H49" s="633"/>
      <c r="I49" s="633"/>
      <c r="J49" s="633"/>
      <c r="K49" s="633"/>
      <c r="L49" s="633"/>
      <c r="M49" s="633"/>
      <c r="N49" s="633"/>
      <c r="O49" s="633"/>
      <c r="P49" s="633"/>
      <c r="Q49" s="633"/>
      <c r="R49" s="716"/>
    </row>
    <row r="50" spans="1:18" s="15" customFormat="1" ht="39.950000000000003" customHeight="1" thickBot="1" x14ac:dyDescent="0.25">
      <c r="A50" s="675"/>
      <c r="B50" s="1607" t="s">
        <v>392</v>
      </c>
      <c r="C50" s="1608"/>
      <c r="D50" s="1608"/>
      <c r="E50" s="1608"/>
      <c r="F50" s="1608"/>
      <c r="G50" s="1609"/>
      <c r="H50" s="675"/>
      <c r="I50" s="675"/>
      <c r="J50" s="675"/>
      <c r="K50" s="988"/>
      <c r="L50" s="989"/>
      <c r="M50" s="990"/>
      <c r="N50" s="991" t="e">
        <f>SQRT(SUM(N42:N45,N46,N47,N48))</f>
        <v>#N/A</v>
      </c>
      <c r="O50" s="867" t="s">
        <v>120</v>
      </c>
      <c r="P50" s="992"/>
      <c r="Q50" s="675"/>
      <c r="R50" s="675"/>
    </row>
    <row r="51" spans="1:18" s="15" customFormat="1" ht="39.950000000000003" customHeight="1" thickBot="1" x14ac:dyDescent="0.25">
      <c r="A51" s="675"/>
      <c r="B51" s="993" t="s">
        <v>267</v>
      </c>
      <c r="C51" s="994" t="s">
        <v>486</v>
      </c>
      <c r="D51" s="994" t="s">
        <v>487</v>
      </c>
      <c r="E51" s="995" t="s">
        <v>396</v>
      </c>
      <c r="F51" s="994" t="s">
        <v>397</v>
      </c>
      <c r="G51" s="996" t="s">
        <v>488</v>
      </c>
      <c r="H51" s="675"/>
      <c r="I51" s="219" t="s">
        <v>489</v>
      </c>
      <c r="J51" s="675"/>
      <c r="K51" s="997"/>
      <c r="L51" s="989"/>
      <c r="M51" s="41" t="s">
        <v>393</v>
      </c>
      <c r="N51" s="69" t="e">
        <f>N50*O53</f>
        <v>#N/A</v>
      </c>
      <c r="O51" s="899" t="s">
        <v>120</v>
      </c>
      <c r="P51" s="989"/>
      <c r="Q51" s="675"/>
      <c r="R51" s="675"/>
    </row>
    <row r="52" spans="1:18" s="15" customFormat="1" ht="39.950000000000003" customHeight="1" thickBot="1" x14ac:dyDescent="0.25">
      <c r="A52" s="675"/>
      <c r="B52" s="998" t="s">
        <v>120</v>
      </c>
      <c r="C52" s="584" t="e">
        <f>W14</f>
        <v>#N/A</v>
      </c>
      <c r="D52" s="999" t="e">
        <f>N50</f>
        <v>#N/A</v>
      </c>
      <c r="E52" s="1600">
        <v>2</v>
      </c>
      <c r="F52" s="1000" t="e">
        <f>D52*E52</f>
        <v>#N/A</v>
      </c>
      <c r="G52" s="1597">
        <v>95</v>
      </c>
      <c r="H52" s="675"/>
      <c r="I52" s="1069"/>
      <c r="J52" s="675"/>
      <c r="K52" s="675"/>
      <c r="L52" s="36"/>
      <c r="M52" s="675"/>
      <c r="N52" s="1001"/>
      <c r="O52" s="1002" t="s">
        <v>396</v>
      </c>
      <c r="P52" s="1003"/>
      <c r="Q52" s="675"/>
      <c r="R52" s="675"/>
    </row>
    <row r="53" spans="1:18" s="15" customFormat="1" ht="39.950000000000003" customHeight="1" thickBot="1" x14ac:dyDescent="0.25">
      <c r="A53" s="913"/>
      <c r="B53" s="870" t="s">
        <v>437</v>
      </c>
      <c r="C53" s="571" t="e">
        <f>C52/J22</f>
        <v>#N/A</v>
      </c>
      <c r="D53" s="1004" t="e">
        <f>C53/J22</f>
        <v>#N/A</v>
      </c>
      <c r="E53" s="1601"/>
      <c r="F53" s="1005" t="e">
        <f>F52/J22</f>
        <v>#N/A</v>
      </c>
      <c r="G53" s="1598"/>
      <c r="H53" s="675"/>
      <c r="I53" s="675"/>
      <c r="J53" s="675"/>
      <c r="K53" s="675"/>
      <c r="L53" s="809" t="s">
        <v>401</v>
      </c>
      <c r="M53" s="1006"/>
      <c r="N53" s="74" t="e">
        <f>(N50^4)/((L43^4/Q43)+(L44^4/Q44)+(L48^4/Q48))</f>
        <v>#N/A</v>
      </c>
      <c r="O53" s="1007" t="e">
        <f>_xlfn.T.INV.2T(0.05,N53)</f>
        <v>#N/A</v>
      </c>
      <c r="P53" s="1008"/>
      <c r="Q53" s="675"/>
      <c r="R53" s="675"/>
    </row>
    <row r="54" spans="1:18" s="15" customFormat="1" ht="39.950000000000003" customHeight="1" thickBot="1" x14ac:dyDescent="0.25">
      <c r="A54" s="675"/>
      <c r="B54" s="1009" t="s">
        <v>404</v>
      </c>
      <c r="C54" s="639" t="e">
        <f>(C53*100)/K20</f>
        <v>#N/A</v>
      </c>
      <c r="D54" s="1010" t="e">
        <f>(D53*100)/1155</f>
        <v>#N/A</v>
      </c>
      <c r="E54" s="1602"/>
      <c r="F54" s="1011" t="e">
        <f>(F53*100)/K20</f>
        <v>#N/A</v>
      </c>
      <c r="G54" s="1599"/>
      <c r="H54" s="675"/>
      <c r="I54" s="675"/>
      <c r="J54" s="675"/>
      <c r="K54" s="675"/>
      <c r="L54" s="675"/>
      <c r="M54" s="675"/>
      <c r="N54" s="675"/>
      <c r="O54" s="1012"/>
      <c r="P54" s="675"/>
      <c r="Q54" s="675"/>
      <c r="R54" s="675"/>
    </row>
    <row r="55" spans="1:18" s="15" customFormat="1" ht="39.950000000000003" customHeight="1" x14ac:dyDescent="0.2">
      <c r="A55" s="675"/>
      <c r="B55" s="675"/>
      <c r="C55" s="675"/>
      <c r="D55" s="675"/>
      <c r="E55" s="675"/>
      <c r="F55" s="675"/>
      <c r="G55" s="675"/>
      <c r="H55" s="675"/>
      <c r="I55" s="675"/>
      <c r="J55" s="675"/>
      <c r="K55" s="675"/>
      <c r="L55" s="675"/>
      <c r="M55" s="675"/>
      <c r="N55" s="675"/>
      <c r="O55" s="675"/>
      <c r="P55" s="675"/>
      <c r="Q55" s="675"/>
      <c r="R55" s="675"/>
    </row>
    <row r="56" spans="1:18" s="15" customFormat="1" ht="39.950000000000003" customHeight="1" x14ac:dyDescent="0.2">
      <c r="A56" s="675"/>
      <c r="B56" s="675"/>
      <c r="C56" s="675"/>
      <c r="D56" s="675"/>
      <c r="E56" s="675"/>
      <c r="F56" s="675"/>
      <c r="G56" s="675"/>
      <c r="H56" s="675"/>
      <c r="I56" s="675"/>
      <c r="J56" s="675"/>
      <c r="K56" s="675"/>
      <c r="L56" s="675"/>
      <c r="M56" s="675"/>
      <c r="N56" s="675"/>
      <c r="O56" s="675"/>
      <c r="P56" s="675"/>
      <c r="Q56" s="675"/>
      <c r="R56" s="675"/>
    </row>
    <row r="57" spans="1:18" s="15" customFormat="1" ht="39.950000000000003" customHeight="1" x14ac:dyDescent="0.2">
      <c r="A57" s="675"/>
      <c r="B57" s="675"/>
      <c r="C57" s="675"/>
      <c r="D57" s="675"/>
      <c r="E57" s="675"/>
      <c r="F57" s="675"/>
      <c r="G57" s="675"/>
      <c r="H57" s="675"/>
      <c r="I57" s="675"/>
      <c r="J57" s="675"/>
      <c r="K57" s="675"/>
      <c r="L57" s="675"/>
      <c r="M57" s="675"/>
      <c r="N57" s="675"/>
      <c r="O57" s="675"/>
      <c r="P57" s="675"/>
      <c r="Q57" s="675"/>
      <c r="R57" s="675"/>
    </row>
    <row r="58" spans="1:18" s="15" customFormat="1" ht="39.950000000000003" customHeight="1" x14ac:dyDescent="0.2">
      <c r="A58" s="675"/>
      <c r="B58" s="675"/>
      <c r="C58" s="675"/>
      <c r="D58" s="675"/>
      <c r="E58" s="675"/>
      <c r="F58" s="675"/>
      <c r="G58" s="675"/>
      <c r="H58" s="675"/>
      <c r="I58" s="675"/>
      <c r="J58" s="675"/>
      <c r="K58" s="675"/>
      <c r="L58" s="675"/>
      <c r="M58" s="675"/>
      <c r="N58" s="675"/>
      <c r="O58" s="675"/>
      <c r="P58" s="675"/>
      <c r="Q58" s="675"/>
      <c r="R58" s="675"/>
    </row>
    <row r="59" spans="1:18" s="15" customFormat="1" x14ac:dyDescent="0.2">
      <c r="A59" s="675"/>
      <c r="B59" s="675"/>
      <c r="C59" s="675"/>
      <c r="D59" s="675"/>
      <c r="E59" s="675"/>
      <c r="F59" s="675"/>
      <c r="G59" s="675"/>
      <c r="H59" s="675"/>
      <c r="I59" s="675"/>
      <c r="J59" s="675"/>
      <c r="K59" s="675"/>
      <c r="L59" s="675"/>
      <c r="M59" s="675"/>
      <c r="N59" s="675"/>
      <c r="O59" s="675"/>
      <c r="P59" s="675"/>
      <c r="Q59" s="675"/>
      <c r="R59" s="675"/>
    </row>
    <row r="60" spans="1:18" s="15" customFormat="1" x14ac:dyDescent="0.2">
      <c r="A60" s="675"/>
      <c r="B60" s="675"/>
      <c r="C60" s="675"/>
      <c r="D60" s="675"/>
      <c r="E60" s="675"/>
      <c r="F60" s="675"/>
      <c r="G60" s="675"/>
      <c r="H60" s="675"/>
      <c r="I60" s="675"/>
      <c r="J60" s="675"/>
      <c r="K60" s="675"/>
      <c r="L60" s="675"/>
      <c r="M60" s="675"/>
      <c r="N60" s="675"/>
      <c r="O60" s="675"/>
      <c r="P60" s="675"/>
      <c r="Q60" s="675"/>
      <c r="R60" s="675"/>
    </row>
    <row r="61" spans="1:18" s="15" customFormat="1" x14ac:dyDescent="0.2">
      <c r="A61" s="675"/>
      <c r="B61" s="675"/>
      <c r="C61" s="675"/>
      <c r="D61" s="675"/>
      <c r="E61" s="675"/>
      <c r="F61" s="675"/>
      <c r="G61" s="675"/>
      <c r="H61" s="675"/>
      <c r="I61" s="675"/>
      <c r="J61" s="675"/>
      <c r="K61" s="675"/>
      <c r="L61" s="675"/>
      <c r="M61" s="675"/>
      <c r="N61" s="675"/>
      <c r="O61" s="675"/>
      <c r="P61" s="675"/>
      <c r="Q61" s="675"/>
      <c r="R61" s="675"/>
    </row>
  </sheetData>
  <sheetProtection password="CF5C" sheet="1" objects="1" scenarios="1"/>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(2023-06-06)</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L7</xm:sqref>
        </x14:dataValidation>
        <x14:dataValidation type="list" allowBlank="1" showInputMessage="1" showErrorMessage="1">
          <x14:formula1>
            <xm:f>'DATOS ¬'!$Y$59:$Y$64</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O44"/>
  <sheetViews>
    <sheetView showGridLines="0" zoomScale="70" zoomScaleNormal="70" zoomScaleSheetLayoutView="80" workbookViewId="0">
      <selection activeCell="G13" sqref="G13"/>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675"/>
      <c r="B1" s="1675"/>
      <c r="C1" s="1675"/>
      <c r="D1" s="1676" t="s">
        <v>415</v>
      </c>
      <c r="E1" s="1677"/>
      <c r="F1" s="1677"/>
      <c r="G1" s="1677"/>
      <c r="H1" s="1677"/>
      <c r="I1" s="1677"/>
      <c r="J1" s="1677"/>
      <c r="K1" s="1677"/>
      <c r="L1" s="1677"/>
      <c r="M1" s="1678"/>
      <c r="N1" s="1013"/>
      <c r="O1" s="1013"/>
    </row>
    <row r="2" spans="1:15" ht="9" customHeight="1" thickBot="1" x14ac:dyDescent="0.3">
      <c r="A2" s="1013"/>
      <c r="B2" s="1013"/>
      <c r="C2" s="1013"/>
      <c r="D2" s="1013"/>
      <c r="E2" s="1013"/>
      <c r="F2" s="1013"/>
      <c r="G2" s="1013"/>
      <c r="H2" s="1013"/>
      <c r="I2" s="1013"/>
      <c r="J2" s="1013"/>
      <c r="K2" s="1013"/>
      <c r="L2" s="1013"/>
      <c r="M2" s="1013"/>
      <c r="N2" s="1013"/>
      <c r="O2" s="1013"/>
    </row>
    <row r="3" spans="1:15" ht="15" customHeight="1" x14ac:dyDescent="0.2">
      <c r="A3" s="1013"/>
      <c r="B3" s="1679" t="s">
        <v>490</v>
      </c>
      <c r="C3" s="1680"/>
      <c r="D3" s="1680"/>
      <c r="E3" s="1680"/>
      <c r="F3" s="1680"/>
      <c r="G3" s="1680"/>
      <c r="H3" s="1680"/>
      <c r="I3" s="1680"/>
      <c r="J3" s="1680"/>
      <c r="K3" s="1680"/>
      <c r="L3" s="1680"/>
      <c r="M3" s="1013"/>
      <c r="N3" s="1013"/>
      <c r="O3" s="1013"/>
    </row>
    <row r="4" spans="1:15" ht="23.25" customHeight="1" thickBot="1" x14ac:dyDescent="0.25">
      <c r="A4" s="1013"/>
      <c r="B4" s="1681"/>
      <c r="C4" s="1682"/>
      <c r="D4" s="1682"/>
      <c r="E4" s="1682"/>
      <c r="F4" s="1682"/>
      <c r="G4" s="1682"/>
      <c r="H4" s="1682"/>
      <c r="I4" s="1682"/>
      <c r="J4" s="1682"/>
      <c r="K4" s="1682"/>
      <c r="L4" s="1682"/>
      <c r="M4" s="1013"/>
      <c r="N4" s="1013"/>
      <c r="O4" s="1013"/>
    </row>
    <row r="5" spans="1:15" ht="23.25" customHeight="1" thickBot="1" x14ac:dyDescent="0.3">
      <c r="A5" s="1013"/>
      <c r="B5" s="1013"/>
      <c r="C5" s="1013"/>
      <c r="D5" s="1013"/>
      <c r="E5" s="1013"/>
      <c r="F5" s="1013"/>
      <c r="G5" s="1013"/>
      <c r="H5" s="1013"/>
      <c r="I5" s="1013"/>
      <c r="J5" s="1013"/>
      <c r="K5" s="1013"/>
      <c r="L5" s="1013"/>
      <c r="M5" s="1013"/>
      <c r="N5" s="1013"/>
      <c r="O5" s="1013"/>
    </row>
    <row r="6" spans="1:15" s="83" customFormat="1" ht="39" customHeight="1" thickBot="1" x14ac:dyDescent="0.25">
      <c r="B6" s="1683" t="s">
        <v>491</v>
      </c>
      <c r="C6" s="1684"/>
      <c r="D6" s="1684"/>
      <c r="E6" s="1684"/>
      <c r="F6" s="1685"/>
      <c r="G6" s="82"/>
      <c r="H6" s="1683" t="s">
        <v>492</v>
      </c>
      <c r="I6" s="1684"/>
      <c r="J6" s="1684"/>
      <c r="K6" s="1684"/>
      <c r="L6" s="1685"/>
      <c r="N6" s="1688" t="s">
        <v>493</v>
      </c>
      <c r="O6" s="1689"/>
    </row>
    <row r="7" spans="1:15" s="84" customFormat="1" ht="30" customHeight="1" thickBot="1" x14ac:dyDescent="0.3">
      <c r="A7" s="1014"/>
      <c r="B7" s="226" t="s">
        <v>494</v>
      </c>
      <c r="C7" s="1015">
        <f>'RT03-F11 ¬'!K33</f>
        <v>0</v>
      </c>
      <c r="D7" s="227" t="s">
        <v>495</v>
      </c>
      <c r="E7" s="1015">
        <f>'RT03-F11 ¬'!P33</f>
        <v>0</v>
      </c>
      <c r="F7" s="1016">
        <f>'RT03-F11 ¬'!Q36</f>
        <v>0</v>
      </c>
      <c r="G7" s="1017"/>
      <c r="H7" s="226" t="s">
        <v>494</v>
      </c>
      <c r="I7" s="1015">
        <f>'DESPUES DE AJUSTE ¬ '!K33</f>
        <v>0</v>
      </c>
      <c r="J7" s="227" t="s">
        <v>495</v>
      </c>
      <c r="K7" s="1015">
        <f>'DESPUES DE AJUSTE ¬ '!P33</f>
        <v>0</v>
      </c>
      <c r="L7" s="1016">
        <f>'DESPUES DE AJUSTE ¬ '!Q36</f>
        <v>0</v>
      </c>
      <c r="M7" s="1014"/>
      <c r="N7" s="1690"/>
      <c r="O7" s="1691"/>
    </row>
    <row r="8" spans="1:15" s="84" customFormat="1" ht="30" customHeight="1" x14ac:dyDescent="0.25">
      <c r="A8" s="1014"/>
      <c r="B8" s="222" t="s">
        <v>496</v>
      </c>
      <c r="C8" s="223" t="s">
        <v>497</v>
      </c>
      <c r="D8" s="223" t="s">
        <v>134</v>
      </c>
      <c r="E8" s="223" t="s">
        <v>143</v>
      </c>
      <c r="F8" s="228" t="s">
        <v>136</v>
      </c>
      <c r="G8" s="1017"/>
      <c r="H8" s="222" t="s">
        <v>496</v>
      </c>
      <c r="I8" s="223" t="s">
        <v>497</v>
      </c>
      <c r="J8" s="223" t="s">
        <v>134</v>
      </c>
      <c r="K8" s="223" t="s">
        <v>143</v>
      </c>
      <c r="L8" s="228" t="s">
        <v>136</v>
      </c>
      <c r="M8" s="1014"/>
      <c r="N8" s="1018" t="s">
        <v>498</v>
      </c>
      <c r="O8" s="1019" t="s">
        <v>499</v>
      </c>
    </row>
    <row r="9" spans="1:15" s="84" customFormat="1" ht="32.1" customHeight="1" x14ac:dyDescent="0.25">
      <c r="A9" s="1014"/>
      <c r="B9" s="1692" t="e">
        <f>'RT03-F11 ¬'!M3</f>
        <v>#N/A</v>
      </c>
      <c r="C9" s="224" t="s">
        <v>500</v>
      </c>
      <c r="D9" s="1020"/>
      <c r="E9" s="1020"/>
      <c r="F9" s="1021"/>
      <c r="G9" s="1017"/>
      <c r="H9" s="1692" t="e">
        <f>'DESPUES DE AJUSTE ¬ '!M3</f>
        <v>#N/A</v>
      </c>
      <c r="I9" s="224" t="s">
        <v>500</v>
      </c>
      <c r="J9" s="1020"/>
      <c r="K9" s="1020"/>
      <c r="L9" s="1021"/>
      <c r="M9" s="1014"/>
      <c r="N9" s="484">
        <v>17</v>
      </c>
      <c r="O9" s="485">
        <v>23</v>
      </c>
    </row>
    <row r="10" spans="1:15" s="84" customFormat="1" ht="32.1" customHeight="1" x14ac:dyDescent="0.25">
      <c r="A10" s="1014"/>
      <c r="B10" s="1692"/>
      <c r="C10" s="224" t="s">
        <v>501</v>
      </c>
      <c r="D10" s="1020"/>
      <c r="E10" s="1020"/>
      <c r="F10" s="1021"/>
      <c r="G10" s="1017"/>
      <c r="H10" s="1692"/>
      <c r="I10" s="224" t="s">
        <v>501</v>
      </c>
      <c r="J10" s="1020"/>
      <c r="K10" s="1020"/>
      <c r="L10" s="1021"/>
      <c r="M10" s="1014"/>
      <c r="N10" s="1022" t="s">
        <v>502</v>
      </c>
      <c r="O10" s="1023" t="s">
        <v>503</v>
      </c>
    </row>
    <row r="11" spans="1:15" s="84" customFormat="1" ht="32.1" customHeight="1" x14ac:dyDescent="0.25">
      <c r="A11" s="1014"/>
      <c r="B11" s="1692"/>
      <c r="C11" s="224" t="s">
        <v>504</v>
      </c>
      <c r="D11" s="1064" t="e">
        <f>$D$9+((VLOOKUP('RT03-F11 ¬'!$Q$36,'DATOS ¬'!$B$131:$O$136,9,FALSE))*$D$9+(VLOOKUP('RT03-F11 ¬'!$Q$36,'DATOS ¬'!$B$131:$O$136,10,FALSE)))</f>
        <v>#N/A</v>
      </c>
      <c r="E11" s="1064" t="e">
        <f>$E$9+((VLOOKUP('RT03-F11 ¬'!$Q$36,'DATOS ¬'!$B$131:$O$136,11,FALSE))*$E$9+(VLOOKUP('RT03-F11 ¬'!$Q$36,'DATOS ¬'!$B$131:$O$136,12,FALSE)))</f>
        <v>#N/A</v>
      </c>
      <c r="F11" s="1065" t="e">
        <f>$F$9+((VLOOKUP('RT03-F11 ¬'!$Q$36,'DATOS ¬'!$B$131:$O$136,13,FALSE))*$F$9+(VLOOKUP('RT03-F11 ¬'!$Q$36,'DATOS ¬'!$B$131:$O$136,14,FALSE)))</f>
        <v>#N/A</v>
      </c>
      <c r="G11" s="1017"/>
      <c r="H11" s="1692"/>
      <c r="I11" s="224" t="s">
        <v>504</v>
      </c>
      <c r="J11" s="1064" t="e">
        <f>$J$9+((VLOOKUP('DESPUES DE AJUSTE ¬ '!$Q$36,'DATOS ¬'!$B$131:$O$136,9,FALSE))*$J$9+(VLOOKUP('DESPUES DE AJUSTE ¬ '!$Q$36,'DATOS ¬'!$B$131:$O$136,10,FALSE)))</f>
        <v>#N/A</v>
      </c>
      <c r="K11" s="1064" t="e">
        <f>$K$9+((VLOOKUP('DESPUES DE AJUSTE ¬ '!$Q$36,'DATOS ¬'!$B$131:$O$136,11,FALSE))*$K$9+(VLOOKUP('DESPUES DE AJUSTE ¬ '!$Q$36,'DATOS ¬'!$B$131:$O$136,12,FALSE)))</f>
        <v>#N/A</v>
      </c>
      <c r="L11" s="1065" t="e">
        <f>$L$9+((VLOOKUP('DESPUES DE AJUSTE ¬ '!$Q$36,'DATOS ¬'!$B$131:$O$136,13,FALSE))*$L$9+(VLOOKUP('DESPUES DE AJUSTE ¬ '!$Q$36,'DATOS ¬'!$B$131:$O$136,14,FALSE)))</f>
        <v>#N/A</v>
      </c>
      <c r="M11" s="1014"/>
      <c r="N11" s="484">
        <v>30</v>
      </c>
      <c r="O11" s="485">
        <v>80</v>
      </c>
    </row>
    <row r="12" spans="1:15" s="84" customFormat="1" ht="32.1" customHeight="1" thickBot="1" x14ac:dyDescent="0.3">
      <c r="A12" s="1014"/>
      <c r="B12" s="1693"/>
      <c r="C12" s="225" t="s">
        <v>505</v>
      </c>
      <c r="D12" s="1066" t="e">
        <f>$D$10+((VLOOKUP('RT03-F11 ¬'!$Q$36,'DATOS ¬'!$B$131:$O$136,9,FALSE))*$D$10+(VLOOKUP('RT03-F11 ¬'!$Q$36,'DATOS ¬'!$B$131:$O$136,10,FALSE)))</f>
        <v>#N/A</v>
      </c>
      <c r="E12" s="1066" t="e">
        <f>$E$10+((VLOOKUP('RT03-F11 ¬'!$Q$36,'DATOS ¬'!$B$131:$O$136,11,FALSE))*$E$10+(VLOOKUP('RT03-F11 ¬'!$Q$36,'DATOS ¬'!$B$131:$O$136,12,FALSE)))</f>
        <v>#N/A</v>
      </c>
      <c r="F12" s="1067" t="e">
        <f>$F$10+((VLOOKUP('RT03-F11 ¬'!$Q$36,'DATOS ¬'!$B$131:$O$136,13,FALSE))*$F$10+(VLOOKUP('RT03-F11 ¬'!$Q$36,'DATOS ¬'!$B$131:$O$136,14,FALSE)))</f>
        <v>#N/A</v>
      </c>
      <c r="G12" s="1017"/>
      <c r="H12" s="1693"/>
      <c r="I12" s="225" t="s">
        <v>505</v>
      </c>
      <c r="J12" s="1066" t="e">
        <f>$J$10+((VLOOKUP('DESPUES DE AJUSTE ¬ '!$Q$36,'DATOS ¬'!$B$131:$O$136,9,FALSE))*$J$10+(VLOOKUP('DESPUES DE AJUSTE ¬ '!$Q$36,'DATOS ¬'!$B$131:$O$136,10,FALSE)))</f>
        <v>#N/A</v>
      </c>
      <c r="K12" s="1066" t="e">
        <f>$K$10+((VLOOKUP('DESPUES DE AJUSTE ¬ '!$Q$36,'DATOS ¬'!$B$131:$O$136,11,FALSE))*$K$10+(VLOOKUP('DESPUES DE AJUSTE ¬ '!$Q$36,'DATOS ¬'!$B$131:$O$136,12,FALSE)))</f>
        <v>#N/A</v>
      </c>
      <c r="L12" s="1067" t="e">
        <f>$L$10+((VLOOKUP('DESPUES DE AJUSTE ¬ '!$Q$36,'DATOS ¬'!$B$131:$O$136,13,FALSE))*$L$10+(VLOOKUP('DESPUES DE AJUSTE ¬ '!$Q$36,'DATOS ¬'!$B$131:$O$136,14,FALSE)))</f>
        <v>#N/A</v>
      </c>
      <c r="M12" s="1014"/>
      <c r="N12" s="1022" t="s">
        <v>506</v>
      </c>
      <c r="O12" s="1023" t="s">
        <v>507</v>
      </c>
    </row>
    <row r="13" spans="1:15" s="84" customFormat="1" ht="30" customHeight="1" thickBot="1" x14ac:dyDescent="0.3">
      <c r="A13" s="1014"/>
      <c r="B13" s="1014"/>
      <c r="C13" s="1024"/>
      <c r="D13" s="1017"/>
      <c r="E13" s="1017"/>
      <c r="F13" s="1017"/>
      <c r="G13" s="1014"/>
      <c r="H13" s="1013"/>
      <c r="I13" s="1013"/>
      <c r="J13" s="1013"/>
      <c r="K13" s="1013"/>
      <c r="L13" s="1013"/>
      <c r="M13" s="1014"/>
      <c r="N13" s="486">
        <v>700</v>
      </c>
      <c r="O13" s="487">
        <v>800</v>
      </c>
    </row>
    <row r="14" spans="1:15" s="84" customFormat="1" ht="30" customHeight="1" x14ac:dyDescent="0.3">
      <c r="A14" s="1014"/>
      <c r="B14" s="1014"/>
      <c r="C14" s="1024"/>
      <c r="D14" s="1017"/>
      <c r="E14" s="1017"/>
      <c r="F14" s="1017"/>
      <c r="G14" s="1014"/>
      <c r="H14" s="1014"/>
      <c r="I14" s="1014"/>
      <c r="J14" s="1014"/>
      <c r="K14" s="1014"/>
      <c r="L14" s="1014"/>
      <c r="M14" s="1014"/>
      <c r="N14" s="1014"/>
      <c r="O14" s="1014"/>
    </row>
    <row r="15" spans="1:15" s="84" customFormat="1" ht="30" customHeight="1" x14ac:dyDescent="0.3">
      <c r="A15" s="1014"/>
      <c r="B15" s="1687"/>
      <c r="C15" s="1687"/>
      <c r="D15" s="1687"/>
      <c r="E15" s="1687"/>
      <c r="F15" s="1687"/>
      <c r="G15" s="1014"/>
      <c r="H15" s="1014"/>
      <c r="I15" s="1014"/>
      <c r="J15" s="1014"/>
      <c r="K15" s="1014"/>
      <c r="L15" s="1014"/>
      <c r="M15" s="1014"/>
      <c r="N15" s="1014"/>
      <c r="O15" s="1014"/>
    </row>
    <row r="16" spans="1:15" s="84" customFormat="1" ht="30" customHeight="1" x14ac:dyDescent="0.3">
      <c r="A16" s="1014"/>
      <c r="B16" s="1025"/>
      <c r="C16" s="1014"/>
      <c r="D16" s="1025"/>
      <c r="E16" s="1025"/>
      <c r="F16" s="1025"/>
      <c r="G16" s="1014"/>
      <c r="H16" s="1025"/>
      <c r="I16" s="1014"/>
      <c r="J16" s="1025"/>
      <c r="K16" s="1025"/>
      <c r="L16" s="1025"/>
      <c r="M16" s="1014"/>
      <c r="N16" s="1014"/>
      <c r="O16" s="1014"/>
    </row>
    <row r="17" spans="2:12" s="84" customFormat="1" ht="30" customHeight="1" x14ac:dyDescent="0.25">
      <c r="B17" s="1686"/>
      <c r="C17" s="1017"/>
      <c r="D17" s="1026"/>
      <c r="E17" s="1026"/>
      <c r="F17" s="1026"/>
      <c r="G17" s="1014"/>
      <c r="H17" s="1686"/>
      <c r="I17" s="1017"/>
      <c r="J17" s="1026"/>
      <c r="K17" s="1026"/>
      <c r="L17" s="1026"/>
    </row>
    <row r="18" spans="2:12" s="84" customFormat="1" ht="30" customHeight="1" x14ac:dyDescent="0.25">
      <c r="B18" s="1686"/>
      <c r="C18" s="85"/>
      <c r="D18" s="86"/>
      <c r="E18" s="86"/>
      <c r="F18" s="86"/>
      <c r="G18" s="1014"/>
      <c r="H18" s="1686"/>
      <c r="I18" s="85"/>
      <c r="J18" s="86"/>
      <c r="K18" s="86"/>
      <c r="L18" s="86"/>
    </row>
    <row r="19" spans="2:12" s="84" customFormat="1" ht="30" customHeight="1" x14ac:dyDescent="0.25">
      <c r="B19" s="1686"/>
      <c r="C19" s="85"/>
      <c r="D19" s="86"/>
      <c r="E19" s="86"/>
      <c r="F19" s="86"/>
      <c r="G19" s="1014"/>
      <c r="H19" s="1686"/>
      <c r="I19" s="85"/>
      <c r="J19" s="86"/>
      <c r="K19" s="86"/>
      <c r="L19" s="86"/>
    </row>
    <row r="20" spans="2:12" s="84" customFormat="1" ht="30" customHeight="1" x14ac:dyDescent="0.25">
      <c r="B20" s="1686"/>
      <c r="C20" s="1017"/>
      <c r="D20" s="1026"/>
      <c r="E20" s="1026"/>
      <c r="F20" s="1026"/>
      <c r="G20" s="1014"/>
      <c r="H20" s="1686"/>
      <c r="I20" s="1017"/>
      <c r="J20" s="1026"/>
      <c r="K20" s="1026"/>
      <c r="L20" s="1026"/>
    </row>
    <row r="21" spans="2:12" s="84" customFormat="1" ht="30" customHeight="1" x14ac:dyDescent="0.25">
      <c r="B21" s="1686"/>
      <c r="C21" s="1017"/>
      <c r="D21" s="1026"/>
      <c r="E21" s="1026"/>
      <c r="F21" s="1026"/>
      <c r="G21" s="1014"/>
      <c r="H21" s="1686"/>
      <c r="I21" s="1017"/>
      <c r="J21" s="1026"/>
      <c r="K21" s="1026"/>
      <c r="L21" s="1026"/>
    </row>
    <row r="22" spans="2:12" s="84" customFormat="1" ht="30" customHeight="1" x14ac:dyDescent="0.3">
      <c r="B22" s="1014"/>
      <c r="C22" s="1014"/>
      <c r="D22" s="1014"/>
      <c r="E22" s="1014"/>
      <c r="F22" s="1014"/>
      <c r="G22" s="1014"/>
      <c r="H22" s="1014"/>
      <c r="I22" s="1014"/>
      <c r="J22" s="1014"/>
      <c r="K22" s="1014"/>
      <c r="L22" s="1014"/>
    </row>
    <row r="23" spans="2:12" s="84" customFormat="1" ht="30" customHeight="1" x14ac:dyDescent="0.3">
      <c r="B23" s="1014"/>
      <c r="C23" s="1014"/>
      <c r="D23" s="1014"/>
      <c r="E23" s="1014"/>
      <c r="F23" s="1014"/>
      <c r="G23" s="1014"/>
      <c r="H23" s="1014"/>
      <c r="I23" s="1014"/>
      <c r="J23" s="1014"/>
      <c r="K23" s="1014"/>
      <c r="L23" s="1014"/>
    </row>
    <row r="24" spans="2:12" s="84" customFormat="1" ht="30" customHeight="1" x14ac:dyDescent="0.3">
      <c r="B24" s="1687"/>
      <c r="C24" s="1687"/>
      <c r="D24" s="1687"/>
      <c r="E24" s="1687"/>
      <c r="F24" s="1687"/>
      <c r="G24" s="1014"/>
      <c r="H24" s="1687"/>
      <c r="I24" s="1687"/>
      <c r="J24" s="1687"/>
      <c r="K24" s="1687"/>
      <c r="L24" s="1687"/>
    </row>
    <row r="25" spans="2:12" s="84" customFormat="1" ht="30" customHeight="1" x14ac:dyDescent="0.3">
      <c r="B25" s="1025"/>
      <c r="C25" s="1014"/>
      <c r="D25" s="1025"/>
      <c r="E25" s="1025"/>
      <c r="F25" s="1025"/>
      <c r="G25" s="1014"/>
      <c r="H25" s="1025"/>
      <c r="I25" s="1014"/>
      <c r="J25" s="1025"/>
      <c r="K25" s="1025"/>
      <c r="L25" s="1025"/>
    </row>
    <row r="26" spans="2:12" s="84" customFormat="1" ht="30" customHeight="1" x14ac:dyDescent="0.25">
      <c r="B26" s="1686"/>
      <c r="C26" s="1017"/>
      <c r="D26" s="1026"/>
      <c r="E26" s="1026"/>
      <c r="F26" s="1026"/>
      <c r="G26" s="1014"/>
      <c r="H26" s="1686"/>
      <c r="I26" s="1017"/>
      <c r="J26" s="1026"/>
      <c r="K26" s="1026"/>
      <c r="L26" s="1026"/>
    </row>
    <row r="27" spans="2:12" s="84" customFormat="1" ht="30" customHeight="1" x14ac:dyDescent="0.25">
      <c r="B27" s="1686"/>
      <c r="C27" s="85"/>
      <c r="D27" s="86"/>
      <c r="E27" s="86"/>
      <c r="F27" s="86"/>
      <c r="G27" s="1014"/>
      <c r="H27" s="1686"/>
      <c r="I27" s="85"/>
      <c r="J27" s="86"/>
      <c r="K27" s="86"/>
      <c r="L27" s="86"/>
    </row>
    <row r="28" spans="2:12" s="84" customFormat="1" ht="30" customHeight="1" x14ac:dyDescent="0.25">
      <c r="B28" s="1686"/>
      <c r="C28" s="85"/>
      <c r="D28" s="86"/>
      <c r="E28" s="86"/>
      <c r="F28" s="86"/>
      <c r="G28" s="1014"/>
      <c r="H28" s="1686"/>
      <c r="I28" s="85"/>
      <c r="J28" s="86"/>
      <c r="K28" s="86"/>
      <c r="L28" s="86"/>
    </row>
    <row r="29" spans="2:12" s="84" customFormat="1" ht="30" customHeight="1" x14ac:dyDescent="0.25">
      <c r="B29" s="1686"/>
      <c r="C29" s="1017"/>
      <c r="D29" s="1026"/>
      <c r="E29" s="1026"/>
      <c r="F29" s="1026"/>
      <c r="G29" s="1014"/>
      <c r="H29" s="1686"/>
      <c r="I29" s="1017"/>
      <c r="J29" s="1026"/>
      <c r="K29" s="1026"/>
      <c r="L29" s="1026"/>
    </row>
    <row r="30" spans="2:12" s="84" customFormat="1" ht="30" customHeight="1" x14ac:dyDescent="0.25">
      <c r="B30" s="1686"/>
      <c r="C30" s="1017"/>
      <c r="D30" s="1026"/>
      <c r="E30" s="1026"/>
      <c r="F30" s="1026"/>
      <c r="G30" s="1014"/>
      <c r="H30" s="1686"/>
      <c r="I30" s="1017"/>
      <c r="J30" s="1026"/>
      <c r="K30" s="1026"/>
      <c r="L30" s="1026"/>
    </row>
    <row r="31" spans="2:12" s="84" customFormat="1" ht="30" customHeight="1" x14ac:dyDescent="0.25">
      <c r="B31" s="1014"/>
      <c r="C31" s="1027"/>
      <c r="D31" s="1017"/>
      <c r="E31" s="1017"/>
      <c r="F31" s="1017"/>
      <c r="G31" s="1014"/>
      <c r="H31" s="1014"/>
      <c r="I31" s="1014"/>
      <c r="J31" s="1014"/>
      <c r="K31" s="1014"/>
      <c r="L31" s="1014"/>
    </row>
    <row r="32" spans="2:12" s="84" customFormat="1" ht="30" customHeight="1" x14ac:dyDescent="0.25">
      <c r="B32" s="1014"/>
      <c r="C32" s="1014"/>
      <c r="D32" s="1014"/>
      <c r="E32" s="1014"/>
      <c r="F32" s="1014"/>
      <c r="G32" s="1014"/>
      <c r="H32" s="1014"/>
      <c r="I32" s="1014"/>
      <c r="J32" s="1014"/>
      <c r="K32" s="1014"/>
      <c r="L32" s="1014"/>
    </row>
    <row r="33" spans="2:12" s="84" customFormat="1" ht="30" customHeight="1" x14ac:dyDescent="0.25">
      <c r="B33" s="1687"/>
      <c r="C33" s="1687"/>
      <c r="D33" s="1687"/>
      <c r="E33" s="1687"/>
      <c r="F33" s="1687"/>
      <c r="G33" s="1014"/>
      <c r="H33" s="1687"/>
      <c r="I33" s="1687"/>
      <c r="J33" s="1687"/>
      <c r="K33" s="1687"/>
      <c r="L33" s="1687"/>
    </row>
    <row r="34" spans="2:12" s="84" customFormat="1" ht="30" customHeight="1" x14ac:dyDescent="0.25">
      <c r="B34" s="1025"/>
      <c r="C34" s="1014"/>
      <c r="D34" s="1025"/>
      <c r="E34" s="1025"/>
      <c r="F34" s="1025"/>
      <c r="G34" s="1014"/>
      <c r="H34" s="1025"/>
      <c r="I34" s="1014"/>
      <c r="J34" s="1025"/>
      <c r="K34" s="1025"/>
      <c r="L34" s="1025"/>
    </row>
    <row r="35" spans="2:12" s="84" customFormat="1" ht="30" customHeight="1" x14ac:dyDescent="0.25">
      <c r="B35" s="1686"/>
      <c r="C35" s="1017"/>
      <c r="D35" s="1026"/>
      <c r="E35" s="1026"/>
      <c r="F35" s="1026"/>
      <c r="G35" s="1014"/>
      <c r="H35" s="1686"/>
      <c r="I35" s="1017"/>
      <c r="J35" s="1026"/>
      <c r="K35" s="1026"/>
      <c r="L35" s="1026"/>
    </row>
    <row r="36" spans="2:12" s="84" customFormat="1" ht="30" customHeight="1" x14ac:dyDescent="0.25">
      <c r="B36" s="1686"/>
      <c r="C36" s="85"/>
      <c r="D36" s="86"/>
      <c r="E36" s="86"/>
      <c r="F36" s="86"/>
      <c r="G36" s="1014"/>
      <c r="H36" s="1686"/>
      <c r="I36" s="85"/>
      <c r="J36" s="86"/>
      <c r="K36" s="86"/>
      <c r="L36" s="86"/>
    </row>
    <row r="37" spans="2:12" s="84" customFormat="1" ht="30" customHeight="1" x14ac:dyDescent="0.25">
      <c r="B37" s="1686"/>
      <c r="C37" s="85"/>
      <c r="D37" s="86"/>
      <c r="E37" s="86"/>
      <c r="F37" s="86"/>
      <c r="G37" s="1014"/>
      <c r="H37" s="1686"/>
      <c r="I37" s="85"/>
      <c r="J37" s="86"/>
      <c r="K37" s="86"/>
      <c r="L37" s="86"/>
    </row>
    <row r="38" spans="2:12" s="84" customFormat="1" ht="30" customHeight="1" x14ac:dyDescent="0.25">
      <c r="B38" s="1686"/>
      <c r="C38" s="1017"/>
      <c r="D38" s="1026"/>
      <c r="E38" s="1026"/>
      <c r="F38" s="1026"/>
      <c r="G38" s="1014"/>
      <c r="H38" s="1686"/>
      <c r="I38" s="1017"/>
      <c r="J38" s="1026"/>
      <c r="K38" s="1026"/>
      <c r="L38" s="1026"/>
    </row>
    <row r="39" spans="2:12" s="84" customFormat="1" ht="30" customHeight="1" x14ac:dyDescent="0.25">
      <c r="B39" s="1686"/>
      <c r="C39" s="1017"/>
      <c r="D39" s="1026"/>
      <c r="E39" s="1026"/>
      <c r="F39" s="1026"/>
      <c r="G39" s="1014"/>
      <c r="H39" s="1686"/>
      <c r="I39" s="1017"/>
      <c r="J39" s="1026"/>
      <c r="K39" s="1026"/>
      <c r="L39" s="1026"/>
    </row>
    <row r="40" spans="2:12" s="84" customFormat="1" x14ac:dyDescent="0.25">
      <c r="B40" s="1014"/>
      <c r="C40" s="1014"/>
      <c r="D40" s="1014"/>
      <c r="E40" s="1014"/>
      <c r="F40" s="1014"/>
      <c r="G40" s="1014"/>
      <c r="H40" s="1014"/>
      <c r="I40" s="1014"/>
      <c r="J40" s="1014"/>
      <c r="K40" s="1014"/>
      <c r="L40" s="1014"/>
    </row>
    <row r="41" spans="2:12" s="84" customFormat="1" x14ac:dyDescent="0.25">
      <c r="B41" s="1014"/>
      <c r="C41" s="1014"/>
      <c r="D41" s="1014"/>
      <c r="E41" s="1014"/>
      <c r="F41" s="1014"/>
      <c r="G41" s="1014"/>
      <c r="H41" s="1014"/>
      <c r="I41" s="1014"/>
      <c r="J41" s="1014"/>
      <c r="K41" s="1014"/>
      <c r="L41" s="1014"/>
    </row>
    <row r="42" spans="2:12" s="84" customFormat="1" x14ac:dyDescent="0.25">
      <c r="B42" s="1014"/>
      <c r="C42" s="1014"/>
      <c r="D42" s="1014"/>
      <c r="E42" s="1014"/>
      <c r="F42" s="1014"/>
      <c r="G42" s="1014"/>
      <c r="H42" s="1014"/>
      <c r="I42" s="1014"/>
      <c r="J42" s="1014"/>
      <c r="K42" s="1014"/>
      <c r="L42" s="1014"/>
    </row>
    <row r="43" spans="2:12" s="84" customFormat="1" x14ac:dyDescent="0.25">
      <c r="B43" s="1014"/>
      <c r="C43" s="1014"/>
      <c r="D43" s="1014"/>
      <c r="E43" s="1014"/>
      <c r="F43" s="1014"/>
      <c r="G43" s="1014"/>
      <c r="H43" s="1014"/>
      <c r="I43" s="1014"/>
      <c r="J43" s="1014"/>
      <c r="K43" s="1014"/>
      <c r="L43" s="1014"/>
    </row>
    <row r="44" spans="2:12" s="84" customFormat="1" x14ac:dyDescent="0.25">
      <c r="B44" s="1014"/>
      <c r="C44" s="1014"/>
      <c r="D44" s="1014"/>
      <c r="E44" s="1014"/>
      <c r="F44" s="1014"/>
      <c r="G44" s="1014"/>
      <c r="H44" s="1014"/>
      <c r="I44" s="1014"/>
      <c r="J44" s="1014"/>
      <c r="K44" s="1014"/>
      <c r="L44" s="1014"/>
    </row>
  </sheetData>
  <sheetProtection password="CF5C"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F7">
    <cfRule type="colorScale" priority="16">
      <colorScale>
        <cfvo type="min"/>
        <cfvo type="max"/>
        <color rgb="FFFF7128"/>
        <color rgb="FF967D00"/>
      </colorScale>
    </cfRule>
  </conditionalFormatting>
  <conditionalFormatting sqref="L7">
    <cfRule type="colorScale" priority="15">
      <colorScale>
        <cfvo type="min"/>
        <cfvo type="max"/>
        <color rgb="FFFF7128"/>
        <color rgb="FF967D00"/>
      </colorScale>
    </cfRule>
  </conditionalFormatting>
  <conditionalFormatting sqref="D13">
    <cfRule type="cellIs" dxfId="10" priority="13" operator="between">
      <formula>$N$9</formula>
      <formula>$O$9</formula>
    </cfRule>
  </conditionalFormatting>
  <conditionalFormatting sqref="D11:D12">
    <cfRule type="cellIs" dxfId="9" priority="6" operator="notBetween">
      <formula>$N$9</formula>
      <formula>$O$9</formula>
    </cfRule>
  </conditionalFormatting>
  <conditionalFormatting sqref="E11:E12">
    <cfRule type="cellIs" dxfId="8" priority="5" operator="notBetween">
      <formula>$N$11</formula>
      <formula>$O$11</formula>
    </cfRule>
  </conditionalFormatting>
  <conditionalFormatting sqref="F11:F12">
    <cfRule type="cellIs" dxfId="7" priority="4" operator="notBetween">
      <formula>$N$13</formula>
      <formula>$O$13</formula>
    </cfRule>
  </conditionalFormatting>
  <conditionalFormatting sqref="J11:J12">
    <cfRule type="cellIs" dxfId="6" priority="3" operator="notBetween">
      <formula>$N$9</formula>
      <formula>$O$9</formula>
    </cfRule>
  </conditionalFormatting>
  <conditionalFormatting sqref="K11:K12">
    <cfRule type="cellIs" dxfId="5" priority="2" operator="notBetween">
      <formula>$N$11</formula>
      <formula>$O$11</formula>
    </cfRule>
  </conditionalFormatting>
  <conditionalFormatting sqref="L11:L12">
    <cfRule type="cellIs" dxfId="4"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Vr.13 (2023-06-06)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23"/>
  <sheetViews>
    <sheetView showGridLines="0" zoomScale="80" zoomScaleNormal="80" zoomScaleSheetLayoutView="80" workbookViewId="0">
      <selection activeCell="K12" sqref="K12"/>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694"/>
      <c r="B1" s="1695"/>
      <c r="C1" s="1696"/>
      <c r="D1" s="1676" t="s">
        <v>415</v>
      </c>
      <c r="E1" s="1677"/>
      <c r="F1" s="1677"/>
      <c r="G1" s="1677"/>
      <c r="H1" s="1677"/>
      <c r="I1" s="1677"/>
      <c r="J1" s="1677"/>
      <c r="K1" s="1677"/>
      <c r="L1" s="1677"/>
      <c r="M1" s="1677"/>
      <c r="N1" s="1677"/>
      <c r="O1" s="1677"/>
      <c r="P1" s="1677"/>
      <c r="Q1" s="1678"/>
    </row>
    <row r="2" spans="1:17" ht="13.5" customHeight="1" thickBot="1" x14ac:dyDescent="0.3">
      <c r="A2" s="1013"/>
      <c r="B2" s="1013"/>
      <c r="C2" s="1013"/>
      <c r="D2" s="1013"/>
      <c r="E2" s="1013"/>
      <c r="F2" s="1013"/>
      <c r="G2" s="1013"/>
      <c r="H2" s="1013"/>
      <c r="I2" s="1013"/>
      <c r="J2" s="1013"/>
      <c r="K2" s="1013"/>
      <c r="L2" s="1013"/>
      <c r="M2" s="1013"/>
      <c r="N2" s="1013"/>
      <c r="O2" s="1013"/>
      <c r="P2" s="1013"/>
      <c r="Q2" s="1013"/>
    </row>
    <row r="3" spans="1:17" ht="44.45" customHeight="1" thickBot="1" x14ac:dyDescent="0.25">
      <c r="A3" s="200" t="s">
        <v>508</v>
      </c>
      <c r="B3" s="203" t="s">
        <v>509</v>
      </c>
      <c r="C3" s="202" t="s">
        <v>510</v>
      </c>
      <c r="D3" s="201" t="s">
        <v>456</v>
      </c>
      <c r="E3" s="201" t="s">
        <v>511</v>
      </c>
      <c r="F3" s="202" t="s">
        <v>512</v>
      </c>
      <c r="G3" s="1702" t="s">
        <v>513</v>
      </c>
      <c r="H3" s="1703"/>
      <c r="I3" s="1704"/>
      <c r="J3" s="1013"/>
      <c r="K3" s="1028"/>
      <c r="L3" s="1028"/>
      <c r="M3" s="1013"/>
      <c r="N3" s="1013"/>
      <c r="O3" s="1013"/>
      <c r="P3" s="1013"/>
      <c r="Q3" s="1013"/>
    </row>
    <row r="4" spans="1:17" ht="33" customHeight="1" x14ac:dyDescent="0.25">
      <c r="A4" s="236">
        <v>1</v>
      </c>
      <c r="B4" s="1029">
        <v>9.4635300000000004</v>
      </c>
      <c r="C4" s="1030">
        <v>-9.4635300000000004</v>
      </c>
      <c r="D4" s="230">
        <v>0</v>
      </c>
      <c r="E4" s="1031"/>
      <c r="F4" s="1031"/>
      <c r="G4" s="239" t="s">
        <v>514</v>
      </c>
      <c r="H4" s="240" t="s">
        <v>515</v>
      </c>
      <c r="I4" s="241" t="s">
        <v>516</v>
      </c>
      <c r="J4" s="1013"/>
      <c r="K4" s="1013"/>
      <c r="L4" s="1013"/>
      <c r="M4" s="1013"/>
      <c r="N4" s="1013"/>
      <c r="O4" s="1013"/>
      <c r="P4" s="1013"/>
      <c r="Q4" s="1013"/>
    </row>
    <row r="5" spans="1:17" ht="31.5" customHeight="1" x14ac:dyDescent="0.25">
      <c r="A5" s="237" t="s">
        <v>491</v>
      </c>
      <c r="B5" s="1032">
        <v>9.4635300000000004</v>
      </c>
      <c r="C5" s="1033">
        <v>-9.4635300000000004</v>
      </c>
      <c r="D5" s="231">
        <v>0</v>
      </c>
      <c r="E5" s="1034" t="e">
        <f>ABS('RT03-F11 ¬'!H122)</f>
        <v>#N/A</v>
      </c>
      <c r="F5" s="1033" t="e">
        <f>'RT03-F11 ¬'!F122</f>
        <v>#N/A</v>
      </c>
      <c r="G5" s="1035" t="e">
        <f>(B5-E5)/(F5/2)</f>
        <v>#N/A</v>
      </c>
      <c r="H5" s="1036" t="e">
        <f>_xlfn.NORM.S.DIST(G5,1)</f>
        <v>#N/A</v>
      </c>
      <c r="I5" s="1037" t="e">
        <f>1-H5</f>
        <v>#N/A</v>
      </c>
      <c r="J5" s="1013"/>
      <c r="K5" s="1013"/>
      <c r="L5" s="1013"/>
      <c r="M5" s="1013"/>
      <c r="N5" s="1013"/>
      <c r="O5" s="1013"/>
      <c r="P5" s="1013"/>
      <c r="Q5" s="1013"/>
    </row>
    <row r="6" spans="1:17" ht="29.25" customHeight="1" x14ac:dyDescent="0.2">
      <c r="A6" s="237" t="s">
        <v>517</v>
      </c>
      <c r="B6" s="1032">
        <v>9.4635300000000004</v>
      </c>
      <c r="C6" s="1033">
        <v>-9.4635300000000004</v>
      </c>
      <c r="D6" s="231">
        <v>0</v>
      </c>
      <c r="E6" s="1034" t="e">
        <f>ABS('DESPUES DE AJUSTE ¬ '!H122)</f>
        <v>#N/A</v>
      </c>
      <c r="F6" s="1033" t="e">
        <f>'DESPUES DE AJUSTE ¬ '!F122</f>
        <v>#N/A</v>
      </c>
      <c r="G6" s="242" t="s">
        <v>518</v>
      </c>
      <c r="H6" s="243" t="s">
        <v>515</v>
      </c>
      <c r="I6" s="244" t="s">
        <v>516</v>
      </c>
      <c r="J6" s="1013"/>
      <c r="K6" s="1013"/>
      <c r="L6" s="1013"/>
      <c r="M6" s="1013"/>
      <c r="N6" s="1013"/>
      <c r="O6" s="1013"/>
      <c r="P6" s="1013"/>
      <c r="Q6" s="1013"/>
    </row>
    <row r="7" spans="1:17" ht="20.100000000000001" customHeight="1" x14ac:dyDescent="0.25">
      <c r="A7" s="237">
        <v>3</v>
      </c>
      <c r="B7" s="1032">
        <v>9.4635300000000004</v>
      </c>
      <c r="C7" s="1033">
        <v>-9.4635300000000004</v>
      </c>
      <c r="D7" s="231">
        <v>0</v>
      </c>
      <c r="E7" s="1038"/>
      <c r="F7" s="1038"/>
      <c r="G7" s="1035" t="e">
        <f>(E5-C5)/(F5/2)</f>
        <v>#N/A</v>
      </c>
      <c r="H7" s="1036" t="e">
        <f>_xlfn.NORM.S.DIST(G7,1)</f>
        <v>#N/A</v>
      </c>
      <c r="I7" s="1039" t="e">
        <f>1-H7</f>
        <v>#N/A</v>
      </c>
      <c r="J7" s="1013"/>
      <c r="K7" s="1013"/>
      <c r="L7" s="1013"/>
      <c r="M7" s="1013"/>
      <c r="N7" s="1013"/>
      <c r="O7" s="1013"/>
      <c r="P7" s="1013"/>
      <c r="Q7" s="1013"/>
    </row>
    <row r="8" spans="1:17" ht="20.100000000000001" customHeight="1" thickBot="1" x14ac:dyDescent="0.3">
      <c r="A8" s="238">
        <v>4</v>
      </c>
      <c r="B8" s="1040">
        <v>9.4635300000000004</v>
      </c>
      <c r="C8" s="1041">
        <v>-9.4635300000000004</v>
      </c>
      <c r="D8" s="232">
        <v>0</v>
      </c>
      <c r="E8" s="1042"/>
      <c r="F8" s="1042"/>
      <c r="G8" s="1705" t="e">
        <f>IF(AND(H5&gt;=97.5%,I5&lt;=2.5%),"CUMPLE","NO CUMPLE")</f>
        <v>#N/A</v>
      </c>
      <c r="H8" s="1706"/>
      <c r="I8" s="1707"/>
      <c r="J8" s="1013"/>
      <c r="K8" s="1013"/>
      <c r="L8" s="1013"/>
      <c r="M8" s="1013"/>
      <c r="N8" s="1013"/>
      <c r="O8" s="1013"/>
      <c r="P8" s="1013"/>
      <c r="Q8" s="1013"/>
    </row>
    <row r="9" spans="1:17" ht="36" customHeight="1" thickBot="1" x14ac:dyDescent="0.25">
      <c r="A9" s="1068">
        <f>B13/2000</f>
        <v>9.4635300000000004</v>
      </c>
      <c r="B9" s="1017"/>
      <c r="C9" s="1017"/>
      <c r="D9" s="1017"/>
      <c r="E9" s="1017"/>
      <c r="F9" s="1017"/>
      <c r="G9" s="1699" t="s">
        <v>519</v>
      </c>
      <c r="H9" s="1701"/>
      <c r="I9" s="1700"/>
      <c r="J9" s="1013"/>
      <c r="K9" s="1013"/>
      <c r="L9" s="1013"/>
      <c r="M9" s="1013"/>
      <c r="N9" s="1013"/>
      <c r="O9" s="1013"/>
      <c r="P9" s="1013"/>
      <c r="Q9" s="1013"/>
    </row>
    <row r="10" spans="1:17" ht="32.1" customHeight="1" thickBot="1" x14ac:dyDescent="0.3">
      <c r="A10" s="1017"/>
      <c r="B10" s="1697" t="s">
        <v>520</v>
      </c>
      <c r="C10" s="1698"/>
      <c r="D10" s="1017"/>
      <c r="E10" s="1017"/>
      <c r="F10" s="1017"/>
      <c r="G10" s="233" t="s">
        <v>514</v>
      </c>
      <c r="H10" s="234" t="s">
        <v>515</v>
      </c>
      <c r="I10" s="235" t="s">
        <v>516</v>
      </c>
      <c r="J10" s="1013"/>
      <c r="K10" s="1013"/>
      <c r="L10" s="1013"/>
      <c r="M10" s="1013"/>
      <c r="N10" s="1013"/>
      <c r="O10" s="1013"/>
      <c r="P10" s="1013"/>
      <c r="Q10" s="1013"/>
    </row>
    <row r="11" spans="1:17" x14ac:dyDescent="0.25">
      <c r="A11" s="1017"/>
      <c r="B11" s="1043">
        <v>5</v>
      </c>
      <c r="C11" s="1044" t="s">
        <v>283</v>
      </c>
      <c r="D11" s="1017"/>
      <c r="E11" s="1017"/>
      <c r="F11" s="1017"/>
      <c r="G11" s="1045" t="e">
        <f>(B6-E6)/(F6/2)</f>
        <v>#N/A</v>
      </c>
      <c r="H11" s="1046" t="e">
        <f>_xlfn.NORM.S.DIST(G11,1)</f>
        <v>#N/A</v>
      </c>
      <c r="I11" s="1047" t="e">
        <f>1-H11</f>
        <v>#N/A</v>
      </c>
      <c r="J11" s="1013"/>
      <c r="K11" s="1013"/>
      <c r="L11" s="1013"/>
      <c r="M11" s="1013"/>
      <c r="N11" s="1013"/>
      <c r="O11" s="1013"/>
      <c r="P11" s="1013"/>
      <c r="Q11" s="1013"/>
    </row>
    <row r="12" spans="1:17" ht="15.6" x14ac:dyDescent="0.25">
      <c r="A12" s="1017"/>
      <c r="B12" s="1048">
        <f>B11*3.785412</f>
        <v>18.927060000000001</v>
      </c>
      <c r="C12" s="1049" t="s">
        <v>521</v>
      </c>
      <c r="D12" s="1017"/>
      <c r="E12" s="1017"/>
      <c r="F12" s="1017"/>
      <c r="G12" s="242" t="s">
        <v>518</v>
      </c>
      <c r="H12" s="243" t="s">
        <v>515</v>
      </c>
      <c r="I12" s="244" t="s">
        <v>516</v>
      </c>
      <c r="J12" s="1013"/>
      <c r="K12" s="1013"/>
      <c r="L12" s="1013"/>
      <c r="M12" s="1013"/>
      <c r="N12" s="1013"/>
      <c r="O12" s="1013"/>
      <c r="P12" s="1013"/>
      <c r="Q12" s="1013"/>
    </row>
    <row r="13" spans="1:17" ht="15.6" thickBot="1" x14ac:dyDescent="0.3">
      <c r="A13" s="1017"/>
      <c r="B13" s="1050">
        <f>B12*1000</f>
        <v>18927.060000000001</v>
      </c>
      <c r="C13" s="1051" t="s">
        <v>120</v>
      </c>
      <c r="D13" s="1017"/>
      <c r="E13" s="1017"/>
      <c r="F13" s="1017"/>
      <c r="G13" s="1052" t="e">
        <f>(E6-C6)/(F6/2)</f>
        <v>#N/A</v>
      </c>
      <c r="H13" s="1053" t="e">
        <f>_xlfn.NORM.S.DIST(G13,1)</f>
        <v>#N/A</v>
      </c>
      <c r="I13" s="1054" t="e">
        <f>1-H13</f>
        <v>#N/A</v>
      </c>
      <c r="J13" s="1013"/>
      <c r="K13" s="1013"/>
      <c r="L13" s="1013"/>
      <c r="M13" s="1013"/>
      <c r="N13" s="1013"/>
      <c r="O13" s="1013"/>
      <c r="P13" s="1013"/>
      <c r="Q13" s="1013"/>
    </row>
    <row r="14" spans="1:17" ht="15.6" thickBot="1" x14ac:dyDescent="0.3">
      <c r="A14" s="1013"/>
      <c r="B14" s="1013"/>
      <c r="C14" s="1013"/>
      <c r="D14" s="1013"/>
      <c r="E14" s="1013"/>
      <c r="F14" s="1013"/>
      <c r="G14" s="1708" t="e">
        <f>IF(AND(H11&gt;=97.5%,I11&lt;=2.5%),"CUMPLE","NO CUMPLE")</f>
        <v>#N/A</v>
      </c>
      <c r="H14" s="1709"/>
      <c r="I14" s="1710"/>
      <c r="J14" s="1013"/>
      <c r="K14" s="1013"/>
      <c r="L14" s="1013"/>
      <c r="M14" s="1013"/>
      <c r="N14" s="1013"/>
      <c r="O14" s="1013"/>
      <c r="P14" s="1013"/>
      <c r="Q14" s="1013"/>
    </row>
    <row r="15" spans="1:17" ht="32.1" customHeight="1" thickBot="1" x14ac:dyDescent="0.3">
      <c r="A15" s="1013"/>
      <c r="B15" s="1699" t="s">
        <v>522</v>
      </c>
      <c r="C15" s="1700"/>
      <c r="D15" s="1055"/>
      <c r="E15" s="1013"/>
      <c r="F15" s="1013"/>
      <c r="G15" s="1013"/>
      <c r="H15" s="1013"/>
      <c r="I15" s="1013"/>
      <c r="J15" s="1013"/>
      <c r="K15" s="1013"/>
      <c r="L15" s="1013"/>
      <c r="M15" s="1013"/>
      <c r="N15" s="1013"/>
      <c r="O15" s="1013"/>
      <c r="P15" s="1013"/>
      <c r="Q15" s="1013"/>
    </row>
    <row r="16" spans="1:17" x14ac:dyDescent="0.25">
      <c r="A16" s="1013"/>
      <c r="B16" s="1056" t="e">
        <f>'RT03-F11 ¬'!C124</f>
        <v>#N/A</v>
      </c>
      <c r="C16" s="1057" t="s">
        <v>283</v>
      </c>
      <c r="D16" s="1058"/>
      <c r="E16" s="1013"/>
      <c r="F16" s="1013"/>
      <c r="G16" s="1013"/>
      <c r="H16" s="1013"/>
      <c r="I16" s="1013"/>
      <c r="J16" s="1013"/>
      <c r="K16" s="1013"/>
      <c r="L16" s="1013"/>
      <c r="M16" s="1013"/>
      <c r="N16" s="1013"/>
      <c r="O16" s="1013"/>
      <c r="P16" s="1013"/>
      <c r="Q16" s="1013"/>
    </row>
    <row r="17" spans="2:4" x14ac:dyDescent="0.25">
      <c r="B17" s="1059" t="e">
        <f>B16*3.785412</f>
        <v>#N/A</v>
      </c>
      <c r="C17" s="1060" t="s">
        <v>521</v>
      </c>
      <c r="D17" s="1058"/>
    </row>
    <row r="18" spans="2:4" ht="15.6" thickBot="1" x14ac:dyDescent="0.3">
      <c r="B18" s="1061" t="e">
        <f>'RT03-F11 ¬'!C122</f>
        <v>#N/A</v>
      </c>
      <c r="C18" s="1062" t="s">
        <v>120</v>
      </c>
      <c r="D18" s="1058"/>
    </row>
    <row r="19" spans="2:4" ht="15.6" thickBot="1" x14ac:dyDescent="0.3">
      <c r="B19" s="1013"/>
      <c r="C19" s="1013"/>
      <c r="D19" s="1013"/>
    </row>
    <row r="20" spans="2:4" ht="32.1" customHeight="1" thickBot="1" x14ac:dyDescent="0.25">
      <c r="B20" s="1699" t="s">
        <v>523</v>
      </c>
      <c r="C20" s="1700"/>
      <c r="D20" s="1055"/>
    </row>
    <row r="21" spans="2:4" x14ac:dyDescent="0.25">
      <c r="B21" s="1056" t="e">
        <f>'DESPUES DE AJUSTE ¬ '!C124</f>
        <v>#N/A</v>
      </c>
      <c r="C21" s="1057" t="s">
        <v>283</v>
      </c>
      <c r="D21" s="1058"/>
    </row>
    <row r="22" spans="2:4" x14ac:dyDescent="0.25">
      <c r="B22" s="1059" t="e">
        <f>B21*3.785412</f>
        <v>#N/A</v>
      </c>
      <c r="C22" s="1060" t="s">
        <v>521</v>
      </c>
      <c r="D22" s="1058"/>
    </row>
    <row r="23" spans="2:4" ht="15.6" thickBot="1" x14ac:dyDescent="0.3">
      <c r="B23" s="1061" t="e">
        <f>'DESPUES DE AJUSTE ¬ '!C122</f>
        <v>#N/A</v>
      </c>
      <c r="C23" s="1062" t="s">
        <v>120</v>
      </c>
      <c r="D23" s="1058"/>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Vr.13 (2023-06-06)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5"/>
  <sheetViews>
    <sheetView showGridLines="0" zoomScale="80" zoomScaleNormal="80" zoomScaleSheetLayoutView="80" workbookViewId="0">
      <selection activeCell="L19" sqref="L19"/>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719"/>
      <c r="B1" s="1719"/>
      <c r="C1" s="1720"/>
      <c r="D1" s="1721" t="s">
        <v>415</v>
      </c>
      <c r="E1" s="1722"/>
      <c r="F1" s="1722"/>
      <c r="G1" s="1722"/>
      <c r="H1" s="1722"/>
      <c r="I1" s="1722"/>
      <c r="J1" s="1722"/>
      <c r="K1" s="1722"/>
      <c r="L1" s="1722"/>
      <c r="M1" s="1722"/>
      <c r="N1" s="1722"/>
      <c r="O1" s="1722"/>
      <c r="P1" s="1722"/>
      <c r="Q1" s="1722"/>
      <c r="R1" s="1722"/>
      <c r="S1" s="1722"/>
      <c r="T1" s="1723"/>
    </row>
    <row r="2" spans="1:20" ht="17.25" customHeight="1" thickBot="1" x14ac:dyDescent="0.3">
      <c r="A2" s="216"/>
      <c r="B2" s="216"/>
      <c r="C2" s="216"/>
      <c r="D2" s="216"/>
      <c r="E2" s="216"/>
      <c r="F2" s="216"/>
      <c r="G2" s="216"/>
      <c r="H2" s="216"/>
      <c r="I2" s="216"/>
      <c r="J2" s="216"/>
      <c r="K2" s="216"/>
      <c r="L2" s="216"/>
      <c r="M2" s="216"/>
      <c r="N2" s="216"/>
    </row>
    <row r="3" spans="1:20" ht="15.75" thickBot="1" x14ac:dyDescent="0.3">
      <c r="M3" s="220" t="s">
        <v>202</v>
      </c>
    </row>
    <row r="4" spans="1:20" ht="22.5" customHeight="1" thickBot="1" x14ac:dyDescent="0.3">
      <c r="A4" s="216"/>
      <c r="B4" s="216"/>
      <c r="C4" s="216"/>
      <c r="D4" s="216"/>
      <c r="E4" s="216"/>
      <c r="F4" s="216"/>
      <c r="G4" s="216"/>
      <c r="H4" s="216"/>
      <c r="I4" s="216"/>
      <c r="J4" s="216"/>
      <c r="K4" s="216"/>
      <c r="L4" s="216"/>
      <c r="M4" s="518">
        <f>'RT03-F11 ¬'!M30</f>
        <v>18927.055</v>
      </c>
      <c r="O4" s="514" t="s">
        <v>524</v>
      </c>
      <c r="P4" s="1711">
        <v>44544</v>
      </c>
      <c r="Q4" s="1711"/>
      <c r="R4" s="1712"/>
    </row>
    <row r="5" spans="1:20" x14ac:dyDescent="0.25">
      <c r="O5" s="1713" t="s">
        <v>525</v>
      </c>
      <c r="P5" s="1714"/>
      <c r="Q5" s="1714"/>
      <c r="R5" s="1715"/>
      <c r="S5" s="513"/>
    </row>
    <row r="6" spans="1:20" ht="15.75" customHeight="1" x14ac:dyDescent="0.25">
      <c r="A6" s="216"/>
      <c r="B6" s="216"/>
      <c r="C6" s="216"/>
      <c r="D6" s="216"/>
      <c r="E6" s="216"/>
      <c r="F6" s="216"/>
      <c r="G6" s="216"/>
      <c r="H6" s="216"/>
      <c r="I6" s="216"/>
      <c r="J6" s="216"/>
      <c r="K6" s="216"/>
      <c r="L6" s="216"/>
      <c r="O6" s="1716" t="s">
        <v>526</v>
      </c>
      <c r="P6" s="1717"/>
      <c r="Q6" s="1717"/>
      <c r="R6" s="1718"/>
      <c r="S6" s="513"/>
    </row>
    <row r="7" spans="1:20" x14ac:dyDescent="0.25">
      <c r="O7" s="519">
        <v>18501</v>
      </c>
      <c r="P7" s="520" t="s">
        <v>527</v>
      </c>
      <c r="Q7" s="520">
        <v>19336.599999999999</v>
      </c>
      <c r="R7" s="521" t="s">
        <v>120</v>
      </c>
      <c r="S7" s="209"/>
    </row>
    <row r="8" spans="1:20" ht="18" x14ac:dyDescent="0.25">
      <c r="A8" s="216"/>
      <c r="B8" s="216"/>
      <c r="C8" s="216"/>
      <c r="D8" s="216"/>
      <c r="E8" s="216"/>
      <c r="F8" s="216"/>
      <c r="G8" s="216"/>
      <c r="H8" s="216"/>
      <c r="I8" s="216"/>
      <c r="J8" s="216"/>
      <c r="K8" s="216"/>
      <c r="L8" s="216"/>
      <c r="O8" s="522">
        <v>1128.29</v>
      </c>
      <c r="P8" s="520" t="s">
        <v>527</v>
      </c>
      <c r="Q8" s="520">
        <v>1179.99</v>
      </c>
      <c r="R8" s="521" t="s">
        <v>528</v>
      </c>
      <c r="S8" s="209"/>
    </row>
    <row r="9" spans="1:20" ht="15.75" thickBot="1" x14ac:dyDescent="0.3">
      <c r="O9" s="522">
        <v>4.8917000000000002</v>
      </c>
      <c r="P9" s="520" t="s">
        <v>527</v>
      </c>
      <c r="Q9" s="520">
        <v>5.1082000000000001</v>
      </c>
      <c r="R9" s="521" t="s">
        <v>283</v>
      </c>
      <c r="S9" s="209"/>
    </row>
    <row r="10" spans="1:20" ht="18.75" thickBot="1" x14ac:dyDescent="0.3">
      <c r="A10" s="216"/>
      <c r="B10" s="216"/>
      <c r="C10" s="216"/>
      <c r="D10" s="216"/>
      <c r="E10" s="216"/>
      <c r="F10" s="216"/>
      <c r="G10" s="216"/>
      <c r="H10" s="216"/>
      <c r="I10" s="216"/>
      <c r="J10" s="216"/>
      <c r="K10" s="216"/>
      <c r="L10" s="216"/>
      <c r="O10" s="515" t="s">
        <v>2</v>
      </c>
      <c r="P10" s="516" t="s">
        <v>120</v>
      </c>
      <c r="Q10" s="516" t="s">
        <v>528</v>
      </c>
      <c r="R10" s="517" t="s">
        <v>283</v>
      </c>
      <c r="S10" s="221" t="s">
        <v>404</v>
      </c>
    </row>
    <row r="11" spans="1:20" ht="15.75" thickBot="1" x14ac:dyDescent="0.3">
      <c r="O11" s="523"/>
      <c r="P11" s="524"/>
      <c r="Q11" s="524"/>
      <c r="R11" s="525"/>
      <c r="S11" s="526"/>
    </row>
    <row r="12" spans="1:20" ht="15.75" thickBot="1" x14ac:dyDescent="0.3">
      <c r="A12" s="216"/>
      <c r="B12" s="216"/>
      <c r="C12" s="216"/>
      <c r="D12" s="216"/>
      <c r="E12" s="216"/>
      <c r="F12" s="216"/>
      <c r="G12" s="216"/>
      <c r="H12" s="216"/>
      <c r="I12" s="216"/>
      <c r="J12" s="216"/>
      <c r="K12" s="216"/>
      <c r="L12" s="216"/>
      <c r="M12" s="513"/>
      <c r="O12" s="523">
        <v>1</v>
      </c>
      <c r="P12" s="527">
        <v>4.5999999999999996</v>
      </c>
      <c r="Q12" s="524">
        <v>0.28000000000000003</v>
      </c>
      <c r="R12" s="525">
        <v>1.1999999999999999E-3</v>
      </c>
      <c r="S12" s="528">
        <f>(P12/M4)*100</f>
        <v>2.4303833850538286E-2</v>
      </c>
    </row>
    <row r="13" spans="1:20" ht="15.75" thickBot="1" x14ac:dyDescent="0.3">
      <c r="O13" s="245"/>
      <c r="P13" s="246"/>
      <c r="Q13" s="247"/>
      <c r="R13" s="248"/>
      <c r="S13" s="249"/>
    </row>
    <row r="15" spans="1:20" x14ac:dyDescent="0.25">
      <c r="L15" s="217"/>
    </row>
  </sheetData>
  <sheetProtection password="CF5C"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Vr.13 (2023-06-06)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view="pageBreakPreview" topLeftCell="A78" zoomScale="90" zoomScaleNormal="100" zoomScaleSheetLayoutView="90" workbookViewId="0">
      <selection activeCell="L91" sqref="L91"/>
    </sheetView>
  </sheetViews>
  <sheetFormatPr baseColWidth="10" defaultColWidth="11.42578125" defaultRowHeight="15.75" x14ac:dyDescent="0.25"/>
  <cols>
    <col min="1" max="1" width="5.7109375" style="300" customWidth="1"/>
    <col min="2" max="2" width="13.5703125" style="300" customWidth="1"/>
    <col min="3" max="7" width="12.7109375" style="300" customWidth="1"/>
    <col min="8" max="8" width="13.14062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11.42578125"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244</v>
      </c>
      <c r="J3" s="1733">
        <f>'DATOS ¬'!N15</f>
        <v>0</v>
      </c>
      <c r="K3" s="1733"/>
    </row>
    <row r="4" spans="1:11" ht="32.1" customHeight="1" x14ac:dyDescent="0.25">
      <c r="A4" s="1736" t="s">
        <v>529</v>
      </c>
      <c r="B4" s="1736"/>
      <c r="C4" s="1736"/>
      <c r="D4" s="1736"/>
      <c r="E4" s="303"/>
      <c r="F4" s="304"/>
    </row>
    <row r="5" spans="1:11" ht="18" customHeight="1" x14ac:dyDescent="0.25">
      <c r="A5" s="305"/>
      <c r="B5" s="305"/>
      <c r="C5" s="305"/>
      <c r="D5" s="304"/>
      <c r="E5" s="304"/>
      <c r="F5" s="304"/>
    </row>
    <row r="6" spans="1:11" ht="32.1" customHeight="1" x14ac:dyDescent="0.25">
      <c r="A6" s="1727" t="s">
        <v>530</v>
      </c>
      <c r="B6" s="1727"/>
      <c r="C6" s="504"/>
      <c r="D6" s="1727">
        <f>'DATOS ¬'!K8</f>
        <v>0</v>
      </c>
      <c r="E6" s="1727"/>
      <c r="F6" s="1727"/>
      <c r="G6" s="1727"/>
      <c r="H6" s="1727"/>
      <c r="I6" s="1727"/>
      <c r="J6" s="1727"/>
      <c r="K6" s="1727"/>
    </row>
    <row r="7" spans="1:11" ht="32.1" customHeight="1" x14ac:dyDescent="0.25">
      <c r="A7" s="1726" t="s">
        <v>531</v>
      </c>
      <c r="B7" s="1726"/>
      <c r="C7" s="502"/>
      <c r="D7" s="1727">
        <f>'DATOS ¬'!L8</f>
        <v>0</v>
      </c>
      <c r="E7" s="1727"/>
      <c r="F7" s="1727"/>
      <c r="G7" s="1727"/>
      <c r="H7" s="1727"/>
      <c r="I7" s="1727"/>
      <c r="J7" s="1727"/>
      <c r="K7" s="1727"/>
    </row>
    <row r="8" spans="1:11" ht="32.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t="s">
        <v>534</v>
      </c>
      <c r="I10" s="1729"/>
      <c r="J10" s="1728">
        <f>'DATOS ¬'!I8</f>
        <v>0</v>
      </c>
      <c r="K10" s="1728"/>
    </row>
    <row r="11" spans="1:11" ht="26.1" customHeight="1" x14ac:dyDescent="0.25">
      <c r="A11" s="1740"/>
      <c r="B11" s="1740"/>
      <c r="C11" s="306"/>
      <c r="D11" s="1740"/>
      <c r="E11" s="1740"/>
      <c r="F11" s="1740"/>
    </row>
    <row r="12" spans="1:11" ht="32.1" customHeight="1" x14ac:dyDescent="0.25">
      <c r="A12" s="1736" t="s">
        <v>535</v>
      </c>
      <c r="B12" s="1736"/>
      <c r="C12" s="1736"/>
      <c r="D12" s="1736"/>
      <c r="E12" s="1736"/>
      <c r="F12" s="1736"/>
      <c r="G12" s="1736"/>
      <c r="H12" s="1736"/>
      <c r="I12" s="1736"/>
      <c r="J12" s="1736"/>
    </row>
    <row r="13" spans="1:11" ht="18" customHeight="1" x14ac:dyDescent="0.25">
      <c r="A13" s="504"/>
      <c r="B13" s="504"/>
      <c r="C13" s="504"/>
      <c r="D13" s="504"/>
      <c r="E13" s="504"/>
      <c r="F13" s="209"/>
      <c r="G13" s="307"/>
      <c r="H13" s="307"/>
      <c r="I13" s="307"/>
      <c r="J13" s="307"/>
    </row>
    <row r="14" spans="1:11" ht="32.1" customHeight="1" x14ac:dyDescent="0.25">
      <c r="A14" s="1727" t="s">
        <v>536</v>
      </c>
      <c r="B14" s="1727"/>
      <c r="C14" s="1727"/>
      <c r="D14" s="1727"/>
      <c r="E14" s="1731" t="s">
        <v>537</v>
      </c>
      <c r="F14" s="1731"/>
      <c r="G14" s="1731"/>
      <c r="H14" s="1731"/>
      <c r="I14" s="307"/>
      <c r="J14" s="307"/>
    </row>
    <row r="15" spans="1:11" ht="32.1" customHeight="1" x14ac:dyDescent="0.25">
      <c r="A15" s="1727" t="s">
        <v>538</v>
      </c>
      <c r="B15" s="1727"/>
      <c r="C15" s="1727"/>
      <c r="D15" s="1727"/>
      <c r="E15" s="1727">
        <f>'DATOS ¬'!C15</f>
        <v>0</v>
      </c>
      <c r="F15" s="1727"/>
      <c r="G15" s="1727"/>
      <c r="H15" s="1727"/>
      <c r="I15" s="503"/>
      <c r="J15" s="307"/>
    </row>
    <row r="16" spans="1:11" ht="32.1" customHeight="1" x14ac:dyDescent="0.25">
      <c r="A16" s="1727" t="s">
        <v>539</v>
      </c>
      <c r="B16" s="1727"/>
      <c r="C16" s="1727"/>
      <c r="D16" s="1727"/>
      <c r="E16" s="1727">
        <f>'DATOS ¬'!E15</f>
        <v>0</v>
      </c>
      <c r="F16" s="1727"/>
      <c r="G16" s="1727"/>
      <c r="H16" s="1727"/>
      <c r="I16" s="503"/>
      <c r="J16" s="307"/>
    </row>
    <row r="17" spans="1:25" ht="32.1" customHeight="1" x14ac:dyDescent="0.25">
      <c r="A17" s="1727" t="s">
        <v>540</v>
      </c>
      <c r="B17" s="1727"/>
      <c r="C17" s="1727"/>
      <c r="D17" s="1727"/>
      <c r="E17" s="1730">
        <f>'DATOS ¬'!D15</f>
        <v>0</v>
      </c>
      <c r="F17" s="1730"/>
      <c r="G17" s="1730"/>
      <c r="H17" s="1730"/>
      <c r="I17" s="503"/>
      <c r="J17" s="307"/>
    </row>
    <row r="18" spans="1:25" ht="32.1" customHeight="1" x14ac:dyDescent="0.25">
      <c r="A18" s="1727" t="s">
        <v>541</v>
      </c>
      <c r="B18" s="1727"/>
      <c r="C18" s="1727"/>
      <c r="D18" s="1727"/>
      <c r="E18" s="1731" t="s">
        <v>542</v>
      </c>
      <c r="F18" s="1731"/>
      <c r="G18" s="1731"/>
      <c r="H18" s="1731"/>
      <c r="I18" s="503"/>
      <c r="J18" s="307"/>
    </row>
    <row r="19" spans="1:25" ht="32.1" customHeight="1" x14ac:dyDescent="0.25">
      <c r="A19" s="1727" t="s">
        <v>543</v>
      </c>
      <c r="B19" s="1727"/>
      <c r="C19" s="1727"/>
      <c r="D19" s="1727"/>
      <c r="E19" s="1195">
        <f>'DATOS ¬'!G15</f>
        <v>0</v>
      </c>
      <c r="F19" s="1196"/>
      <c r="G19" s="1196"/>
      <c r="H19" s="1196"/>
      <c r="I19" s="503"/>
      <c r="J19" s="307"/>
      <c r="S19" s="1740"/>
      <c r="T19" s="1740"/>
      <c r="U19" s="1740"/>
      <c r="V19" s="1740"/>
      <c r="W19" s="1740"/>
    </row>
    <row r="20" spans="1:25" ht="32.1" customHeight="1" x14ac:dyDescent="0.25">
      <c r="A20" s="1727" t="s">
        <v>544</v>
      </c>
      <c r="B20" s="1727"/>
      <c r="C20" s="1727"/>
      <c r="D20" s="1727"/>
      <c r="E20" s="1197">
        <f>'DATOS ¬'!H14</f>
        <v>0</v>
      </c>
      <c r="F20" s="1198" t="e">
        <f>'DATOS ¬'!H15</f>
        <v>#N/A</v>
      </c>
      <c r="G20" s="229"/>
      <c r="H20" s="229"/>
      <c r="I20" s="503"/>
      <c r="J20" s="307"/>
    </row>
    <row r="21" spans="1:25" ht="32.1" customHeight="1" x14ac:dyDescent="0.25">
      <c r="A21" s="1727" t="s">
        <v>545</v>
      </c>
      <c r="B21" s="1727"/>
      <c r="C21" s="1727"/>
      <c r="D21" s="1727"/>
      <c r="E21" s="1731" t="s">
        <v>546</v>
      </c>
      <c r="F21" s="1731"/>
      <c r="G21" s="1731"/>
      <c r="H21" s="1731"/>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32.1" customHeight="1" x14ac:dyDescent="0.25">
      <c r="A23" s="1736" t="s">
        <v>547</v>
      </c>
      <c r="B23" s="1736"/>
      <c r="C23" s="1736"/>
      <c r="D23" s="1736"/>
      <c r="E23" s="1736"/>
      <c r="F23" s="1736"/>
      <c r="G23" s="1736"/>
      <c r="H23" s="1736"/>
      <c r="I23" s="1736"/>
      <c r="J23" s="1736"/>
      <c r="K23" s="1736"/>
    </row>
    <row r="24" spans="1:25" ht="18" customHeight="1" x14ac:dyDescent="0.25">
      <c r="A24" s="307"/>
      <c r="B24" s="307"/>
      <c r="C24" s="307"/>
      <c r="D24" s="307"/>
      <c r="E24" s="307"/>
      <c r="F24" s="307"/>
      <c r="G24" s="307"/>
      <c r="H24" s="307"/>
      <c r="I24" s="307"/>
      <c r="J24" s="307"/>
      <c r="K24" s="307"/>
    </row>
    <row r="25" spans="1:25" ht="28.5"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32.1" customHeight="1" x14ac:dyDescent="0.25">
      <c r="A29" s="1738" t="s">
        <v>549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732" t="s">
        <v>665</v>
      </c>
      <c r="B31" s="1732"/>
      <c r="C31" s="1732"/>
      <c r="D31" s="1732"/>
      <c r="E31" s="1732"/>
      <c r="F31" s="1732"/>
      <c r="G31" s="1732"/>
      <c r="H31" s="1732"/>
      <c r="I31" s="1732"/>
      <c r="J31" s="1732"/>
      <c r="K31" s="1732"/>
    </row>
    <row r="32" spans="1:25" ht="20.100000000000001" customHeight="1" x14ac:dyDescent="0.25">
      <c r="A32" s="1732"/>
      <c r="B32" s="1732"/>
      <c r="C32" s="1732"/>
      <c r="D32" s="1732"/>
      <c r="E32" s="1732"/>
      <c r="F32" s="1732"/>
      <c r="G32" s="1732"/>
      <c r="H32" s="1732"/>
      <c r="I32" s="1732"/>
      <c r="J32" s="1732"/>
      <c r="K32" s="1732"/>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244</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t="s">
        <v>550</v>
      </c>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t="s">
        <v>551</v>
      </c>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t="s">
        <v>552</v>
      </c>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t="s">
        <v>553</v>
      </c>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t="s">
        <v>554</v>
      </c>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t="s">
        <v>555</v>
      </c>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B54" s="317" t="s">
        <v>328</v>
      </c>
      <c r="C54" s="1735" t="s">
        <v>556</v>
      </c>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t="s">
        <v>557</v>
      </c>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t="s">
        <v>558</v>
      </c>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t="s">
        <v>559</v>
      </c>
      <c r="D60" s="1727"/>
      <c r="E60" s="1727"/>
      <c r="F60" s="1727"/>
      <c r="G60" s="499">
        <f>'DATOS ¬'!F15</f>
        <v>0</v>
      </c>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t="s">
        <v>560</v>
      </c>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t="s">
        <v>561</v>
      </c>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t="s">
        <v>562</v>
      </c>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t="s">
        <v>563</v>
      </c>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40.5" customHeight="1" x14ac:dyDescent="0.25">
      <c r="A71" s="1746" t="s">
        <v>564</v>
      </c>
      <c r="B71" s="1746"/>
      <c r="C71" s="1746"/>
      <c r="D71" s="1746"/>
      <c r="E71" s="1746"/>
      <c r="F71" s="1746"/>
      <c r="G71" s="1746"/>
      <c r="H71" s="1746"/>
      <c r="I71" s="1746"/>
      <c r="J71" s="1746"/>
      <c r="K71" s="1746"/>
    </row>
    <row r="72" spans="1:12" ht="15" customHeight="1" thickBot="1" x14ac:dyDescent="0.3">
      <c r="A72" s="508"/>
      <c r="B72" s="508"/>
      <c r="C72" s="508"/>
      <c r="D72" s="508"/>
      <c r="E72" s="508"/>
      <c r="F72" s="508"/>
      <c r="G72" s="508"/>
      <c r="H72" s="508"/>
      <c r="I72" s="508"/>
      <c r="J72" s="508"/>
      <c r="K72" s="508"/>
    </row>
    <row r="73" spans="1:12" ht="30" customHeight="1" thickBot="1" x14ac:dyDescent="0.3">
      <c r="A73" s="503"/>
      <c r="B73" s="503"/>
      <c r="C73" s="1489" t="s">
        <v>565</v>
      </c>
      <c r="D73" s="1491"/>
      <c r="E73" s="1489" t="s">
        <v>566</v>
      </c>
      <c r="F73" s="1491"/>
      <c r="G73" s="1489" t="s">
        <v>567</v>
      </c>
      <c r="H73" s="1491"/>
      <c r="I73" s="503"/>
      <c r="J73" s="311"/>
      <c r="K73" s="307"/>
    </row>
    <row r="74" spans="1:12" ht="30" customHeight="1" thickBot="1" x14ac:dyDescent="0.3">
      <c r="A74" s="503"/>
      <c r="C74" s="329" t="s">
        <v>568</v>
      </c>
      <c r="D74" s="330" t="s">
        <v>569</v>
      </c>
      <c r="E74" s="329" t="s">
        <v>568</v>
      </c>
      <c r="F74" s="330" t="s">
        <v>570</v>
      </c>
      <c r="G74" s="329" t="s">
        <v>568</v>
      </c>
      <c r="H74" s="330" t="s">
        <v>570</v>
      </c>
      <c r="I74" s="1724"/>
      <c r="J74" s="1724"/>
      <c r="K74" s="307"/>
    </row>
    <row r="75" spans="1:12" ht="36" customHeight="1" thickBot="1" x14ac:dyDescent="0.3">
      <c r="A75" s="513"/>
      <c r="B75" s="331"/>
      <c r="C75" s="332" t="e">
        <f>VLOOKUP($B$75,'DATOS ¬'!Q26:W28,2,FALSE)</f>
        <v>#N/A</v>
      </c>
      <c r="D75" s="333" t="e">
        <f>VLOOKUP($B$75,'DATOS ¬'!Q26:W28,3,FALSE)</f>
        <v>#N/A</v>
      </c>
      <c r="E75" s="333" t="e">
        <f>VLOOKUP($B$75,'DATOS ¬'!Q26:W28,4,FALSE)</f>
        <v>#N/A</v>
      </c>
      <c r="F75" s="333" t="e">
        <f>VLOOKUP($B$75,'DATOS ¬'!Q26:W28,5,FALSE)</f>
        <v>#N/A</v>
      </c>
      <c r="G75" s="334" t="e">
        <f>VLOOKUP($B$75,'DATOS ¬'!Q26:W28,6,FALSE)</f>
        <v>#N/A</v>
      </c>
      <c r="H75" s="335" t="e">
        <f>VLOOKUP($B$75,'DATOS ¬'!Q26:W28,7,FALSE)</f>
        <v>#N/A</v>
      </c>
      <c r="I75" s="1744"/>
      <c r="J75" s="1744"/>
      <c r="K75" s="307"/>
    </row>
    <row r="76" spans="1:12" ht="32.1" customHeight="1" x14ac:dyDescent="0.25">
      <c r="A76" s="506"/>
    </row>
    <row r="77" spans="1:12" ht="125.1" customHeight="1" x14ac:dyDescent="0.25">
      <c r="A77" s="506"/>
    </row>
    <row r="78" spans="1:12" ht="35.1" customHeight="1" x14ac:dyDescent="0.25">
      <c r="A78" s="506"/>
    </row>
    <row r="79" spans="1:12" ht="65.099999999999994" customHeight="1" x14ac:dyDescent="0.25">
      <c r="A79" s="506"/>
      <c r="I79" s="302" t="s">
        <v>244</v>
      </c>
      <c r="J79" s="1733">
        <f>J3</f>
        <v>0</v>
      </c>
      <c r="K79" s="1733"/>
    </row>
    <row r="80" spans="1:12" ht="24.95" customHeight="1" x14ac:dyDescent="0.25">
      <c r="A80" s="1738" t="s">
        <v>571</v>
      </c>
      <c r="B80" s="1738"/>
      <c r="C80" s="1738"/>
      <c r="D80" s="1738"/>
      <c r="E80" s="1738"/>
      <c r="F80" s="503"/>
      <c r="G80" s="503"/>
      <c r="H80" s="503"/>
      <c r="I80" s="503"/>
      <c r="J80" s="336"/>
      <c r="K80" s="307"/>
    </row>
    <row r="81" spans="1:12" ht="9.9499999999999993" customHeight="1" x14ac:dyDescent="0.25">
      <c r="A81" s="310"/>
      <c r="B81" s="503"/>
      <c r="C81" s="503"/>
      <c r="D81" s="503"/>
      <c r="E81" s="503"/>
      <c r="F81" s="503"/>
      <c r="G81" s="503"/>
      <c r="H81" s="503"/>
      <c r="I81" s="503"/>
      <c r="J81" s="311"/>
      <c r="K81" s="307"/>
    </row>
    <row r="82" spans="1:12" ht="17.100000000000001" customHeight="1" x14ac:dyDescent="0.25">
      <c r="A82" s="1745" t="s">
        <v>572</v>
      </c>
      <c r="B82" s="1745"/>
      <c r="C82" s="1745"/>
      <c r="D82" s="1745"/>
      <c r="E82" s="1745"/>
      <c r="F82" s="1745"/>
      <c r="G82" s="1745"/>
      <c r="H82" s="1745"/>
      <c r="I82" s="1745"/>
      <c r="J82" s="1745"/>
      <c r="K82" s="1745"/>
    </row>
    <row r="83" spans="1:12" ht="17.100000000000001" customHeight="1" x14ac:dyDescent="0.25">
      <c r="A83" s="1745"/>
      <c r="B83" s="1745"/>
      <c r="C83" s="1745"/>
      <c r="D83" s="1745"/>
      <c r="E83" s="1745"/>
      <c r="F83" s="1745"/>
      <c r="G83" s="1745"/>
      <c r="H83" s="1745"/>
      <c r="I83" s="1745"/>
      <c r="J83" s="1745"/>
      <c r="K83" s="1745"/>
    </row>
    <row r="84" spans="1:12" ht="15.95" customHeight="1" x14ac:dyDescent="0.25">
      <c r="A84" s="337"/>
      <c r="B84" s="337"/>
      <c r="C84" s="337"/>
      <c r="D84" s="337"/>
      <c r="E84" s="337"/>
      <c r="F84" s="337"/>
      <c r="G84" s="337"/>
      <c r="H84" s="337"/>
      <c r="I84" s="337"/>
      <c r="J84" s="337"/>
      <c r="K84" s="307"/>
    </row>
    <row r="85" spans="1:12" s="338" customFormat="1" ht="24.95" customHeight="1" x14ac:dyDescent="0.3">
      <c r="A85" s="1738" t="s">
        <v>573</v>
      </c>
      <c r="B85" s="1738"/>
      <c r="C85" s="1738"/>
      <c r="D85" s="1738"/>
      <c r="E85" s="1738"/>
      <c r="F85" s="503"/>
      <c r="G85" s="503"/>
      <c r="H85" s="307"/>
      <c r="I85" s="307"/>
      <c r="J85" s="311"/>
      <c r="K85" s="307"/>
    </row>
    <row r="86" spans="1:12" ht="9.9499999999999993" customHeight="1" x14ac:dyDescent="0.25">
      <c r="A86" s="507"/>
      <c r="B86" s="507"/>
      <c r="C86" s="507"/>
      <c r="D86" s="507"/>
      <c r="E86" s="507"/>
      <c r="F86" s="503"/>
      <c r="G86" s="503"/>
      <c r="H86" s="307"/>
      <c r="I86" s="307"/>
      <c r="J86" s="311"/>
      <c r="K86" s="307"/>
    </row>
    <row r="87" spans="1:12" ht="42.75" customHeight="1" x14ac:dyDescent="0.25">
      <c r="A87" s="1745" t="s">
        <v>574</v>
      </c>
      <c r="B87" s="1745"/>
      <c r="C87" s="1745"/>
      <c r="D87" s="1745"/>
      <c r="E87" s="1745"/>
      <c r="F87" s="1745"/>
      <c r="G87" s="1745"/>
      <c r="H87" s="1745"/>
      <c r="I87" s="1745"/>
      <c r="J87" s="1745"/>
      <c r="K87" s="1745"/>
    </row>
    <row r="88" spans="1:12" ht="15.95" customHeight="1" thickBot="1" x14ac:dyDescent="0.3">
      <c r="A88" s="339"/>
      <c r="B88" s="339"/>
      <c r="C88" s="339"/>
      <c r="D88" s="339"/>
      <c r="E88" s="339"/>
      <c r="F88" s="339"/>
      <c r="G88" s="339"/>
      <c r="H88" s="339"/>
      <c r="I88" s="339"/>
      <c r="J88" s="339"/>
    </row>
    <row r="89" spans="1:12" ht="33" customHeight="1" thickBot="1" x14ac:dyDescent="0.3">
      <c r="A89" s="1747" t="s">
        <v>575</v>
      </c>
      <c r="B89" s="1748"/>
      <c r="C89" s="1749"/>
      <c r="D89" s="509" t="s">
        <v>23</v>
      </c>
      <c r="E89" s="1747" t="s">
        <v>576</v>
      </c>
      <c r="F89" s="1749"/>
      <c r="G89" s="1747" t="s">
        <v>577</v>
      </c>
      <c r="H89" s="1748"/>
      <c r="I89" s="1747" t="s">
        <v>578</v>
      </c>
      <c r="J89" s="1749"/>
      <c r="K89" s="340"/>
    </row>
    <row r="90" spans="1:12" ht="33" customHeight="1" x14ac:dyDescent="0.25">
      <c r="A90" s="1750" t="s">
        <v>579</v>
      </c>
      <c r="B90" s="1751"/>
      <c r="C90" s="1751"/>
      <c r="D90" s="1084" t="e">
        <f>VLOOKUP('RT03-F11 ¬'!S7,'DATOS ¬'!C30:O32,2,FALSE)</f>
        <v>#N/A</v>
      </c>
      <c r="E90" s="1752" t="s">
        <v>580</v>
      </c>
      <c r="F90" s="1753"/>
      <c r="G90" s="1754" t="e">
        <f>VLOOKUP('RT03-F11 ¬'!S7,'DATOS ¬'!C30:O32,3,FALSE)</f>
        <v>#N/A</v>
      </c>
      <c r="H90" s="1755"/>
      <c r="I90" s="1754" t="e">
        <f>VLOOKUP('RT03-F11 ¬'!S7,'DATOS ¬'!C30:O32,10,FALSE)</f>
        <v>#N/A</v>
      </c>
      <c r="J90" s="1756"/>
      <c r="K90" s="340"/>
    </row>
    <row r="91" spans="1:12" ht="33" customHeight="1" x14ac:dyDescent="0.25">
      <c r="A91" s="1766" t="s">
        <v>581</v>
      </c>
      <c r="B91" s="1767"/>
      <c r="C91" s="1767"/>
      <c r="D91" s="1085" t="e">
        <f>VLOOKUP('RT03-F11 ¬'!S8,'DATOS ¬'!C37:R60,2,FALSE)</f>
        <v>#N/A</v>
      </c>
      <c r="E91" s="1768" t="s">
        <v>582</v>
      </c>
      <c r="F91" s="1769"/>
      <c r="G91" s="1770" t="e">
        <f>VLOOKUP('RT03-F11 ¬'!S8,'DATOS ¬'!C37:R60,3,FALSE)</f>
        <v>#N/A</v>
      </c>
      <c r="H91" s="1771"/>
      <c r="I91" s="1770" t="e">
        <f>VLOOKUP('RT03-F11 ¬'!S8,'DATOS ¬'!C37:R60,10,FALSE)</f>
        <v>#N/A</v>
      </c>
      <c r="J91" s="1772"/>
      <c r="K91" s="340"/>
    </row>
    <row r="92" spans="1:12" ht="33" customHeight="1" x14ac:dyDescent="0.25">
      <c r="A92" s="1766" t="s">
        <v>583</v>
      </c>
      <c r="B92" s="1767"/>
      <c r="C92" s="1767"/>
      <c r="D92" s="1085" t="e">
        <f>VLOOKUP('RT03-F11 ¬'!S13,'DATOS ¬'!C37:R60,2,FALSE)</f>
        <v>#N/A</v>
      </c>
      <c r="E92" s="1768" t="s">
        <v>582</v>
      </c>
      <c r="F92" s="1769"/>
      <c r="G92" s="1770" t="e">
        <f>VLOOKUP('RT03-F11 ¬'!S13,'DATOS ¬'!C37:R60,3,FALSE)</f>
        <v>#N/A</v>
      </c>
      <c r="H92" s="1771"/>
      <c r="I92" s="1770" t="e">
        <f>VLOOKUP('RT03-F11 ¬'!S13,'DATOS ¬'!C37:R60,10,FALSE)</f>
        <v>#N/A</v>
      </c>
      <c r="J92" s="1772"/>
      <c r="K92" s="340"/>
    </row>
    <row r="93" spans="1:12" ht="33" customHeight="1" thickBot="1" x14ac:dyDescent="0.3">
      <c r="A93" s="1757" t="s">
        <v>379</v>
      </c>
      <c r="B93" s="1758"/>
      <c r="C93" s="1758"/>
      <c r="D93" s="1086" t="e">
        <f>VLOOKUP(K93,'DATOS ¬'!$C$137:$L$152,2,FALSE)</f>
        <v>#N/A</v>
      </c>
      <c r="E93" s="1759" t="e">
        <f>VLOOKUP(K93,'DATOS ¬'!$C$137:$M$152,11,FALSE)</f>
        <v>#N/A</v>
      </c>
      <c r="F93" s="1760"/>
      <c r="G93" s="1761" t="e">
        <f>VLOOKUP(K93,'DATOS ¬'!$C$137:$L$152,3,FALSE)</f>
        <v>#N/A</v>
      </c>
      <c r="H93" s="1762"/>
      <c r="I93" s="1763" t="e">
        <f>VLOOKUP(K93,'DATOS ¬'!$C$137:$L$152,10,FALSE)</f>
        <v>#N/A</v>
      </c>
      <c r="J93" s="1764"/>
      <c r="K93" s="535"/>
    </row>
    <row r="94" spans="1:12" ht="24.95" customHeight="1" x14ac:dyDescent="0.25">
      <c r="B94" s="506"/>
      <c r="C94" s="506"/>
      <c r="D94" s="304"/>
      <c r="E94" s="304"/>
      <c r="F94" s="306"/>
      <c r="G94" s="304"/>
      <c r="H94" s="304"/>
      <c r="I94" s="304"/>
      <c r="J94" s="304"/>
      <c r="K94" s="341"/>
      <c r="L94" s="341"/>
    </row>
    <row r="95" spans="1:12" s="338" customFormat="1" ht="24.95" customHeight="1" x14ac:dyDescent="0.3">
      <c r="A95" s="1738" t="s">
        <v>584</v>
      </c>
      <c r="B95" s="1738"/>
      <c r="C95" s="1738"/>
      <c r="D95" s="1738"/>
      <c r="E95" s="1738"/>
      <c r="F95" s="1738"/>
      <c r="G95" s="1738"/>
      <c r="H95" s="1738"/>
      <c r="I95" s="1738"/>
      <c r="J95" s="1738"/>
      <c r="K95" s="1738"/>
      <c r="L95" s="342"/>
    </row>
    <row r="96" spans="1:12" s="338" customFormat="1" ht="12" customHeight="1" x14ac:dyDescent="0.3">
      <c r="A96" s="343"/>
      <c r="B96" s="343"/>
      <c r="C96" s="343"/>
      <c r="D96" s="343"/>
      <c r="E96" s="343"/>
      <c r="F96" s="320"/>
      <c r="G96" s="320"/>
      <c r="H96" s="320"/>
      <c r="I96" s="320"/>
      <c r="J96" s="344"/>
      <c r="K96" s="342"/>
      <c r="L96" s="342"/>
    </row>
    <row r="97" spans="1:18" ht="15" hidden="1" customHeight="1" thickBot="1" x14ac:dyDescent="0.35">
      <c r="A97" s="1765" t="s">
        <v>491</v>
      </c>
      <c r="B97" s="1765"/>
      <c r="C97" s="1765"/>
      <c r="D97" s="1765"/>
      <c r="E97" s="1765"/>
      <c r="F97" s="1765"/>
      <c r="G97" s="1765"/>
      <c r="H97" s="1765"/>
      <c r="I97" s="1765"/>
      <c r="J97" s="344"/>
      <c r="K97" s="341"/>
      <c r="L97" s="341"/>
      <c r="M97" s="338"/>
      <c r="N97" s="338"/>
      <c r="O97" s="338"/>
      <c r="P97" s="338"/>
      <c r="Q97" s="338"/>
      <c r="R97" s="338"/>
    </row>
    <row r="98" spans="1:18" ht="30" hidden="1" customHeight="1" thickBot="1" x14ac:dyDescent="0.35">
      <c r="A98" s="1747" t="s">
        <v>585</v>
      </c>
      <c r="B98" s="1749"/>
      <c r="C98" s="1747" t="s">
        <v>586</v>
      </c>
      <c r="D98" s="1748"/>
      <c r="E98" s="1749"/>
      <c r="F98" s="1773" t="s">
        <v>587</v>
      </c>
      <c r="G98" s="1788"/>
      <c r="H98" s="345" t="s">
        <v>588</v>
      </c>
      <c r="I98" s="1087"/>
      <c r="J98" s="346" t="s">
        <v>589</v>
      </c>
      <c r="K98" s="347" t="s">
        <v>590</v>
      </c>
      <c r="M98" s="338"/>
      <c r="N98" s="338"/>
      <c r="O98" s="338"/>
      <c r="P98" s="338"/>
      <c r="Q98" s="338"/>
      <c r="R98" s="338"/>
    </row>
    <row r="99" spans="1:18" s="341" customFormat="1" ht="24" hidden="1" customHeight="1" thickBot="1" x14ac:dyDescent="0.35">
      <c r="A99" s="1775">
        <f>G60</f>
        <v>0</v>
      </c>
      <c r="B99" s="1776"/>
      <c r="C99" s="1781">
        <f>'RT03-F11 ¬'!M30</f>
        <v>18927.055</v>
      </c>
      <c r="D99" s="1781"/>
      <c r="E99" s="348" t="s">
        <v>120</v>
      </c>
      <c r="F99" s="349" t="e">
        <f>('RT03-F11 ¬'!C122)</f>
        <v>#N/A</v>
      </c>
      <c r="G99" s="348" t="s">
        <v>120</v>
      </c>
      <c r="H99" s="350" t="e">
        <f>IF('RT03-F11 ¬'!F122&lt;=('CMC ¬'!P12),'CMC ¬'!P12,'RT03-F11 ¬'!F122)</f>
        <v>#N/A</v>
      </c>
      <c r="I99" s="348" t="s">
        <v>120</v>
      </c>
      <c r="J99" s="351" t="e">
        <f>'RT03-F11 ¬'!I122</f>
        <v>#N/A</v>
      </c>
      <c r="K99" s="1789" t="e">
        <f>IF(AND('Pc ¬'!H5&gt;=97.5%,'Pc ¬'!I5&lt;=2.5%),"SI","NO")</f>
        <v>#N/A</v>
      </c>
      <c r="M99" s="338"/>
      <c r="N99" s="338"/>
      <c r="O99" s="338"/>
      <c r="P99" s="338"/>
      <c r="Q99" s="338"/>
      <c r="R99" s="338"/>
    </row>
    <row r="100" spans="1:18" s="341" customFormat="1" ht="24" hidden="1" customHeight="1" thickBot="1" x14ac:dyDescent="0.35">
      <c r="A100" s="1777"/>
      <c r="B100" s="1778"/>
      <c r="C100" s="1785">
        <f>'RT03-F11 ¬'!M28</f>
        <v>1155.0000427166315</v>
      </c>
      <c r="D100" s="1785"/>
      <c r="E100" s="352" t="s">
        <v>591</v>
      </c>
      <c r="F100" s="353" t="e">
        <f>'RT03-F11 ¬'!C123</f>
        <v>#N/A</v>
      </c>
      <c r="G100" s="354" t="s">
        <v>591</v>
      </c>
      <c r="H100" s="355" t="e">
        <f>IF('RT03-F11 ¬'!F123&lt;=('CMC ¬'!Q12),'CMC ¬'!Q12,'RT03-F11 ¬'!F123)</f>
        <v>#N/A</v>
      </c>
      <c r="I100" s="354" t="s">
        <v>591</v>
      </c>
      <c r="J100" s="356" t="e">
        <f>'RT03-F11 ¬'!I123</f>
        <v>#N/A</v>
      </c>
      <c r="K100" s="1790"/>
      <c r="M100" s="338"/>
      <c r="N100" s="338"/>
      <c r="O100" s="338"/>
      <c r="P100" s="338"/>
      <c r="Q100" s="338"/>
      <c r="R100" s="338"/>
    </row>
    <row r="101" spans="1:18" s="341" customFormat="1" ht="24" hidden="1" customHeight="1" thickBot="1" x14ac:dyDescent="0.35">
      <c r="A101" s="1777"/>
      <c r="B101" s="1778"/>
      <c r="C101" s="1792">
        <f>'RT03-F11 ¬'!M27</f>
        <v>5</v>
      </c>
      <c r="D101" s="1793"/>
      <c r="E101" s="352" t="s">
        <v>283</v>
      </c>
      <c r="F101" s="511" t="e">
        <f>'RT03-F11 ¬'!C124</f>
        <v>#N/A</v>
      </c>
      <c r="G101" s="354" t="s">
        <v>283</v>
      </c>
      <c r="H101" s="357" t="e">
        <f>IF('RT03-F11 ¬'!F124&lt;=('CMC ¬'!R12),'CMC ¬'!R12,'RT03-F11 ¬'!F124)</f>
        <v>#N/A</v>
      </c>
      <c r="I101" s="354" t="s">
        <v>283</v>
      </c>
      <c r="J101" s="511" t="e">
        <f>'RT03-F11 ¬'!I124</f>
        <v>#N/A</v>
      </c>
      <c r="K101" s="1790"/>
      <c r="M101" s="338"/>
      <c r="N101" s="338"/>
      <c r="O101" s="338"/>
      <c r="P101" s="338"/>
      <c r="Q101" s="338"/>
      <c r="R101" s="338"/>
    </row>
    <row r="102" spans="1:18" ht="24" hidden="1" customHeight="1" thickBot="1" x14ac:dyDescent="0.35">
      <c r="A102" s="1779"/>
      <c r="B102" s="1780"/>
      <c r="C102" s="1786">
        <v>100</v>
      </c>
      <c r="D102" s="1787"/>
      <c r="E102" s="352" t="s">
        <v>404</v>
      </c>
      <c r="F102" s="510" t="e">
        <f>'RT03-F11 ¬'!C125</f>
        <v>#N/A</v>
      </c>
      <c r="G102" s="352" t="s">
        <v>404</v>
      </c>
      <c r="H102" s="358" t="e">
        <f>IF('RT03-F11 ¬'!F125&lt;=('CMC ¬'!S12),'CMC ¬'!S12,'RT03-F11 ¬'!F125)</f>
        <v>#N/A</v>
      </c>
      <c r="I102" s="354" t="s">
        <v>404</v>
      </c>
      <c r="J102" s="510" t="e">
        <f>'RT03-F11 ¬'!I125</f>
        <v>#N/A</v>
      </c>
      <c r="K102" s="1791"/>
      <c r="M102" s="338"/>
      <c r="N102" s="338"/>
      <c r="O102" s="338"/>
      <c r="P102" s="338"/>
      <c r="Q102" s="338"/>
      <c r="R102" s="338"/>
    </row>
    <row r="103" spans="1:18" ht="20.100000000000001" hidden="1" customHeight="1" x14ac:dyDescent="0.3">
      <c r="A103" s="359"/>
      <c r="B103" s="360"/>
      <c r="C103" s="361"/>
      <c r="D103" s="361"/>
      <c r="E103" s="362"/>
      <c r="F103" s="363"/>
      <c r="G103" s="362"/>
      <c r="H103" s="364"/>
      <c r="I103" s="364"/>
      <c r="J103" s="364"/>
      <c r="K103" s="364"/>
      <c r="L103" s="364"/>
      <c r="M103" s="338"/>
      <c r="N103" s="338"/>
      <c r="O103" s="338"/>
      <c r="P103" s="338"/>
      <c r="Q103" s="338"/>
      <c r="R103" s="338"/>
    </row>
    <row r="104" spans="1:18" ht="15" hidden="1" customHeight="1" thickBot="1" x14ac:dyDescent="0.35">
      <c r="A104" s="365" t="s">
        <v>517</v>
      </c>
      <c r="B104" s="365"/>
      <c r="C104" s="365"/>
      <c r="D104" s="365"/>
      <c r="E104" s="365"/>
      <c r="F104" s="365"/>
      <c r="G104" s="1073"/>
      <c r="H104" s="1073"/>
      <c r="I104" s="1073"/>
      <c r="J104" s="1072"/>
      <c r="K104" s="1073"/>
      <c r="L104" s="365"/>
      <c r="M104" s="338"/>
      <c r="N104" s="338"/>
      <c r="O104" s="338"/>
      <c r="P104" s="338"/>
      <c r="Q104" s="338"/>
      <c r="R104" s="338"/>
    </row>
    <row r="105" spans="1:18" s="340" customFormat="1" ht="30" hidden="1" customHeight="1" thickBot="1" x14ac:dyDescent="0.25">
      <c r="A105" s="345" t="s">
        <v>585</v>
      </c>
      <c r="B105" s="366"/>
      <c r="C105" s="345" t="s">
        <v>586</v>
      </c>
      <c r="D105" s="366"/>
      <c r="E105" s="345"/>
      <c r="F105" s="1773" t="s">
        <v>587</v>
      </c>
      <c r="G105" s="1774"/>
      <c r="H105" s="345" t="s">
        <v>592</v>
      </c>
      <c r="I105" s="1087"/>
      <c r="J105" s="346" t="s">
        <v>593</v>
      </c>
      <c r="K105" s="347" t="s">
        <v>590</v>
      </c>
    </row>
    <row r="106" spans="1:18" ht="24" hidden="1" customHeight="1" thickBot="1" x14ac:dyDescent="0.3">
      <c r="A106" s="1775">
        <f>G60</f>
        <v>0</v>
      </c>
      <c r="B106" s="1776"/>
      <c r="C106" s="1781">
        <f>C99</f>
        <v>18927.055</v>
      </c>
      <c r="D106" s="1781"/>
      <c r="E106" s="352" t="s">
        <v>120</v>
      </c>
      <c r="F106" s="349" t="e">
        <f>'DESPUES DE AJUSTE ¬ '!C122</f>
        <v>#N/A</v>
      </c>
      <c r="G106" s="367" t="s">
        <v>120</v>
      </c>
      <c r="H106" s="350" t="e">
        <f>IF('DESPUES DE AJUSTE ¬ '!F122&lt;=('CMC ¬'!P12),'CMC ¬'!P12,'DESPUES DE AJUSTE ¬ '!F122)</f>
        <v>#N/A</v>
      </c>
      <c r="I106" s="352" t="s">
        <v>120</v>
      </c>
      <c r="J106" s="351" t="e">
        <f>'DESPUES DE AJUSTE ¬ '!I122</f>
        <v>#N/A</v>
      </c>
      <c r="K106" s="1782" t="e">
        <f>IF(AND('Pc ¬'!H11&gt;=97.5%,'Pc ¬'!I11&lt;=2.5%),"SI","NO")</f>
        <v>#N/A</v>
      </c>
    </row>
    <row r="107" spans="1:18" ht="24" hidden="1" customHeight="1" thickBot="1" x14ac:dyDescent="0.3">
      <c r="A107" s="1777"/>
      <c r="B107" s="1778"/>
      <c r="C107" s="1785">
        <f>C100</f>
        <v>1155.0000427166315</v>
      </c>
      <c r="D107" s="1785"/>
      <c r="E107" s="352" t="s">
        <v>591</v>
      </c>
      <c r="F107" s="353" t="e">
        <f>'DESPUES DE AJUSTE ¬ '!C123</f>
        <v>#N/A</v>
      </c>
      <c r="G107" s="367" t="s">
        <v>594</v>
      </c>
      <c r="H107" s="355" t="e">
        <f>IF('DESPUES DE AJUSTE ¬ '!F123&lt;=('CMC ¬'!Q12),'CMC ¬'!Q12,'DESPUES DE AJUSTE ¬ '!F123)</f>
        <v>#N/A</v>
      </c>
      <c r="I107" s="352" t="s">
        <v>591</v>
      </c>
      <c r="J107" s="351" t="e">
        <f>'DESPUES DE AJUSTE ¬ '!I123</f>
        <v>#N/A</v>
      </c>
      <c r="K107" s="1783"/>
    </row>
    <row r="108" spans="1:18" ht="24" hidden="1" customHeight="1" thickBot="1" x14ac:dyDescent="0.3">
      <c r="A108" s="1777"/>
      <c r="B108" s="1778"/>
      <c r="C108" s="1794">
        <f>C101</f>
        <v>5</v>
      </c>
      <c r="D108" s="1792"/>
      <c r="E108" s="352" t="s">
        <v>283</v>
      </c>
      <c r="F108" s="511" t="e">
        <f>'DESPUES DE AJUSTE ¬ '!C124</f>
        <v>#N/A</v>
      </c>
      <c r="G108" s="367" t="s">
        <v>283</v>
      </c>
      <c r="H108" s="357" t="e">
        <f>IF('DESPUES DE AJUSTE ¬ '!F124&lt;=('CMC ¬'!R12),'CMC ¬'!R12,'DESPUES DE AJUSTE ¬ '!F124)</f>
        <v>#N/A</v>
      </c>
      <c r="I108" s="352" t="s">
        <v>283</v>
      </c>
      <c r="J108" s="511" t="e">
        <f>'DESPUES DE AJUSTE ¬ '!I124</f>
        <v>#N/A</v>
      </c>
      <c r="K108" s="1783"/>
    </row>
    <row r="109" spans="1:18" ht="24" hidden="1" customHeight="1" thickBot="1" x14ac:dyDescent="0.3">
      <c r="A109" s="1779"/>
      <c r="B109" s="1780"/>
      <c r="C109" s="1786">
        <f>C102</f>
        <v>100</v>
      </c>
      <c r="D109" s="1787"/>
      <c r="E109" s="352" t="s">
        <v>404</v>
      </c>
      <c r="F109" s="510" t="e">
        <f>'DESPUES DE AJUSTE ¬ '!C125</f>
        <v>#N/A</v>
      </c>
      <c r="G109" s="352" t="s">
        <v>404</v>
      </c>
      <c r="H109" s="358" t="e">
        <f>IF('DESPUES DE AJUSTE ¬ '!F125&lt;=('CMC ¬'!S12),'CMC ¬'!S12,'DESPUES DE AJUSTE ¬ '!F125)</f>
        <v>#N/A</v>
      </c>
      <c r="I109" s="352" t="s">
        <v>404</v>
      </c>
      <c r="J109" s="510" t="e">
        <f>'DESPUES DE AJUSTE ¬ '!I125</f>
        <v>#N/A</v>
      </c>
      <c r="K109" s="1784"/>
    </row>
    <row r="110" spans="1:18" ht="11.25" hidden="1" customHeight="1" x14ac:dyDescent="0.25"/>
    <row r="111" spans="1:18" ht="30.75" customHeight="1" x14ac:dyDescent="0.25">
      <c r="A111" s="1796" t="s">
        <v>595</v>
      </c>
      <c r="B111" s="1796"/>
      <c r="C111" s="1796"/>
      <c r="D111" s="1796"/>
      <c r="E111" s="1796"/>
      <c r="F111" s="1796"/>
      <c r="G111" s="1796"/>
      <c r="H111" s="1796"/>
      <c r="I111" s="1796"/>
      <c r="J111" s="1796"/>
      <c r="K111" s="1796"/>
    </row>
    <row r="112" spans="1:18" ht="8.25" customHeight="1" thickBot="1" x14ac:dyDescent="0.3">
      <c r="A112" s="341"/>
      <c r="B112" s="341"/>
      <c r="C112" s="341"/>
      <c r="D112" s="341"/>
      <c r="E112" s="341"/>
      <c r="F112" s="341"/>
      <c r="G112" s="341"/>
      <c r="H112" s="341"/>
      <c r="I112" s="341"/>
      <c r="J112" s="341"/>
      <c r="K112" s="341"/>
    </row>
    <row r="113" spans="1:11" ht="24.95" customHeight="1" thickBot="1" x14ac:dyDescent="0.3">
      <c r="A113" s="341"/>
      <c r="B113" s="341"/>
      <c r="C113" s="341"/>
      <c r="D113" s="341"/>
      <c r="E113" s="1200" t="s">
        <v>666</v>
      </c>
      <c r="F113" s="1199">
        <f>(C99*0.05%)</f>
        <v>9.4635274999999996</v>
      </c>
      <c r="G113" s="1200" t="s">
        <v>120</v>
      </c>
      <c r="H113" s="341"/>
      <c r="I113" s="368"/>
      <c r="J113" s="368"/>
      <c r="K113" s="341"/>
    </row>
    <row r="114" spans="1:11" ht="24.95" customHeight="1" x14ac:dyDescent="0.25">
      <c r="A114" s="341"/>
      <c r="B114" s="341"/>
      <c r="C114" s="341"/>
      <c r="D114" s="341"/>
      <c r="E114" s="341"/>
      <c r="F114" s="341"/>
      <c r="G114" s="341"/>
      <c r="H114" s="341"/>
      <c r="I114" s="369"/>
      <c r="J114" s="1088"/>
      <c r="K114" s="341"/>
    </row>
    <row r="115" spans="1:11" ht="15.95" customHeight="1" x14ac:dyDescent="0.25">
      <c r="A115" s="341"/>
      <c r="B115" s="341"/>
      <c r="C115" s="341"/>
      <c r="D115" s="341"/>
      <c r="E115" s="341"/>
      <c r="F115" s="341"/>
      <c r="G115" s="341"/>
      <c r="H115" s="341"/>
      <c r="I115" s="368"/>
      <c r="J115" s="341"/>
      <c r="K115" s="341"/>
    </row>
    <row r="116" spans="1:11" ht="125.1" customHeight="1" x14ac:dyDescent="0.25">
      <c r="A116" s="341"/>
      <c r="B116" s="341"/>
      <c r="C116" s="341"/>
      <c r="D116" s="341"/>
      <c r="E116" s="341"/>
      <c r="F116" s="341"/>
      <c r="G116" s="341"/>
      <c r="H116" s="341"/>
      <c r="I116" s="368"/>
      <c r="J116" s="341"/>
      <c r="K116" s="341"/>
    </row>
    <row r="117" spans="1:11" ht="35.1" customHeight="1" x14ac:dyDescent="0.25">
      <c r="A117" s="341"/>
      <c r="B117" s="341"/>
      <c r="C117" s="341"/>
      <c r="D117" s="341"/>
      <c r="E117" s="341"/>
      <c r="F117" s="341"/>
      <c r="G117" s="341"/>
      <c r="H117" s="341"/>
      <c r="I117" s="368"/>
      <c r="J117" s="341"/>
      <c r="K117" s="341"/>
    </row>
    <row r="118" spans="1:11" ht="65.099999999999994" customHeight="1" thickBot="1" x14ac:dyDescent="0.3">
      <c r="A118" s="341"/>
      <c r="B118" s="341"/>
      <c r="C118" s="341"/>
      <c r="D118" s="341"/>
      <c r="E118" s="341"/>
      <c r="F118" s="341"/>
      <c r="G118" s="341"/>
      <c r="H118" s="341"/>
      <c r="I118" s="370" t="s">
        <v>244</v>
      </c>
      <c r="J118" s="1797">
        <f>J3</f>
        <v>0</v>
      </c>
      <c r="K118" s="1798"/>
    </row>
    <row r="119" spans="1:11" ht="18" customHeight="1" thickBot="1" x14ac:dyDescent="0.3">
      <c r="A119" s="1736" t="s">
        <v>596</v>
      </c>
      <c r="B119" s="1736"/>
      <c r="C119" s="1736"/>
      <c r="D119" s="1736"/>
      <c r="E119" s="1736"/>
      <c r="F119" s="371"/>
      <c r="G119" s="307"/>
      <c r="H119" s="372"/>
    </row>
    <row r="120" spans="1:11" ht="7.5" customHeight="1" thickBot="1" x14ac:dyDescent="0.3">
      <c r="A120" s="209"/>
      <c r="B120" s="209"/>
      <c r="C120" s="209"/>
      <c r="D120" s="209"/>
      <c r="E120" s="209"/>
      <c r="F120" s="307"/>
      <c r="G120" s="307"/>
      <c r="H120" s="307"/>
      <c r="I120" s="373"/>
      <c r="J120" s="304"/>
    </row>
    <row r="121" spans="1:11" ht="15" customHeight="1" thickBot="1" x14ac:dyDescent="0.3">
      <c r="A121" s="1799" t="s">
        <v>651</v>
      </c>
      <c r="B121" s="1799"/>
      <c r="C121" s="1799"/>
      <c r="D121" s="1799"/>
      <c r="E121" s="1799"/>
      <c r="F121" s="374"/>
      <c r="G121" s="500"/>
      <c r="H121" s="500"/>
      <c r="I121" s="500"/>
      <c r="J121" s="506"/>
    </row>
    <row r="122" spans="1:11" ht="6" customHeight="1" x14ac:dyDescent="0.25">
      <c r="A122" s="375"/>
      <c r="B122" s="375"/>
      <c r="C122" s="375"/>
      <c r="D122" s="375"/>
      <c r="E122" s="375"/>
      <c r="F122" s="375"/>
      <c r="G122" s="375"/>
      <c r="H122" s="307"/>
      <c r="I122" s="307"/>
    </row>
    <row r="123" spans="1:11" ht="16.5" customHeight="1" x14ac:dyDescent="0.25">
      <c r="A123" s="1727" t="s">
        <v>597</v>
      </c>
      <c r="B123" s="1727"/>
      <c r="C123" s="1727"/>
      <c r="D123" s="1727"/>
      <c r="E123" s="1727"/>
      <c r="F123" s="1727"/>
      <c r="G123" s="1727"/>
      <c r="H123" s="1727"/>
      <c r="I123" s="1727"/>
      <c r="J123" s="306"/>
    </row>
    <row r="124" spans="1:11" ht="20.100000000000001" customHeight="1" x14ac:dyDescent="0.25">
      <c r="A124" s="503"/>
      <c r="B124" s="503"/>
      <c r="C124" s="503"/>
      <c r="D124" s="503"/>
      <c r="E124" s="307"/>
      <c r="F124" s="1800" t="s">
        <v>397</v>
      </c>
      <c r="G124" s="1800"/>
      <c r="H124" s="307"/>
      <c r="I124" s="307"/>
      <c r="J124" s="307"/>
      <c r="K124" s="307"/>
    </row>
    <row r="125" spans="1:11" ht="16.5" customHeight="1" x14ac:dyDescent="0.25">
      <c r="A125" s="209"/>
      <c r="C125" s="529" t="e">
        <f>'CALIBRACIÓN DE LA ESCALA ¬'!C52</f>
        <v>#N/A</v>
      </c>
      <c r="D125" s="530" t="s">
        <v>120</v>
      </c>
      <c r="E125" s="1795" t="s">
        <v>598</v>
      </c>
      <c r="F125" s="529" t="e">
        <f>'CALIBRACIÓN DE LA ESCALA ¬'!F52</f>
        <v>#N/A</v>
      </c>
      <c r="G125" s="531" t="s">
        <v>120</v>
      </c>
      <c r="I125" s="307"/>
      <c r="J125" s="307"/>
      <c r="K125" s="307"/>
    </row>
    <row r="126" spans="1:11" ht="17.25" customHeight="1" x14ac:dyDescent="0.25">
      <c r="A126" s="503"/>
      <c r="C126" s="532" t="e">
        <f>'CALIBRACIÓN DE LA ESCALA ¬'!C53</f>
        <v>#N/A</v>
      </c>
      <c r="D126" s="530" t="s">
        <v>599</v>
      </c>
      <c r="E126" s="1795"/>
      <c r="F126" s="532" t="e">
        <f>'CALIBRACIÓN DE LA ESCALA ¬'!F53</f>
        <v>#N/A</v>
      </c>
      <c r="G126" s="531" t="s">
        <v>600</v>
      </c>
      <c r="I126" s="307"/>
      <c r="J126" s="307"/>
      <c r="K126" s="307"/>
    </row>
    <row r="127" spans="1:11" ht="15" customHeight="1" x14ac:dyDescent="0.25">
      <c r="A127" s="503"/>
      <c r="C127" s="533" t="e">
        <f>'CALIBRACIÓN DE LA ESCALA ¬'!C54</f>
        <v>#N/A</v>
      </c>
      <c r="D127" s="530" t="s">
        <v>404</v>
      </c>
      <c r="E127" s="1795"/>
      <c r="F127" s="533" t="e">
        <f>'CALIBRACIÓN DE LA ESCALA ¬'!F54</f>
        <v>#N/A</v>
      </c>
      <c r="G127" s="531" t="s">
        <v>404</v>
      </c>
      <c r="I127" s="307"/>
      <c r="J127" s="307"/>
      <c r="K127" s="307"/>
    </row>
    <row r="128" spans="1:11" ht="24.95" customHeight="1" x14ac:dyDescent="0.25">
      <c r="A128" s="503"/>
      <c r="B128" s="307"/>
      <c r="C128" s="307"/>
      <c r="D128" s="307"/>
      <c r="E128" s="376"/>
      <c r="F128" s="376"/>
      <c r="G128" s="376"/>
      <c r="H128" s="301"/>
      <c r="I128" s="377"/>
      <c r="J128" s="377"/>
      <c r="K128" s="377"/>
    </row>
    <row r="129" spans="1:12" ht="12" customHeight="1" x14ac:dyDescent="0.25">
      <c r="A129" s="1736" t="s">
        <v>601</v>
      </c>
      <c r="B129" s="1736"/>
      <c r="C129" s="1736"/>
      <c r="D129" s="1736"/>
      <c r="E129" s="1736"/>
      <c r="F129" s="1736"/>
      <c r="G129" s="307"/>
      <c r="H129" s="307"/>
      <c r="I129" s="307"/>
      <c r="J129" s="307"/>
      <c r="K129" s="307"/>
    </row>
    <row r="130" spans="1:12" ht="12" customHeight="1" x14ac:dyDescent="0.25">
      <c r="A130" s="504"/>
      <c r="B130" s="504"/>
      <c r="C130" s="504"/>
      <c r="D130" s="504"/>
      <c r="E130" s="504"/>
      <c r="F130" s="504"/>
      <c r="G130" s="307"/>
      <c r="H130" s="307"/>
      <c r="I130" s="307"/>
      <c r="J130" s="307"/>
      <c r="K130" s="307"/>
    </row>
    <row r="131" spans="1:12" ht="33" customHeight="1" x14ac:dyDescent="0.25">
      <c r="A131" s="91" t="s">
        <v>602</v>
      </c>
      <c r="B131" s="1725" t="s">
        <v>603</v>
      </c>
      <c r="C131" s="1725"/>
      <c r="D131" s="1725"/>
      <c r="E131" s="1725"/>
      <c r="F131" s="1725"/>
      <c r="G131" s="1725"/>
      <c r="H131" s="1725"/>
      <c r="I131" s="1725"/>
      <c r="J131" s="1725"/>
      <c r="K131" s="1725"/>
    </row>
    <row r="132" spans="1:12" ht="33" customHeight="1" x14ac:dyDescent="0.25">
      <c r="A132" s="91" t="s">
        <v>602</v>
      </c>
      <c r="B132" s="1725" t="s">
        <v>604</v>
      </c>
      <c r="C132" s="1725"/>
      <c r="D132" s="1725"/>
      <c r="E132" s="1725"/>
      <c r="F132" s="1725"/>
      <c r="G132" s="1725"/>
      <c r="H132" s="1725"/>
      <c r="I132" s="1725"/>
      <c r="J132" s="1725"/>
      <c r="K132" s="1725"/>
    </row>
    <row r="133" spans="1:12" ht="33" customHeight="1" x14ac:dyDescent="0.25">
      <c r="A133" s="91" t="s">
        <v>602</v>
      </c>
      <c r="B133" s="1725" t="s">
        <v>605</v>
      </c>
      <c r="C133" s="1725"/>
      <c r="D133" s="1725"/>
      <c r="E133" s="1725"/>
      <c r="F133" s="1725"/>
      <c r="G133" s="1725"/>
      <c r="H133" s="1725"/>
      <c r="I133" s="1725"/>
      <c r="J133" s="1725"/>
      <c r="K133" s="1725"/>
    </row>
    <row r="134" spans="1:12" s="378" customFormat="1" ht="23.1" customHeight="1" x14ac:dyDescent="0.25">
      <c r="A134" s="91" t="s">
        <v>602</v>
      </c>
      <c r="B134" s="1725" t="s">
        <v>606</v>
      </c>
      <c r="C134" s="1725"/>
      <c r="D134" s="1725"/>
      <c r="E134" s="1725"/>
      <c r="F134" s="1725"/>
      <c r="G134" s="1725"/>
      <c r="H134" s="1725"/>
      <c r="I134" s="1725"/>
      <c r="J134" s="1725"/>
      <c r="K134" s="1725"/>
    </row>
    <row r="135" spans="1:12" s="378" customFormat="1" ht="33" customHeight="1" x14ac:dyDescent="0.25">
      <c r="A135" s="91" t="s">
        <v>602</v>
      </c>
      <c r="B135" s="1725" t="s">
        <v>607</v>
      </c>
      <c r="C135" s="1725"/>
      <c r="D135" s="1725"/>
      <c r="E135" s="1725"/>
      <c r="F135" s="1725"/>
      <c r="G135" s="1725"/>
      <c r="H135" s="1725"/>
      <c r="I135" s="1201"/>
      <c r="J135" s="1202"/>
      <c r="K135" s="1201"/>
    </row>
    <row r="136" spans="1:12" s="378" customFormat="1" ht="23.1" customHeight="1" x14ac:dyDescent="0.25">
      <c r="A136" s="91" t="s">
        <v>602</v>
      </c>
      <c r="B136" s="1725" t="s">
        <v>608</v>
      </c>
      <c r="C136" s="1725"/>
      <c r="D136" s="1725"/>
      <c r="E136" s="1725"/>
      <c r="F136" s="1725"/>
      <c r="G136" s="1725"/>
      <c r="H136" s="1725"/>
      <c r="I136" s="1725"/>
      <c r="J136" s="1725"/>
      <c r="K136" s="1725"/>
    </row>
    <row r="137" spans="1:12" ht="23.1" customHeight="1" x14ac:dyDescent="0.25">
      <c r="A137" s="91" t="s">
        <v>602</v>
      </c>
      <c r="B137" s="1725" t="s">
        <v>609</v>
      </c>
      <c r="C137" s="1725"/>
      <c r="D137" s="1725"/>
      <c r="E137" s="1725"/>
      <c r="F137" s="1725"/>
      <c r="G137" s="1725"/>
      <c r="H137" s="1725"/>
      <c r="I137" s="1725"/>
      <c r="J137" s="1725"/>
      <c r="K137" s="1725"/>
    </row>
    <row r="138" spans="1:12" s="378" customFormat="1" ht="23.1" customHeight="1" x14ac:dyDescent="0.25">
      <c r="A138" s="91" t="s">
        <v>602</v>
      </c>
      <c r="B138" s="1725" t="s">
        <v>610</v>
      </c>
      <c r="C138" s="1725"/>
      <c r="D138" s="1725"/>
      <c r="E138" s="1725"/>
      <c r="F138" s="1725"/>
      <c r="G138" s="1725"/>
      <c r="H138" s="1725"/>
      <c r="I138" s="1725"/>
      <c r="J138" s="1725"/>
      <c r="K138" s="1725"/>
      <c r="L138" s="379"/>
    </row>
    <row r="139" spans="1:12" s="378" customFormat="1" ht="23.1" customHeight="1" x14ac:dyDescent="0.25">
      <c r="A139" s="91" t="s">
        <v>611</v>
      </c>
      <c r="B139" s="1725" t="s">
        <v>612</v>
      </c>
      <c r="C139" s="1725"/>
      <c r="D139" s="1725"/>
      <c r="E139" s="1725"/>
      <c r="F139" s="1725"/>
      <c r="G139" s="1725"/>
      <c r="H139" s="1725"/>
      <c r="I139" s="1725"/>
      <c r="J139" s="1725"/>
      <c r="K139" s="1725"/>
      <c r="L139" s="379"/>
    </row>
    <row r="140" spans="1:12" ht="23.1" customHeight="1" x14ac:dyDescent="0.25">
      <c r="A140" s="91" t="s">
        <v>611</v>
      </c>
      <c r="B140" s="1725" t="s">
        <v>667</v>
      </c>
      <c r="C140" s="1725"/>
      <c r="D140" s="1725"/>
      <c r="E140" s="1725"/>
      <c r="F140" s="1725"/>
      <c r="G140" s="1725"/>
      <c r="H140" s="1725"/>
      <c r="I140" s="1725"/>
      <c r="J140" s="1725"/>
      <c r="K140" s="1725"/>
      <c r="L140" s="380"/>
    </row>
    <row r="141" spans="1:12" ht="23.1" customHeight="1" x14ac:dyDescent="0.25">
      <c r="A141" s="1203" t="s">
        <v>602</v>
      </c>
      <c r="B141" s="1725" t="s">
        <v>613</v>
      </c>
      <c r="C141" s="1725"/>
      <c r="D141" s="1725"/>
      <c r="E141" s="1725"/>
      <c r="F141" s="1725"/>
      <c r="G141" s="1725"/>
      <c r="H141" s="1725"/>
      <c r="I141" s="1725"/>
      <c r="J141" s="1725"/>
      <c r="K141" s="1725"/>
      <c r="L141" s="381"/>
    </row>
    <row r="142" spans="1:12" ht="33" customHeight="1" x14ac:dyDescent="0.25">
      <c r="A142" s="91" t="s">
        <v>602</v>
      </c>
      <c r="B142" s="1725" t="s">
        <v>614</v>
      </c>
      <c r="C142" s="1725"/>
      <c r="D142" s="1725"/>
      <c r="E142" s="1725"/>
      <c r="F142" s="1725"/>
      <c r="G142" s="1725"/>
      <c r="H142" s="1725"/>
      <c r="I142" s="1725"/>
      <c r="J142" s="1725"/>
      <c r="K142" s="1725"/>
    </row>
    <row r="143" spans="1:12" ht="23.1" customHeight="1" x14ac:dyDescent="0.25">
      <c r="A143" s="91" t="s">
        <v>602</v>
      </c>
      <c r="B143" s="1725" t="s">
        <v>615</v>
      </c>
      <c r="C143" s="1725"/>
      <c r="D143" s="1725"/>
      <c r="E143" s="1725"/>
      <c r="F143" s="1725"/>
      <c r="G143" s="1725"/>
      <c r="H143" s="1725"/>
      <c r="I143" s="1725"/>
      <c r="J143" s="1725"/>
      <c r="K143" s="1725"/>
    </row>
    <row r="144" spans="1:12" ht="23.1" customHeight="1" x14ac:dyDescent="0.25">
      <c r="A144" s="91" t="s">
        <v>602</v>
      </c>
      <c r="B144" s="1725" t="s">
        <v>616</v>
      </c>
      <c r="C144" s="1725"/>
      <c r="D144" s="1725"/>
      <c r="E144" s="1725"/>
      <c r="F144" s="1725"/>
      <c r="G144" s="1725"/>
      <c r="H144" s="1725"/>
      <c r="I144" s="1725"/>
      <c r="J144" s="1725"/>
      <c r="K144" s="1725"/>
    </row>
    <row r="145" spans="1:11" ht="23.1" customHeight="1" x14ac:dyDescent="0.25">
      <c r="A145" s="91" t="s">
        <v>602</v>
      </c>
      <c r="B145" s="1725" t="s">
        <v>617</v>
      </c>
      <c r="C145" s="1725"/>
      <c r="D145" s="1725"/>
      <c r="E145" s="1725"/>
      <c r="F145" s="1725"/>
      <c r="G145" s="1725"/>
      <c r="H145" s="1725"/>
      <c r="I145" s="1725"/>
      <c r="J145" s="1725"/>
      <c r="K145" s="1725"/>
    </row>
    <row r="146" spans="1:11" ht="23.1" customHeight="1" x14ac:dyDescent="0.25">
      <c r="A146" s="91" t="s">
        <v>602</v>
      </c>
      <c r="B146" s="1725" t="s">
        <v>618</v>
      </c>
      <c r="C146" s="1725"/>
      <c r="D146" s="1725"/>
      <c r="E146" s="1725"/>
      <c r="F146" s="1725"/>
      <c r="G146" s="1725"/>
      <c r="H146" s="1725"/>
      <c r="I146" s="1725"/>
      <c r="J146" s="1725"/>
      <c r="K146" s="1725"/>
    </row>
    <row r="147" spans="1:11" ht="23.1" customHeight="1" x14ac:dyDescent="0.25">
      <c r="A147" s="91" t="s">
        <v>602</v>
      </c>
      <c r="B147" s="1725" t="s">
        <v>619</v>
      </c>
      <c r="C147" s="1725"/>
      <c r="D147" s="1725"/>
      <c r="E147" s="1725"/>
      <c r="F147" s="1725"/>
      <c r="G147" s="1725"/>
      <c r="H147" s="1725"/>
      <c r="I147" s="1725"/>
      <c r="J147" s="1725"/>
      <c r="K147" s="1725"/>
    </row>
    <row r="148" spans="1:11" ht="23.1" customHeight="1" x14ac:dyDescent="0.25">
      <c r="A148" s="500"/>
      <c r="B148" s="1735"/>
      <c r="C148" s="1735"/>
      <c r="D148" s="1735"/>
      <c r="E148" s="1735"/>
      <c r="F148" s="1735"/>
      <c r="G148" s="1735"/>
      <c r="H148" s="1735"/>
      <c r="I148" s="1735"/>
      <c r="J148" s="1735"/>
      <c r="K148" s="1735"/>
    </row>
    <row r="149" spans="1:11" ht="15" customHeight="1" x14ac:dyDescent="0.25">
      <c r="E149" s="307"/>
      <c r="F149" s="307"/>
      <c r="G149" s="307"/>
      <c r="H149" s="307"/>
      <c r="I149" s="307"/>
      <c r="J149" s="307"/>
      <c r="K149" s="307"/>
    </row>
    <row r="150" spans="1:11" ht="15" customHeight="1" x14ac:dyDescent="0.25">
      <c r="A150" s="1802" t="s">
        <v>620</v>
      </c>
      <c r="B150" s="1802"/>
      <c r="C150" s="1802"/>
      <c r="D150" s="1802"/>
      <c r="E150" s="307"/>
      <c r="F150" s="307"/>
      <c r="G150" s="307"/>
      <c r="H150" s="307"/>
      <c r="I150" s="307"/>
      <c r="J150" s="307"/>
      <c r="K150" s="307"/>
    </row>
    <row r="151" spans="1:11" ht="15" customHeight="1" x14ac:dyDescent="0.25">
      <c r="A151" s="512"/>
      <c r="B151" s="512"/>
      <c r="C151" s="512"/>
      <c r="D151" s="512"/>
      <c r="E151" s="307"/>
      <c r="F151" s="307"/>
      <c r="G151" s="307"/>
      <c r="H151" s="307"/>
      <c r="I151" s="307"/>
      <c r="J151" s="307"/>
      <c r="K151" s="307"/>
    </row>
    <row r="152" spans="1:11" ht="15" customHeight="1" x14ac:dyDescent="0.25">
      <c r="A152" s="307"/>
      <c r="B152" s="307"/>
      <c r="C152" s="307"/>
      <c r="D152" s="307"/>
      <c r="E152" s="307"/>
      <c r="F152" s="307"/>
      <c r="G152" s="307"/>
      <c r="H152" s="307"/>
      <c r="I152" s="307"/>
      <c r="J152" s="307"/>
      <c r="K152" s="307"/>
    </row>
    <row r="153" spans="1:11" ht="15" customHeight="1" x14ac:dyDescent="0.25">
      <c r="A153" s="307"/>
      <c r="B153" s="307"/>
      <c r="C153" s="307"/>
      <c r="D153" s="307"/>
      <c r="E153" s="307"/>
      <c r="F153" s="307"/>
      <c r="G153" s="307"/>
      <c r="H153" s="307"/>
      <c r="I153" s="307"/>
      <c r="J153" s="307"/>
      <c r="K153" s="307"/>
    </row>
    <row r="154" spans="1:11" ht="15" customHeight="1" x14ac:dyDescent="0.25">
      <c r="A154" s="382"/>
      <c r="B154" s="1803"/>
      <c r="C154" s="1803"/>
      <c r="D154" s="1803"/>
      <c r="E154" s="1803"/>
      <c r="F154" s="307"/>
      <c r="G154" s="1803"/>
      <c r="H154" s="1803"/>
      <c r="I154" s="1803"/>
      <c r="J154" s="1803"/>
      <c r="K154" s="382"/>
    </row>
    <row r="155" spans="1:11" ht="15" customHeight="1" x14ac:dyDescent="0.25">
      <c r="A155" s="307"/>
      <c r="B155" s="1804" t="s">
        <v>621</v>
      </c>
      <c r="C155" s="1804"/>
      <c r="D155" s="1804"/>
      <c r="E155" s="1804"/>
      <c r="F155" s="307"/>
      <c r="G155" s="1804" t="s">
        <v>622</v>
      </c>
      <c r="H155" s="1804"/>
      <c r="I155" s="1804"/>
      <c r="J155" s="1804"/>
      <c r="K155" s="307"/>
    </row>
    <row r="156" spans="1:11" ht="21" customHeight="1" x14ac:dyDescent="0.25">
      <c r="B156" s="1806" t="e">
        <f>VLOOKUP(A154,'DATOS ¬'!P9:S13,4,FALSE)</f>
        <v>#N/A</v>
      </c>
      <c r="C156" s="1806"/>
      <c r="D156" s="1806"/>
      <c r="E156" s="1806"/>
      <c r="F156" s="386"/>
      <c r="G156" s="1805" t="e">
        <f>VLOOKUP(K154,'DATOS ¬'!P9:U13,6,FALSE)</f>
        <v>#N/A</v>
      </c>
      <c r="H156" s="1805"/>
      <c r="I156" s="1805"/>
      <c r="J156" s="1805"/>
      <c r="K156" s="307"/>
    </row>
    <row r="157" spans="1:11" ht="15" customHeight="1" x14ac:dyDescent="0.25">
      <c r="A157" s="307"/>
      <c r="B157" s="1802" t="e">
        <f>VLOOKUP(A154,'DATOS ¬'!P9:S13,2,FALSE)</f>
        <v>#N/A</v>
      </c>
      <c r="C157" s="1802"/>
      <c r="D157" s="1802"/>
      <c r="E157" s="1802"/>
      <c r="F157" s="383"/>
      <c r="G157" s="1802" t="e">
        <f>VLOOKUP(K154,'DATOS ¬'!P9:U13,2,FALSE)</f>
        <v>#N/A</v>
      </c>
      <c r="H157" s="1802"/>
      <c r="I157" s="1802"/>
      <c r="J157" s="1802"/>
      <c r="K157" s="383"/>
    </row>
    <row r="158" spans="1:11" ht="15" customHeight="1" x14ac:dyDescent="0.25">
      <c r="D158" s="307"/>
      <c r="E158" s="307"/>
      <c r="F158" s="307"/>
      <c r="G158" s="307"/>
      <c r="H158" s="307"/>
      <c r="I158" s="307"/>
      <c r="J158" s="307"/>
      <c r="K158" s="307"/>
    </row>
    <row r="159" spans="1:11" ht="15" customHeight="1" x14ac:dyDescent="0.25">
      <c r="A159" s="307"/>
      <c r="B159" s="1801" t="s">
        <v>623</v>
      </c>
      <c r="C159" s="1801"/>
      <c r="D159" s="384"/>
      <c r="E159" s="307"/>
      <c r="F159" s="307"/>
      <c r="G159" s="1801" t="s">
        <v>624</v>
      </c>
      <c r="H159" s="1801"/>
      <c r="I159" s="384"/>
      <c r="J159" s="307"/>
      <c r="K159" s="210"/>
    </row>
    <row r="160" spans="1:11" ht="15" customHeight="1" x14ac:dyDescent="0.25">
      <c r="A160" s="307"/>
      <c r="J160" s="307"/>
      <c r="K160" s="307"/>
    </row>
    <row r="161" spans="1:11" ht="15.75" customHeight="1" x14ac:dyDescent="0.25">
      <c r="A161" s="1724" t="s">
        <v>625</v>
      </c>
      <c r="B161" s="1724"/>
      <c r="C161" s="1724"/>
      <c r="D161" s="1724"/>
      <c r="E161" s="1724"/>
      <c r="F161" s="1724"/>
      <c r="G161" s="1724"/>
      <c r="H161" s="1724"/>
      <c r="I161" s="1724"/>
      <c r="J161" s="1724"/>
      <c r="K161" s="1724"/>
    </row>
  </sheetData>
  <sheetProtection password="CF5C"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Vr.12(2023-05-16)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¬'!$Q$26:$Q$28</xm:f>
          </x14:formula1>
          <xm:sqref>B75</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view="pageBreakPreview" topLeftCell="A18" zoomScale="90" zoomScaleNormal="100" zoomScaleSheetLayoutView="90" workbookViewId="0">
      <selection activeCell="J3" sqref="J3:K3"/>
    </sheetView>
  </sheetViews>
  <sheetFormatPr baseColWidth="10" defaultColWidth="11.42578125" defaultRowHeight="15.75" x14ac:dyDescent="0.25"/>
  <cols>
    <col min="1" max="1" width="5.7109375" style="300" customWidth="1"/>
    <col min="2" max="2" width="13.5703125" style="300" customWidth="1"/>
    <col min="3" max="7" width="12.7109375" style="300" customWidth="1"/>
    <col min="8" max="8" width="13.14062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11.42578125"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244</v>
      </c>
      <c r="J3" s="1733">
        <f>'DATOS ¬'!N15</f>
        <v>0</v>
      </c>
      <c r="K3" s="1733"/>
    </row>
    <row r="4" spans="1:11" ht="32.1" customHeight="1" x14ac:dyDescent="0.25">
      <c r="A4" s="1736" t="s">
        <v>529</v>
      </c>
      <c r="B4" s="1736"/>
      <c r="C4" s="1736"/>
      <c r="D4" s="1736"/>
      <c r="E4" s="303"/>
      <c r="F4" s="304"/>
    </row>
    <row r="5" spans="1:11" ht="18" customHeight="1" x14ac:dyDescent="0.25">
      <c r="A5" s="305"/>
      <c r="B5" s="305"/>
      <c r="C5" s="305"/>
      <c r="D5" s="304"/>
      <c r="E5" s="304"/>
      <c r="F5" s="304"/>
    </row>
    <row r="6" spans="1:11" ht="32.1" customHeight="1" x14ac:dyDescent="0.25">
      <c r="A6" s="1727" t="s">
        <v>530</v>
      </c>
      <c r="B6" s="1727"/>
      <c r="C6" s="504"/>
      <c r="D6" s="1727">
        <f>'DATOS ¬'!K8</f>
        <v>0</v>
      </c>
      <c r="E6" s="1727"/>
      <c r="F6" s="1727"/>
      <c r="G6" s="1727"/>
      <c r="H6" s="1727"/>
      <c r="I6" s="1727"/>
      <c r="J6" s="1727"/>
      <c r="K6" s="1727"/>
    </row>
    <row r="7" spans="1:11" ht="32.1" customHeight="1" x14ac:dyDescent="0.25">
      <c r="A7" s="1726" t="s">
        <v>531</v>
      </c>
      <c r="B7" s="1726"/>
      <c r="C7" s="502"/>
      <c r="D7" s="1727">
        <f>'DATOS ¬'!L8</f>
        <v>0</v>
      </c>
      <c r="E7" s="1727"/>
      <c r="F7" s="1727"/>
      <c r="G7" s="1727"/>
      <c r="H7" s="1727"/>
      <c r="I7" s="1727"/>
      <c r="J7" s="1727"/>
      <c r="K7" s="1727"/>
    </row>
    <row r="8" spans="1:11" ht="32.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t="s">
        <v>534</v>
      </c>
      <c r="I10" s="1729"/>
      <c r="J10" s="1728">
        <f>'DATOS ¬'!I8</f>
        <v>0</v>
      </c>
      <c r="K10" s="1728"/>
    </row>
    <row r="11" spans="1:11" ht="26.1" customHeight="1" x14ac:dyDescent="0.25">
      <c r="A11" s="1740"/>
      <c r="B11" s="1740"/>
      <c r="C11" s="306"/>
      <c r="D11" s="1740"/>
      <c r="E11" s="1740"/>
      <c r="F11" s="1740"/>
    </row>
    <row r="12" spans="1:11" ht="32.1" customHeight="1" x14ac:dyDescent="0.25">
      <c r="A12" s="1736" t="s">
        <v>535</v>
      </c>
      <c r="B12" s="1736"/>
      <c r="C12" s="1736"/>
      <c r="D12" s="1736"/>
      <c r="E12" s="1736"/>
      <c r="F12" s="1736"/>
      <c r="G12" s="1736"/>
      <c r="H12" s="1736"/>
      <c r="I12" s="1736"/>
      <c r="J12" s="1736"/>
    </row>
    <row r="13" spans="1:11" ht="18" customHeight="1" x14ac:dyDescent="0.25">
      <c r="A13" s="504"/>
      <c r="B13" s="504"/>
      <c r="C13" s="504"/>
      <c r="D13" s="504"/>
      <c r="E13" s="504"/>
      <c r="F13" s="209"/>
      <c r="G13" s="307"/>
      <c r="H13" s="307"/>
      <c r="I13" s="307"/>
      <c r="J13" s="307"/>
    </row>
    <row r="14" spans="1:11" ht="32.1" customHeight="1" x14ac:dyDescent="0.25">
      <c r="A14" s="1727" t="s">
        <v>536</v>
      </c>
      <c r="B14" s="1727"/>
      <c r="C14" s="1727"/>
      <c r="D14" s="1727"/>
      <c r="E14" s="1731" t="s">
        <v>537</v>
      </c>
      <c r="F14" s="1731"/>
      <c r="G14" s="1731"/>
      <c r="H14" s="1731"/>
      <c r="I14" s="307"/>
      <c r="J14" s="307"/>
    </row>
    <row r="15" spans="1:11" ht="32.1" customHeight="1" x14ac:dyDescent="0.25">
      <c r="A15" s="1727" t="s">
        <v>538</v>
      </c>
      <c r="B15" s="1727"/>
      <c r="C15" s="1727"/>
      <c r="D15" s="1727"/>
      <c r="E15" s="1727">
        <f>'DATOS ¬'!C15</f>
        <v>0</v>
      </c>
      <c r="F15" s="1727"/>
      <c r="G15" s="1727"/>
      <c r="H15" s="1727"/>
      <c r="I15" s="503"/>
      <c r="J15" s="307"/>
    </row>
    <row r="16" spans="1:11" ht="32.1" customHeight="1" x14ac:dyDescent="0.25">
      <c r="A16" s="1727" t="s">
        <v>539</v>
      </c>
      <c r="B16" s="1727"/>
      <c r="C16" s="1727"/>
      <c r="D16" s="1727"/>
      <c r="E16" s="1727">
        <f>'DATOS ¬'!E15</f>
        <v>0</v>
      </c>
      <c r="F16" s="1727"/>
      <c r="G16" s="1727"/>
      <c r="H16" s="1727"/>
      <c r="I16" s="503"/>
      <c r="J16" s="307"/>
    </row>
    <row r="17" spans="1:25" ht="32.1" customHeight="1" x14ac:dyDescent="0.25">
      <c r="A17" s="1727" t="s">
        <v>540</v>
      </c>
      <c r="B17" s="1727"/>
      <c r="C17" s="1727"/>
      <c r="D17" s="1727"/>
      <c r="E17" s="1730">
        <f>'DATOS ¬'!D15</f>
        <v>0</v>
      </c>
      <c r="F17" s="1730"/>
      <c r="G17" s="1730"/>
      <c r="H17" s="1730"/>
      <c r="I17" s="503"/>
      <c r="J17" s="307"/>
    </row>
    <row r="18" spans="1:25" ht="32.1" customHeight="1" x14ac:dyDescent="0.25">
      <c r="A18" s="1727" t="s">
        <v>541</v>
      </c>
      <c r="B18" s="1727"/>
      <c r="C18" s="1727"/>
      <c r="D18" s="1727"/>
      <c r="E18" s="1731" t="s">
        <v>542</v>
      </c>
      <c r="F18" s="1731"/>
      <c r="G18" s="1731"/>
      <c r="H18" s="1731"/>
      <c r="I18" s="503"/>
      <c r="J18" s="307"/>
    </row>
    <row r="19" spans="1:25" ht="32.1" customHeight="1" x14ac:dyDescent="0.25">
      <c r="A19" s="1727" t="s">
        <v>543</v>
      </c>
      <c r="B19" s="1727"/>
      <c r="C19" s="1727"/>
      <c r="D19" s="1727"/>
      <c r="E19" s="1195">
        <f>'DATOS ¬'!G15</f>
        <v>0</v>
      </c>
      <c r="F19" s="1196"/>
      <c r="G19" s="1196"/>
      <c r="H19" s="1196"/>
      <c r="I19" s="503"/>
      <c r="J19" s="307"/>
      <c r="S19" s="1740"/>
      <c r="T19" s="1740"/>
      <c r="U19" s="1740"/>
      <c r="V19" s="1740"/>
      <c r="W19" s="1740"/>
    </row>
    <row r="20" spans="1:25" ht="32.1" customHeight="1" x14ac:dyDescent="0.25">
      <c r="A20" s="1727" t="s">
        <v>544</v>
      </c>
      <c r="B20" s="1727"/>
      <c r="C20" s="1727"/>
      <c r="D20" s="1727"/>
      <c r="E20" s="1197">
        <f>'DATOS ¬'!H14</f>
        <v>0</v>
      </c>
      <c r="F20" s="1198" t="e">
        <f>'DATOS ¬'!H15</f>
        <v>#N/A</v>
      </c>
      <c r="G20" s="229"/>
      <c r="H20" s="229"/>
      <c r="I20" s="503"/>
      <c r="J20" s="307"/>
    </row>
    <row r="21" spans="1:25" ht="32.1" customHeight="1" x14ac:dyDescent="0.25">
      <c r="A21" s="1727" t="s">
        <v>545</v>
      </c>
      <c r="B21" s="1727"/>
      <c r="C21" s="1727"/>
      <c r="D21" s="1727"/>
      <c r="E21" s="1731" t="s">
        <v>546</v>
      </c>
      <c r="F21" s="1731"/>
      <c r="G21" s="1731"/>
      <c r="H21" s="1731"/>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32.1" customHeight="1" x14ac:dyDescent="0.25">
      <c r="A23" s="1736" t="s">
        <v>547</v>
      </c>
      <c r="B23" s="1736"/>
      <c r="C23" s="1736"/>
      <c r="D23" s="1736"/>
      <c r="E23" s="1736"/>
      <c r="F23" s="1736"/>
      <c r="G23" s="1736"/>
      <c r="H23" s="1736"/>
      <c r="I23" s="1736"/>
      <c r="J23" s="1736"/>
      <c r="K23" s="1736"/>
    </row>
    <row r="24" spans="1:25" ht="18" customHeight="1" x14ac:dyDescent="0.25">
      <c r="A24" s="307"/>
      <c r="B24" s="307"/>
      <c r="C24" s="307"/>
      <c r="D24" s="307"/>
      <c r="E24" s="307"/>
      <c r="F24" s="307"/>
      <c r="G24" s="307"/>
      <c r="H24" s="307"/>
      <c r="I24" s="307"/>
      <c r="J24" s="307"/>
      <c r="K24" s="307"/>
    </row>
    <row r="25" spans="1:25" ht="28.5"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32.1" customHeight="1" x14ac:dyDescent="0.25">
      <c r="A29" s="1738" t="s">
        <v>549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732" t="s">
        <v>665</v>
      </c>
      <c r="B31" s="1732"/>
      <c r="C31" s="1732"/>
      <c r="D31" s="1732"/>
      <c r="E31" s="1732"/>
      <c r="F31" s="1732"/>
      <c r="G31" s="1732"/>
      <c r="H31" s="1732"/>
      <c r="I31" s="1732"/>
      <c r="J31" s="1732"/>
      <c r="K31" s="1732"/>
    </row>
    <row r="32" spans="1:25" ht="20.100000000000001" customHeight="1" x14ac:dyDescent="0.25">
      <c r="A32" s="1732"/>
      <c r="B32" s="1732"/>
      <c r="C32" s="1732"/>
      <c r="D32" s="1732"/>
      <c r="E32" s="1732"/>
      <c r="F32" s="1732"/>
      <c r="G32" s="1732"/>
      <c r="H32" s="1732"/>
      <c r="I32" s="1732"/>
      <c r="J32" s="1732"/>
      <c r="K32" s="1732"/>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244</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t="s">
        <v>550</v>
      </c>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t="s">
        <v>551</v>
      </c>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t="s">
        <v>552</v>
      </c>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t="s">
        <v>553</v>
      </c>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t="s">
        <v>554</v>
      </c>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t="s">
        <v>555</v>
      </c>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B54" s="317" t="s">
        <v>328</v>
      </c>
      <c r="C54" s="1735" t="s">
        <v>556</v>
      </c>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t="s">
        <v>557</v>
      </c>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t="s">
        <v>558</v>
      </c>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t="s">
        <v>559</v>
      </c>
      <c r="D60" s="1727"/>
      <c r="E60" s="1727"/>
      <c r="F60" s="1727"/>
      <c r="G60" s="499">
        <f>'DATOS ¬'!F15</f>
        <v>0</v>
      </c>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t="s">
        <v>560</v>
      </c>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t="s">
        <v>561</v>
      </c>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t="s">
        <v>562</v>
      </c>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t="s">
        <v>563</v>
      </c>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40.5" customHeight="1" x14ac:dyDescent="0.25">
      <c r="A71" s="1746" t="s">
        <v>564</v>
      </c>
      <c r="B71" s="1746"/>
      <c r="C71" s="1746"/>
      <c r="D71" s="1746"/>
      <c r="E71" s="1746"/>
      <c r="F71" s="1746"/>
      <c r="G71" s="1746"/>
      <c r="H71" s="1746"/>
      <c r="I71" s="1746"/>
      <c r="J71" s="1746"/>
      <c r="K71" s="1746"/>
    </row>
    <row r="72" spans="1:12" ht="15" customHeight="1" thickBot="1" x14ac:dyDescent="0.3">
      <c r="A72" s="508"/>
      <c r="B72" s="508"/>
      <c r="C72" s="508"/>
      <c r="D72" s="508"/>
      <c r="E72" s="508"/>
      <c r="F72" s="508"/>
      <c r="G72" s="508"/>
      <c r="H72" s="508"/>
      <c r="I72" s="508"/>
      <c r="J72" s="508"/>
      <c r="K72" s="508"/>
    </row>
    <row r="73" spans="1:12" ht="30" customHeight="1" thickBot="1" x14ac:dyDescent="0.3">
      <c r="A73" s="503"/>
      <c r="B73" s="503"/>
      <c r="C73" s="1489" t="s">
        <v>565</v>
      </c>
      <c r="D73" s="1491"/>
      <c r="E73" s="1489" t="s">
        <v>566</v>
      </c>
      <c r="F73" s="1491"/>
      <c r="G73" s="1489" t="s">
        <v>567</v>
      </c>
      <c r="H73" s="1491"/>
      <c r="I73" s="503"/>
      <c r="J73" s="311"/>
      <c r="K73" s="307"/>
    </row>
    <row r="74" spans="1:12" ht="30" customHeight="1" thickBot="1" x14ac:dyDescent="0.3">
      <c r="A74" s="503"/>
      <c r="C74" s="329" t="s">
        <v>568</v>
      </c>
      <c r="D74" s="330" t="s">
        <v>569</v>
      </c>
      <c r="E74" s="329" t="s">
        <v>568</v>
      </c>
      <c r="F74" s="330" t="s">
        <v>570</v>
      </c>
      <c r="G74" s="329" t="s">
        <v>568</v>
      </c>
      <c r="H74" s="330" t="s">
        <v>570</v>
      </c>
      <c r="I74" s="1724"/>
      <c r="J74" s="1724"/>
      <c r="K74" s="307"/>
    </row>
    <row r="75" spans="1:12" ht="36" customHeight="1" thickBot="1" x14ac:dyDescent="0.3">
      <c r="A75" s="513"/>
      <c r="B75" s="331"/>
      <c r="C75" s="332" t="e">
        <f>VLOOKUP($B$75,'DATOS ¬'!Q26:W28,2,FALSE)</f>
        <v>#N/A</v>
      </c>
      <c r="D75" s="333" t="e">
        <f>VLOOKUP($B$75,'DATOS ¬'!Q26:W28,3,FALSE)</f>
        <v>#N/A</v>
      </c>
      <c r="E75" s="333" t="e">
        <f>VLOOKUP($B$75,'DATOS ¬'!Q26:W28,4,FALSE)</f>
        <v>#N/A</v>
      </c>
      <c r="F75" s="333" t="e">
        <f>VLOOKUP($B$75,'DATOS ¬'!Q26:W28,5,FALSE)</f>
        <v>#N/A</v>
      </c>
      <c r="G75" s="334" t="e">
        <f>VLOOKUP($B$75,'DATOS ¬'!Q26:W28,6,FALSE)</f>
        <v>#N/A</v>
      </c>
      <c r="H75" s="335" t="e">
        <f>VLOOKUP($B$75,'DATOS ¬'!Q26:W28,7,FALSE)</f>
        <v>#N/A</v>
      </c>
      <c r="I75" s="1744"/>
      <c r="J75" s="1744"/>
      <c r="K75" s="307"/>
    </row>
    <row r="76" spans="1:12" ht="32.1" customHeight="1" x14ac:dyDescent="0.25">
      <c r="A76" s="506"/>
    </row>
    <row r="77" spans="1:12" ht="125.1" customHeight="1" x14ac:dyDescent="0.25">
      <c r="A77" s="506"/>
    </row>
    <row r="78" spans="1:12" ht="35.1" customHeight="1" x14ac:dyDescent="0.25">
      <c r="A78" s="506"/>
    </row>
    <row r="79" spans="1:12" ht="65.099999999999994" customHeight="1" x14ac:dyDescent="0.25">
      <c r="A79" s="506"/>
      <c r="I79" s="302" t="s">
        <v>244</v>
      </c>
      <c r="J79" s="1733">
        <f>J3</f>
        <v>0</v>
      </c>
      <c r="K79" s="1733"/>
    </row>
    <row r="80" spans="1:12" ht="24.95" customHeight="1" x14ac:dyDescent="0.25">
      <c r="A80" s="1738" t="s">
        <v>571</v>
      </c>
      <c r="B80" s="1738"/>
      <c r="C80" s="1738"/>
      <c r="D80" s="1738"/>
      <c r="E80" s="1738"/>
      <c r="F80" s="503"/>
      <c r="G80" s="503"/>
      <c r="H80" s="503"/>
      <c r="I80" s="503"/>
      <c r="J80" s="336"/>
      <c r="K80" s="307"/>
    </row>
    <row r="81" spans="1:12" ht="9.9499999999999993" customHeight="1" x14ac:dyDescent="0.25">
      <c r="A81" s="310"/>
      <c r="B81" s="503"/>
      <c r="C81" s="503"/>
      <c r="D81" s="503"/>
      <c r="E81" s="503"/>
      <c r="F81" s="503"/>
      <c r="G81" s="503"/>
      <c r="H81" s="503"/>
      <c r="I81" s="503"/>
      <c r="J81" s="311"/>
      <c r="K81" s="307"/>
    </row>
    <row r="82" spans="1:12" ht="17.100000000000001" customHeight="1" x14ac:dyDescent="0.25">
      <c r="A82" s="1745" t="s">
        <v>572</v>
      </c>
      <c r="B82" s="1745"/>
      <c r="C82" s="1745"/>
      <c r="D82" s="1745"/>
      <c r="E82" s="1745"/>
      <c r="F82" s="1745"/>
      <c r="G82" s="1745"/>
      <c r="H82" s="1745"/>
      <c r="I82" s="1745"/>
      <c r="J82" s="1745"/>
      <c r="K82" s="1745"/>
    </row>
    <row r="83" spans="1:12" ht="17.100000000000001" customHeight="1" x14ac:dyDescent="0.25">
      <c r="A83" s="1745"/>
      <c r="B83" s="1745"/>
      <c r="C83" s="1745"/>
      <c r="D83" s="1745"/>
      <c r="E83" s="1745"/>
      <c r="F83" s="1745"/>
      <c r="G83" s="1745"/>
      <c r="H83" s="1745"/>
      <c r="I83" s="1745"/>
      <c r="J83" s="1745"/>
      <c r="K83" s="1745"/>
    </row>
    <row r="84" spans="1:12" ht="15.95" customHeight="1" x14ac:dyDescent="0.25">
      <c r="A84" s="337"/>
      <c r="B84" s="337"/>
      <c r="C84" s="337"/>
      <c r="D84" s="337"/>
      <c r="E84" s="337"/>
      <c r="F84" s="337"/>
      <c r="G84" s="337"/>
      <c r="H84" s="337"/>
      <c r="I84" s="337"/>
      <c r="J84" s="337"/>
      <c r="K84" s="307"/>
    </row>
    <row r="85" spans="1:12" s="338" customFormat="1" ht="24.95" customHeight="1" x14ac:dyDescent="0.3">
      <c r="A85" s="1738" t="s">
        <v>573</v>
      </c>
      <c r="B85" s="1738"/>
      <c r="C85" s="1738"/>
      <c r="D85" s="1738"/>
      <c r="E85" s="1738"/>
      <c r="F85" s="503"/>
      <c r="G85" s="503"/>
      <c r="H85" s="307"/>
      <c r="I85" s="307"/>
      <c r="J85" s="311"/>
      <c r="K85" s="307"/>
    </row>
    <row r="86" spans="1:12" ht="9.9499999999999993" customHeight="1" x14ac:dyDescent="0.25">
      <c r="A86" s="507"/>
      <c r="B86" s="507"/>
      <c r="C86" s="507"/>
      <c r="D86" s="507"/>
      <c r="E86" s="507"/>
      <c r="F86" s="503"/>
      <c r="G86" s="503"/>
      <c r="H86" s="307"/>
      <c r="I86" s="307"/>
      <c r="J86" s="311"/>
      <c r="K86" s="307"/>
    </row>
    <row r="87" spans="1:12" ht="42.75" customHeight="1" x14ac:dyDescent="0.25">
      <c r="A87" s="1745" t="s">
        <v>574</v>
      </c>
      <c r="B87" s="1745"/>
      <c r="C87" s="1745"/>
      <c r="D87" s="1745"/>
      <c r="E87" s="1745"/>
      <c r="F87" s="1745"/>
      <c r="G87" s="1745"/>
      <c r="H87" s="1745"/>
      <c r="I87" s="1745"/>
      <c r="J87" s="1745"/>
      <c r="K87" s="1745"/>
    </row>
    <row r="88" spans="1:12" ht="15.95" customHeight="1" thickBot="1" x14ac:dyDescent="0.3">
      <c r="A88" s="339"/>
      <c r="B88" s="339"/>
      <c r="C88" s="339"/>
      <c r="D88" s="339"/>
      <c r="E88" s="339"/>
      <c r="F88" s="339"/>
      <c r="G88" s="339"/>
      <c r="H88" s="339"/>
      <c r="I88" s="339"/>
      <c r="J88" s="339"/>
    </row>
    <row r="89" spans="1:12" ht="33" customHeight="1" thickBot="1" x14ac:dyDescent="0.3">
      <c r="A89" s="1747" t="s">
        <v>575</v>
      </c>
      <c r="B89" s="1748"/>
      <c r="C89" s="1749"/>
      <c r="D89" s="509" t="s">
        <v>23</v>
      </c>
      <c r="E89" s="1747" t="s">
        <v>576</v>
      </c>
      <c r="F89" s="1749"/>
      <c r="G89" s="1747" t="s">
        <v>577</v>
      </c>
      <c r="H89" s="1748"/>
      <c r="I89" s="1747" t="s">
        <v>578</v>
      </c>
      <c r="J89" s="1749"/>
      <c r="K89" s="340"/>
    </row>
    <row r="90" spans="1:12" ht="33" customHeight="1" x14ac:dyDescent="0.25">
      <c r="A90" s="1750" t="s">
        <v>579</v>
      </c>
      <c r="B90" s="1751"/>
      <c r="C90" s="1751"/>
      <c r="D90" s="1084" t="e">
        <f>VLOOKUP('RT03-F11 ¬'!S7,'DATOS ¬'!C30:O32,2,FALSE)</f>
        <v>#N/A</v>
      </c>
      <c r="E90" s="1752" t="s">
        <v>580</v>
      </c>
      <c r="F90" s="1753"/>
      <c r="G90" s="1754" t="e">
        <f>VLOOKUP('RT03-F11 ¬'!S7,'DATOS ¬'!C30:O32,3,FALSE)</f>
        <v>#N/A</v>
      </c>
      <c r="H90" s="1755"/>
      <c r="I90" s="1754" t="e">
        <f>VLOOKUP('RT03-F11 ¬'!S7,'DATOS ¬'!C30:O32,10,FALSE)</f>
        <v>#N/A</v>
      </c>
      <c r="J90" s="1756"/>
      <c r="K90" s="340"/>
    </row>
    <row r="91" spans="1:12" ht="33" customHeight="1" x14ac:dyDescent="0.25">
      <c r="A91" s="1766" t="s">
        <v>581</v>
      </c>
      <c r="B91" s="1767"/>
      <c r="C91" s="1767"/>
      <c r="D91" s="1085" t="e">
        <f>VLOOKUP('RT03-F11 ¬'!S8,'DATOS ¬'!C37:R60,2,FALSE)</f>
        <v>#N/A</v>
      </c>
      <c r="E91" s="1768" t="s">
        <v>582</v>
      </c>
      <c r="F91" s="1769"/>
      <c r="G91" s="1770" t="e">
        <f>VLOOKUP('RT03-F11 ¬'!S8,'DATOS ¬'!C37:R60,3,FALSE)</f>
        <v>#N/A</v>
      </c>
      <c r="H91" s="1771"/>
      <c r="I91" s="1770" t="e">
        <f>VLOOKUP('RT03-F11 ¬'!S8,'DATOS ¬'!C37:R60,10,FALSE)</f>
        <v>#N/A</v>
      </c>
      <c r="J91" s="1772"/>
      <c r="K91" s="340"/>
    </row>
    <row r="92" spans="1:12" ht="33" customHeight="1" x14ac:dyDescent="0.25">
      <c r="A92" s="1766" t="s">
        <v>583</v>
      </c>
      <c r="B92" s="1767"/>
      <c r="C92" s="1767"/>
      <c r="D92" s="1085" t="e">
        <f>VLOOKUP('RT03-F11 ¬'!S13,'DATOS ¬'!C37:R60,2,FALSE)</f>
        <v>#N/A</v>
      </c>
      <c r="E92" s="1768" t="s">
        <v>582</v>
      </c>
      <c r="F92" s="1769"/>
      <c r="G92" s="1770" t="e">
        <f>VLOOKUP('RT03-F11 ¬'!S13,'DATOS ¬'!C37:R60,3,FALSE)</f>
        <v>#N/A</v>
      </c>
      <c r="H92" s="1771"/>
      <c r="I92" s="1770" t="e">
        <f>VLOOKUP('RT03-F11 ¬'!S13,'DATOS ¬'!C37:R60,10,FALSE)</f>
        <v>#N/A</v>
      </c>
      <c r="J92" s="1772"/>
      <c r="K92" s="340"/>
    </row>
    <row r="93" spans="1:12" ht="33" customHeight="1" thickBot="1" x14ac:dyDescent="0.3">
      <c r="A93" s="1757" t="s">
        <v>379</v>
      </c>
      <c r="B93" s="1758"/>
      <c r="C93" s="1758"/>
      <c r="D93" s="1086" t="e">
        <f>VLOOKUP(K93,'DATOS ¬'!$C$137:$L$152,2,FALSE)</f>
        <v>#N/A</v>
      </c>
      <c r="E93" s="1759" t="e">
        <f>VLOOKUP(K93,'DATOS ¬'!$C$137:$M$152,11,FALSE)</f>
        <v>#N/A</v>
      </c>
      <c r="F93" s="1760"/>
      <c r="G93" s="1761" t="e">
        <f>VLOOKUP(K93,'DATOS ¬'!$C$137:$L$152,3,FALSE)</f>
        <v>#N/A</v>
      </c>
      <c r="H93" s="1762"/>
      <c r="I93" s="1763" t="e">
        <f>VLOOKUP(K93,'DATOS ¬'!$C$137:$L$152,10,FALSE)</f>
        <v>#N/A</v>
      </c>
      <c r="J93" s="1764"/>
      <c r="K93" s="535"/>
    </row>
    <row r="94" spans="1:12" ht="24.95" customHeight="1" x14ac:dyDescent="0.25">
      <c r="B94" s="506"/>
      <c r="C94" s="506"/>
      <c r="D94" s="304"/>
      <c r="E94" s="304"/>
      <c r="F94" s="306"/>
      <c r="G94" s="304"/>
      <c r="H94" s="304"/>
      <c r="I94" s="304"/>
      <c r="J94" s="304"/>
      <c r="K94" s="341"/>
      <c r="L94" s="341"/>
    </row>
    <row r="95" spans="1:12" s="338" customFormat="1" ht="24.95" customHeight="1" x14ac:dyDescent="0.3">
      <c r="A95" s="1738" t="s">
        <v>584</v>
      </c>
      <c r="B95" s="1738"/>
      <c r="C95" s="1738"/>
      <c r="D95" s="1738"/>
      <c r="E95" s="1738"/>
      <c r="F95" s="1738"/>
      <c r="G95" s="1738"/>
      <c r="H95" s="1738"/>
      <c r="I95" s="1738"/>
      <c r="J95" s="1738"/>
      <c r="K95" s="1738"/>
      <c r="L95" s="342"/>
    </row>
    <row r="96" spans="1:12" s="338" customFormat="1" ht="12" customHeight="1" x14ac:dyDescent="0.3">
      <c r="A96" s="343"/>
      <c r="B96" s="343"/>
      <c r="C96" s="343"/>
      <c r="D96" s="343"/>
      <c r="E96" s="343"/>
      <c r="F96" s="320"/>
      <c r="G96" s="320"/>
      <c r="H96" s="320"/>
      <c r="I96" s="320"/>
      <c r="J96" s="344"/>
      <c r="K96" s="342"/>
      <c r="L96" s="342"/>
    </row>
    <row r="97" spans="1:18" ht="15" hidden="1" customHeight="1" thickBot="1" x14ac:dyDescent="0.35">
      <c r="A97" s="1765" t="s">
        <v>491</v>
      </c>
      <c r="B97" s="1765"/>
      <c r="C97" s="1765"/>
      <c r="D97" s="1765"/>
      <c r="E97" s="1765"/>
      <c r="F97" s="1765"/>
      <c r="G97" s="1765"/>
      <c r="H97" s="1765"/>
      <c r="I97" s="1765"/>
      <c r="J97" s="344"/>
      <c r="K97" s="341"/>
      <c r="L97" s="341"/>
      <c r="M97" s="338"/>
      <c r="N97" s="338"/>
      <c r="O97" s="338"/>
      <c r="P97" s="338"/>
      <c r="Q97" s="338"/>
      <c r="R97" s="338"/>
    </row>
    <row r="98" spans="1:18" ht="30" hidden="1" customHeight="1" thickBot="1" x14ac:dyDescent="0.35">
      <c r="A98" s="1747" t="s">
        <v>585</v>
      </c>
      <c r="B98" s="1749"/>
      <c r="C98" s="1747" t="s">
        <v>586</v>
      </c>
      <c r="D98" s="1748"/>
      <c r="E98" s="1749"/>
      <c r="F98" s="1773" t="s">
        <v>587</v>
      </c>
      <c r="G98" s="1788"/>
      <c r="H98" s="345" t="s">
        <v>588</v>
      </c>
      <c r="I98" s="1087"/>
      <c r="J98" s="346" t="s">
        <v>589</v>
      </c>
      <c r="K98" s="347" t="s">
        <v>590</v>
      </c>
      <c r="M98" s="338"/>
      <c r="N98" s="338"/>
      <c r="O98" s="338"/>
      <c r="P98" s="338"/>
      <c r="Q98" s="338"/>
      <c r="R98" s="338"/>
    </row>
    <row r="99" spans="1:18" s="341" customFormat="1" ht="24" hidden="1" customHeight="1" thickBot="1" x14ac:dyDescent="0.35">
      <c r="A99" s="1775">
        <f>G60</f>
        <v>0</v>
      </c>
      <c r="B99" s="1776"/>
      <c r="C99" s="1781">
        <f>'RT03-F11 ¬'!M30</f>
        <v>18927.055</v>
      </c>
      <c r="D99" s="1781"/>
      <c r="E99" s="348" t="s">
        <v>120</v>
      </c>
      <c r="F99" s="349" t="e">
        <f>('RT03-F11 ¬'!C122)</f>
        <v>#N/A</v>
      </c>
      <c r="G99" s="348" t="s">
        <v>120</v>
      </c>
      <c r="H99" s="350" t="e">
        <f>IF('RT03-F11 ¬'!F122&lt;=('CMC ¬'!P12),'CMC ¬'!P12,'RT03-F11 ¬'!F122)</f>
        <v>#N/A</v>
      </c>
      <c r="I99" s="348" t="s">
        <v>120</v>
      </c>
      <c r="J99" s="351" t="e">
        <f>'RT03-F11 ¬'!I122</f>
        <v>#N/A</v>
      </c>
      <c r="K99" s="1789" t="e">
        <f>IF(AND('Pc ¬'!H5&gt;=97.5%,'Pc ¬'!I5&lt;=2.5%),"SI","NO")</f>
        <v>#N/A</v>
      </c>
      <c r="M99" s="338"/>
      <c r="N99" s="338"/>
      <c r="O99" s="338"/>
      <c r="P99" s="338"/>
      <c r="Q99" s="338"/>
      <c r="R99" s="338"/>
    </row>
    <row r="100" spans="1:18" s="341" customFormat="1" ht="24" hidden="1" customHeight="1" thickBot="1" x14ac:dyDescent="0.35">
      <c r="A100" s="1777"/>
      <c r="B100" s="1778"/>
      <c r="C100" s="1785">
        <f>'RT03-F11 ¬'!M28</f>
        <v>1155.0000427166315</v>
      </c>
      <c r="D100" s="1785"/>
      <c r="E100" s="352" t="s">
        <v>591</v>
      </c>
      <c r="F100" s="353" t="e">
        <f>'RT03-F11 ¬'!C123</f>
        <v>#N/A</v>
      </c>
      <c r="G100" s="354" t="s">
        <v>591</v>
      </c>
      <c r="H100" s="355" t="e">
        <f>IF('RT03-F11 ¬'!F123&lt;=('CMC ¬'!Q12),'CMC ¬'!Q12,'RT03-F11 ¬'!F123)</f>
        <v>#N/A</v>
      </c>
      <c r="I100" s="354" t="s">
        <v>591</v>
      </c>
      <c r="J100" s="356" t="e">
        <f>'RT03-F11 ¬'!I123</f>
        <v>#N/A</v>
      </c>
      <c r="K100" s="1790"/>
      <c r="M100" s="338"/>
      <c r="N100" s="338"/>
      <c r="O100" s="338"/>
      <c r="P100" s="338"/>
      <c r="Q100" s="338"/>
      <c r="R100" s="338"/>
    </row>
    <row r="101" spans="1:18" s="341" customFormat="1" ht="24" hidden="1" customHeight="1" thickBot="1" x14ac:dyDescent="0.35">
      <c r="A101" s="1777"/>
      <c r="B101" s="1778"/>
      <c r="C101" s="1792">
        <f>'RT03-F11 ¬'!M27</f>
        <v>5</v>
      </c>
      <c r="D101" s="1793"/>
      <c r="E101" s="352" t="s">
        <v>283</v>
      </c>
      <c r="F101" s="511" t="e">
        <f>'RT03-F11 ¬'!C124</f>
        <v>#N/A</v>
      </c>
      <c r="G101" s="354" t="s">
        <v>283</v>
      </c>
      <c r="H101" s="357" t="e">
        <f>IF('RT03-F11 ¬'!F124&lt;=('CMC ¬'!R12),'CMC ¬'!R12,'RT03-F11 ¬'!F124)</f>
        <v>#N/A</v>
      </c>
      <c r="I101" s="354" t="s">
        <v>283</v>
      </c>
      <c r="J101" s="511" t="e">
        <f>'RT03-F11 ¬'!I124</f>
        <v>#N/A</v>
      </c>
      <c r="K101" s="1790"/>
      <c r="M101" s="338"/>
      <c r="N101" s="338"/>
      <c r="O101" s="338"/>
      <c r="P101" s="338"/>
      <c r="Q101" s="338"/>
      <c r="R101" s="338"/>
    </row>
    <row r="102" spans="1:18" ht="24" hidden="1" customHeight="1" thickBot="1" x14ac:dyDescent="0.35">
      <c r="A102" s="1779"/>
      <c r="B102" s="1780"/>
      <c r="C102" s="1786">
        <v>100</v>
      </c>
      <c r="D102" s="1787"/>
      <c r="E102" s="352" t="s">
        <v>404</v>
      </c>
      <c r="F102" s="510" t="e">
        <f>'RT03-F11 ¬'!C125</f>
        <v>#N/A</v>
      </c>
      <c r="G102" s="352" t="s">
        <v>404</v>
      </c>
      <c r="H102" s="358" t="e">
        <f>IF('RT03-F11 ¬'!F125&lt;=('CMC ¬'!S12),'CMC ¬'!S12,'RT03-F11 ¬'!F125)</f>
        <v>#N/A</v>
      </c>
      <c r="I102" s="354" t="s">
        <v>404</v>
      </c>
      <c r="J102" s="510" t="e">
        <f>'RT03-F11 ¬'!I125</f>
        <v>#N/A</v>
      </c>
      <c r="K102" s="1791"/>
      <c r="M102" s="338"/>
      <c r="N102" s="338"/>
      <c r="O102" s="338"/>
      <c r="P102" s="338"/>
      <c r="Q102" s="338"/>
      <c r="R102" s="338"/>
    </row>
    <row r="103" spans="1:18" ht="20.100000000000001" hidden="1" customHeight="1" x14ac:dyDescent="0.3">
      <c r="A103" s="359"/>
      <c r="B103" s="360"/>
      <c r="C103" s="361"/>
      <c r="D103" s="361"/>
      <c r="E103" s="362"/>
      <c r="F103" s="363"/>
      <c r="G103" s="362"/>
      <c r="H103" s="364"/>
      <c r="I103" s="364"/>
      <c r="J103" s="364"/>
      <c r="K103" s="364"/>
      <c r="L103" s="364"/>
      <c r="M103" s="338"/>
      <c r="N103" s="338"/>
      <c r="O103" s="338"/>
      <c r="P103" s="338"/>
      <c r="Q103" s="338"/>
      <c r="R103" s="338"/>
    </row>
    <row r="104" spans="1:18" ht="15" hidden="1" customHeight="1" thickBot="1" x14ac:dyDescent="0.35">
      <c r="A104" s="365" t="s">
        <v>517</v>
      </c>
      <c r="B104" s="365"/>
      <c r="C104" s="365"/>
      <c r="D104" s="365"/>
      <c r="E104" s="365"/>
      <c r="F104" s="365"/>
      <c r="G104" s="1073"/>
      <c r="H104" s="1073"/>
      <c r="I104" s="1073"/>
      <c r="J104" s="1072"/>
      <c r="K104" s="1073"/>
      <c r="L104" s="365"/>
      <c r="M104" s="338"/>
      <c r="N104" s="338"/>
      <c r="O104" s="338"/>
      <c r="P104" s="338"/>
      <c r="Q104" s="338"/>
      <c r="R104" s="338"/>
    </row>
    <row r="105" spans="1:18" s="340" customFormat="1" ht="30" hidden="1" customHeight="1" thickBot="1" x14ac:dyDescent="0.25">
      <c r="A105" s="345" t="s">
        <v>585</v>
      </c>
      <c r="B105" s="366"/>
      <c r="C105" s="345" t="s">
        <v>586</v>
      </c>
      <c r="D105" s="366"/>
      <c r="E105" s="345"/>
      <c r="F105" s="1773" t="s">
        <v>587</v>
      </c>
      <c r="G105" s="1774"/>
      <c r="H105" s="345" t="s">
        <v>592</v>
      </c>
      <c r="I105" s="1087"/>
      <c r="J105" s="346" t="s">
        <v>593</v>
      </c>
      <c r="K105" s="347" t="s">
        <v>590</v>
      </c>
    </row>
    <row r="106" spans="1:18" ht="24" hidden="1" customHeight="1" thickBot="1" x14ac:dyDescent="0.3">
      <c r="A106" s="1775">
        <f>G60</f>
        <v>0</v>
      </c>
      <c r="B106" s="1776"/>
      <c r="C106" s="1781">
        <f>C99</f>
        <v>18927.055</v>
      </c>
      <c r="D106" s="1781"/>
      <c r="E106" s="352" t="s">
        <v>120</v>
      </c>
      <c r="F106" s="349" t="e">
        <f>'DESPUES DE AJUSTE ¬ '!C122</f>
        <v>#N/A</v>
      </c>
      <c r="G106" s="367" t="s">
        <v>120</v>
      </c>
      <c r="H106" s="350" t="e">
        <f>IF('DESPUES DE AJUSTE ¬ '!F122&lt;=('CMC ¬'!P12),'CMC ¬'!P12,'DESPUES DE AJUSTE ¬ '!F122)</f>
        <v>#N/A</v>
      </c>
      <c r="I106" s="352" t="s">
        <v>120</v>
      </c>
      <c r="J106" s="351" t="e">
        <f>'DESPUES DE AJUSTE ¬ '!I122</f>
        <v>#N/A</v>
      </c>
      <c r="K106" s="1782" t="e">
        <f>IF(AND('Pc ¬'!H11&gt;=97.5%,'Pc ¬'!I11&lt;=2.5%),"SI","NO")</f>
        <v>#N/A</v>
      </c>
    </row>
    <row r="107" spans="1:18" ht="24" hidden="1" customHeight="1" thickBot="1" x14ac:dyDescent="0.3">
      <c r="A107" s="1777"/>
      <c r="B107" s="1778"/>
      <c r="C107" s="1785">
        <f>C100</f>
        <v>1155.0000427166315</v>
      </c>
      <c r="D107" s="1785"/>
      <c r="E107" s="352" t="s">
        <v>591</v>
      </c>
      <c r="F107" s="353" t="e">
        <f>'DESPUES DE AJUSTE ¬ '!C123</f>
        <v>#N/A</v>
      </c>
      <c r="G107" s="367" t="s">
        <v>594</v>
      </c>
      <c r="H107" s="355" t="e">
        <f>IF('DESPUES DE AJUSTE ¬ '!F123&lt;=('CMC ¬'!Q12),'CMC ¬'!Q12,'DESPUES DE AJUSTE ¬ '!F123)</f>
        <v>#N/A</v>
      </c>
      <c r="I107" s="352" t="s">
        <v>591</v>
      </c>
      <c r="J107" s="351" t="e">
        <f>'DESPUES DE AJUSTE ¬ '!I123</f>
        <v>#N/A</v>
      </c>
      <c r="K107" s="1783"/>
    </row>
    <row r="108" spans="1:18" ht="24" hidden="1" customHeight="1" thickBot="1" x14ac:dyDescent="0.3">
      <c r="A108" s="1777"/>
      <c r="B108" s="1778"/>
      <c r="C108" s="1794">
        <f>C101</f>
        <v>5</v>
      </c>
      <c r="D108" s="1792"/>
      <c r="E108" s="352" t="s">
        <v>283</v>
      </c>
      <c r="F108" s="511" t="e">
        <f>'DESPUES DE AJUSTE ¬ '!C124</f>
        <v>#N/A</v>
      </c>
      <c r="G108" s="367" t="s">
        <v>283</v>
      </c>
      <c r="H108" s="357" t="e">
        <f>IF('DESPUES DE AJUSTE ¬ '!F124&lt;=('CMC ¬'!R12),'CMC ¬'!R12,'DESPUES DE AJUSTE ¬ '!F124)</f>
        <v>#N/A</v>
      </c>
      <c r="I108" s="352" t="s">
        <v>283</v>
      </c>
      <c r="J108" s="511" t="e">
        <f>'DESPUES DE AJUSTE ¬ '!I124</f>
        <v>#N/A</v>
      </c>
      <c r="K108" s="1783"/>
    </row>
    <row r="109" spans="1:18" ht="24" hidden="1" customHeight="1" thickBot="1" x14ac:dyDescent="0.3">
      <c r="A109" s="1779"/>
      <c r="B109" s="1780"/>
      <c r="C109" s="1786">
        <f>C102</f>
        <v>100</v>
      </c>
      <c r="D109" s="1787"/>
      <c r="E109" s="352" t="s">
        <v>404</v>
      </c>
      <c r="F109" s="510" t="e">
        <f>'DESPUES DE AJUSTE ¬ '!C125</f>
        <v>#N/A</v>
      </c>
      <c r="G109" s="352" t="s">
        <v>404</v>
      </c>
      <c r="H109" s="358" t="e">
        <f>IF('DESPUES DE AJUSTE ¬ '!F125&lt;=('CMC ¬'!S12),'CMC ¬'!S12,'DESPUES DE AJUSTE ¬ '!F125)</f>
        <v>#N/A</v>
      </c>
      <c r="I109" s="352" t="s">
        <v>404</v>
      </c>
      <c r="J109" s="510" t="e">
        <f>'DESPUES DE AJUSTE ¬ '!I125</f>
        <v>#N/A</v>
      </c>
      <c r="K109" s="1784"/>
    </row>
    <row r="110" spans="1:18" ht="11.25" hidden="1" customHeight="1" x14ac:dyDescent="0.25"/>
    <row r="111" spans="1:18" ht="30.75" customHeight="1" x14ac:dyDescent="0.25">
      <c r="A111" s="1796" t="s">
        <v>595</v>
      </c>
      <c r="B111" s="1796"/>
      <c r="C111" s="1796"/>
      <c r="D111" s="1796"/>
      <c r="E111" s="1796"/>
      <c r="F111" s="1796"/>
      <c r="G111" s="1796"/>
      <c r="H111" s="1796"/>
      <c r="I111" s="1796"/>
      <c r="J111" s="1796"/>
      <c r="K111" s="1796"/>
    </row>
    <row r="112" spans="1:18" ht="8.25" customHeight="1" thickBot="1" x14ac:dyDescent="0.3">
      <c r="A112" s="341"/>
      <c r="B112" s="341"/>
      <c r="C112" s="341"/>
      <c r="D112" s="341"/>
      <c r="E112" s="341"/>
      <c r="F112" s="341"/>
      <c r="G112" s="341"/>
      <c r="H112" s="341"/>
      <c r="I112" s="341"/>
      <c r="J112" s="341"/>
      <c r="K112" s="341"/>
    </row>
    <row r="113" spans="1:11" ht="24.95" customHeight="1" thickBot="1" x14ac:dyDescent="0.3">
      <c r="A113" s="341"/>
      <c r="B113" s="341"/>
      <c r="C113" s="341"/>
      <c r="D113" s="341"/>
      <c r="E113" s="1200" t="s">
        <v>666</v>
      </c>
      <c r="F113" s="1199">
        <f>(C99*0.05%)</f>
        <v>9.4635274999999996</v>
      </c>
      <c r="G113" s="1200" t="s">
        <v>120</v>
      </c>
      <c r="H113" s="341"/>
      <c r="I113" s="368"/>
      <c r="J113" s="368"/>
      <c r="K113" s="341"/>
    </row>
    <row r="114" spans="1:11" ht="24.95" customHeight="1" x14ac:dyDescent="0.25">
      <c r="A114" s="341"/>
      <c r="B114" s="341"/>
      <c r="C114" s="341"/>
      <c r="D114" s="341"/>
      <c r="E114" s="341"/>
      <c r="F114" s="341"/>
      <c r="G114" s="341"/>
      <c r="H114" s="341"/>
      <c r="I114" s="369"/>
      <c r="J114" s="1088"/>
      <c r="K114" s="341"/>
    </row>
    <row r="115" spans="1:11" ht="15.95" customHeight="1" x14ac:dyDescent="0.25">
      <c r="A115" s="341"/>
      <c r="B115" s="341"/>
      <c r="C115" s="341"/>
      <c r="D115" s="341"/>
      <c r="E115" s="341"/>
      <c r="F115" s="341"/>
      <c r="G115" s="341"/>
      <c r="H115" s="341"/>
      <c r="I115" s="368"/>
      <c r="J115" s="341"/>
      <c r="K115" s="341"/>
    </row>
    <row r="116" spans="1:11" ht="125.1" customHeight="1" x14ac:dyDescent="0.25">
      <c r="A116" s="341"/>
      <c r="B116" s="341"/>
      <c r="C116" s="341"/>
      <c r="D116" s="341"/>
      <c r="E116" s="341"/>
      <c r="F116" s="341"/>
      <c r="G116" s="341"/>
      <c r="H116" s="341"/>
      <c r="I116" s="368"/>
      <c r="J116" s="341"/>
      <c r="K116" s="341"/>
    </row>
    <row r="117" spans="1:11" ht="35.1" customHeight="1" x14ac:dyDescent="0.25">
      <c r="A117" s="341"/>
      <c r="B117" s="341"/>
      <c r="C117" s="341"/>
      <c r="D117" s="341"/>
      <c r="E117" s="341"/>
      <c r="F117" s="341"/>
      <c r="G117" s="341"/>
      <c r="H117" s="341"/>
      <c r="I117" s="368"/>
      <c r="J117" s="341"/>
      <c r="K117" s="341"/>
    </row>
    <row r="118" spans="1:11" ht="65.099999999999994" customHeight="1" thickBot="1" x14ac:dyDescent="0.3">
      <c r="A118" s="341"/>
      <c r="B118" s="341"/>
      <c r="C118" s="341"/>
      <c r="D118" s="341"/>
      <c r="E118" s="341"/>
      <c r="F118" s="341"/>
      <c r="G118" s="341"/>
      <c r="H118" s="341"/>
      <c r="I118" s="370" t="s">
        <v>244</v>
      </c>
      <c r="J118" s="1797">
        <f>J3</f>
        <v>0</v>
      </c>
      <c r="K118" s="1798"/>
    </row>
    <row r="119" spans="1:11" ht="18" customHeight="1" thickBot="1" x14ac:dyDescent="0.3">
      <c r="A119" s="1736" t="s">
        <v>596</v>
      </c>
      <c r="B119" s="1736"/>
      <c r="C119" s="1736"/>
      <c r="D119" s="1736"/>
      <c r="E119" s="1736"/>
      <c r="F119" s="371"/>
      <c r="G119" s="307"/>
      <c r="H119" s="372"/>
    </row>
    <row r="120" spans="1:11" ht="7.5" customHeight="1" thickBot="1" x14ac:dyDescent="0.3">
      <c r="A120" s="209"/>
      <c r="B120" s="209"/>
      <c r="C120" s="209"/>
      <c r="D120" s="209"/>
      <c r="E120" s="209"/>
      <c r="F120" s="307"/>
      <c r="G120" s="307"/>
      <c r="H120" s="307"/>
      <c r="I120" s="373"/>
      <c r="J120" s="304"/>
    </row>
    <row r="121" spans="1:11" ht="15" customHeight="1" thickBot="1" x14ac:dyDescent="0.3">
      <c r="A121" s="1799" t="s">
        <v>651</v>
      </c>
      <c r="B121" s="1799"/>
      <c r="C121" s="1799"/>
      <c r="D121" s="1799"/>
      <c r="E121" s="1799"/>
      <c r="F121" s="374"/>
      <c r="G121" s="500"/>
      <c r="H121" s="500"/>
      <c r="I121" s="500"/>
      <c r="J121" s="506"/>
    </row>
    <row r="122" spans="1:11" ht="6" customHeight="1" x14ac:dyDescent="0.25">
      <c r="A122" s="375"/>
      <c r="B122" s="375"/>
      <c r="C122" s="375"/>
      <c r="D122" s="375"/>
      <c r="E122" s="375"/>
      <c r="F122" s="375"/>
      <c r="G122" s="375"/>
      <c r="H122" s="307"/>
      <c r="I122" s="307"/>
    </row>
    <row r="123" spans="1:11" ht="16.5" customHeight="1" x14ac:dyDescent="0.25">
      <c r="A123" s="1727" t="s">
        <v>597</v>
      </c>
      <c r="B123" s="1727"/>
      <c r="C123" s="1727"/>
      <c r="D123" s="1727"/>
      <c r="E123" s="1727"/>
      <c r="F123" s="1727"/>
      <c r="G123" s="1727"/>
      <c r="H123" s="1727"/>
      <c r="I123" s="1727"/>
      <c r="J123" s="306"/>
    </row>
    <row r="124" spans="1:11" ht="20.100000000000001" customHeight="1" x14ac:dyDescent="0.25">
      <c r="A124" s="503"/>
      <c r="B124" s="503"/>
      <c r="C124" s="503"/>
      <c r="D124" s="503"/>
      <c r="E124" s="307"/>
      <c r="F124" s="1800" t="s">
        <v>397</v>
      </c>
      <c r="G124" s="1800"/>
      <c r="H124" s="307"/>
      <c r="I124" s="307"/>
      <c r="J124" s="307"/>
      <c r="K124" s="307"/>
    </row>
    <row r="125" spans="1:11" ht="16.5" customHeight="1" x14ac:dyDescent="0.25">
      <c r="A125" s="209"/>
      <c r="C125" s="529" t="e">
        <f>'CALIBRACIÓN DE LA ESCALA ¬'!C52</f>
        <v>#N/A</v>
      </c>
      <c r="D125" s="530" t="s">
        <v>120</v>
      </c>
      <c r="E125" s="1795" t="s">
        <v>598</v>
      </c>
      <c r="F125" s="529" t="e">
        <f>'CALIBRACIÓN DE LA ESCALA ¬'!F52</f>
        <v>#N/A</v>
      </c>
      <c r="G125" s="531" t="s">
        <v>120</v>
      </c>
      <c r="I125" s="307"/>
      <c r="J125" s="307"/>
      <c r="K125" s="307"/>
    </row>
    <row r="126" spans="1:11" ht="17.25" customHeight="1" x14ac:dyDescent="0.25">
      <c r="A126" s="503"/>
      <c r="C126" s="532" t="e">
        <f>'CALIBRACIÓN DE LA ESCALA ¬'!C53</f>
        <v>#N/A</v>
      </c>
      <c r="D126" s="530" t="s">
        <v>599</v>
      </c>
      <c r="E126" s="1795"/>
      <c r="F126" s="532" t="e">
        <f>'CALIBRACIÓN DE LA ESCALA ¬'!F53</f>
        <v>#N/A</v>
      </c>
      <c r="G126" s="531" t="s">
        <v>600</v>
      </c>
      <c r="I126" s="307"/>
      <c r="J126" s="307"/>
      <c r="K126" s="307"/>
    </row>
    <row r="127" spans="1:11" ht="15" customHeight="1" x14ac:dyDescent="0.25">
      <c r="A127" s="503"/>
      <c r="C127" s="533" t="e">
        <f>'CALIBRACIÓN DE LA ESCALA ¬'!C54</f>
        <v>#N/A</v>
      </c>
      <c r="D127" s="530" t="s">
        <v>404</v>
      </c>
      <c r="E127" s="1795"/>
      <c r="F127" s="533" t="e">
        <f>'CALIBRACIÓN DE LA ESCALA ¬'!F54</f>
        <v>#N/A</v>
      </c>
      <c r="G127" s="531" t="s">
        <v>404</v>
      </c>
      <c r="I127" s="307"/>
      <c r="J127" s="307"/>
      <c r="K127" s="307"/>
    </row>
    <row r="128" spans="1:11" ht="24.95" customHeight="1" x14ac:dyDescent="0.25">
      <c r="A128" s="503"/>
      <c r="B128" s="307"/>
      <c r="C128" s="307"/>
      <c r="D128" s="307"/>
      <c r="E128" s="376"/>
      <c r="F128" s="376"/>
      <c r="G128" s="376"/>
      <c r="H128" s="301"/>
      <c r="I128" s="377"/>
      <c r="J128" s="377"/>
      <c r="K128" s="377"/>
    </row>
    <row r="129" spans="1:12" ht="12" customHeight="1" x14ac:dyDescent="0.25">
      <c r="A129" s="1736" t="s">
        <v>601</v>
      </c>
      <c r="B129" s="1736"/>
      <c r="C129" s="1736"/>
      <c r="D129" s="1736"/>
      <c r="E129" s="1736"/>
      <c r="F129" s="1736"/>
      <c r="G129" s="307"/>
      <c r="H129" s="307"/>
      <c r="I129" s="307"/>
      <c r="J129" s="307"/>
      <c r="K129" s="307"/>
    </row>
    <row r="130" spans="1:12" ht="12" customHeight="1" x14ac:dyDescent="0.25">
      <c r="A130" s="504"/>
      <c r="B130" s="504"/>
      <c r="C130" s="504"/>
      <c r="D130" s="504"/>
      <c r="E130" s="504"/>
      <c r="F130" s="504"/>
      <c r="G130" s="307"/>
      <c r="H130" s="307"/>
      <c r="I130" s="307"/>
      <c r="J130" s="307"/>
      <c r="K130" s="307"/>
    </row>
    <row r="131" spans="1:12" ht="33" customHeight="1" x14ac:dyDescent="0.25">
      <c r="A131" s="91" t="s">
        <v>602</v>
      </c>
      <c r="B131" s="1725" t="s">
        <v>603</v>
      </c>
      <c r="C131" s="1725"/>
      <c r="D131" s="1725"/>
      <c r="E131" s="1725"/>
      <c r="F131" s="1725"/>
      <c r="G131" s="1725"/>
      <c r="H131" s="1725"/>
      <c r="I131" s="1725"/>
      <c r="J131" s="1725"/>
      <c r="K131" s="1725"/>
    </row>
    <row r="132" spans="1:12" ht="33" customHeight="1" x14ac:dyDescent="0.25">
      <c r="A132" s="91" t="s">
        <v>602</v>
      </c>
      <c r="B132" s="1725" t="s">
        <v>604</v>
      </c>
      <c r="C132" s="1725"/>
      <c r="D132" s="1725"/>
      <c r="E132" s="1725"/>
      <c r="F132" s="1725"/>
      <c r="G132" s="1725"/>
      <c r="H132" s="1725"/>
      <c r="I132" s="1725"/>
      <c r="J132" s="1725"/>
      <c r="K132" s="1725"/>
    </row>
    <row r="133" spans="1:12" ht="33" customHeight="1" x14ac:dyDescent="0.25">
      <c r="A133" s="91" t="s">
        <v>602</v>
      </c>
      <c r="B133" s="1725" t="s">
        <v>605</v>
      </c>
      <c r="C133" s="1725"/>
      <c r="D133" s="1725"/>
      <c r="E133" s="1725"/>
      <c r="F133" s="1725"/>
      <c r="G133" s="1725"/>
      <c r="H133" s="1725"/>
      <c r="I133" s="1725"/>
      <c r="J133" s="1725"/>
      <c r="K133" s="1725"/>
    </row>
    <row r="134" spans="1:12" s="378" customFormat="1" ht="23.1" customHeight="1" x14ac:dyDescent="0.25">
      <c r="A134" s="91" t="s">
        <v>602</v>
      </c>
      <c r="B134" s="1725" t="s">
        <v>606</v>
      </c>
      <c r="C134" s="1725"/>
      <c r="D134" s="1725"/>
      <c r="E134" s="1725"/>
      <c r="F134" s="1725"/>
      <c r="G134" s="1725"/>
      <c r="H134" s="1725"/>
      <c r="I134" s="1725"/>
      <c r="J134" s="1725"/>
      <c r="K134" s="1725"/>
    </row>
    <row r="135" spans="1:12" s="378" customFormat="1" ht="33" customHeight="1" x14ac:dyDescent="0.25">
      <c r="A135" s="91" t="s">
        <v>602</v>
      </c>
      <c r="B135" s="1725" t="s">
        <v>607</v>
      </c>
      <c r="C135" s="1725"/>
      <c r="D135" s="1725"/>
      <c r="E135" s="1725"/>
      <c r="F135" s="1725"/>
      <c r="G135" s="1725"/>
      <c r="H135" s="1725"/>
      <c r="I135" s="1201"/>
      <c r="J135" s="1202"/>
      <c r="K135" s="1201"/>
    </row>
    <row r="136" spans="1:12" s="378" customFormat="1" ht="23.1" customHeight="1" x14ac:dyDescent="0.25">
      <c r="A136" s="91" t="s">
        <v>602</v>
      </c>
      <c r="B136" s="1725" t="s">
        <v>608</v>
      </c>
      <c r="C136" s="1725"/>
      <c r="D136" s="1725"/>
      <c r="E136" s="1725"/>
      <c r="F136" s="1725"/>
      <c r="G136" s="1725"/>
      <c r="H136" s="1725"/>
      <c r="I136" s="1725"/>
      <c r="J136" s="1725"/>
      <c r="K136" s="1725"/>
    </row>
    <row r="137" spans="1:12" ht="23.1" customHeight="1" x14ac:dyDescent="0.25">
      <c r="A137" s="91" t="s">
        <v>602</v>
      </c>
      <c r="B137" s="1725" t="s">
        <v>609</v>
      </c>
      <c r="C137" s="1725"/>
      <c r="D137" s="1725"/>
      <c r="E137" s="1725"/>
      <c r="F137" s="1725"/>
      <c r="G137" s="1725"/>
      <c r="H137" s="1725"/>
      <c r="I137" s="1725"/>
      <c r="J137" s="1725"/>
      <c r="K137" s="1725"/>
    </row>
    <row r="138" spans="1:12" s="378" customFormat="1" ht="23.1" customHeight="1" x14ac:dyDescent="0.25">
      <c r="A138" s="91" t="s">
        <v>602</v>
      </c>
      <c r="B138" s="1725" t="s">
        <v>610</v>
      </c>
      <c r="C138" s="1725"/>
      <c r="D138" s="1725"/>
      <c r="E138" s="1725"/>
      <c r="F138" s="1725"/>
      <c r="G138" s="1725"/>
      <c r="H138" s="1725"/>
      <c r="I138" s="1725"/>
      <c r="J138" s="1725"/>
      <c r="K138" s="1725"/>
      <c r="L138" s="379"/>
    </row>
    <row r="139" spans="1:12" s="378" customFormat="1" ht="23.1" customHeight="1" x14ac:dyDescent="0.25">
      <c r="A139" s="91" t="s">
        <v>611</v>
      </c>
      <c r="B139" s="1725" t="s">
        <v>612</v>
      </c>
      <c r="C139" s="1725"/>
      <c r="D139" s="1725"/>
      <c r="E139" s="1725"/>
      <c r="F139" s="1725"/>
      <c r="G139" s="1725"/>
      <c r="H139" s="1725"/>
      <c r="I139" s="1725"/>
      <c r="J139" s="1725"/>
      <c r="K139" s="1725"/>
      <c r="L139" s="379"/>
    </row>
    <row r="140" spans="1:12" ht="23.1" customHeight="1" x14ac:dyDescent="0.25">
      <c r="A140" s="91" t="s">
        <v>611</v>
      </c>
      <c r="B140" s="1725" t="s">
        <v>667</v>
      </c>
      <c r="C140" s="1725"/>
      <c r="D140" s="1725"/>
      <c r="E140" s="1725"/>
      <c r="F140" s="1725"/>
      <c r="G140" s="1725"/>
      <c r="H140" s="1725"/>
      <c r="I140" s="1725"/>
      <c r="J140" s="1725"/>
      <c r="K140" s="1725"/>
      <c r="L140" s="380"/>
    </row>
    <row r="141" spans="1:12" ht="23.1" customHeight="1" x14ac:dyDescent="0.25">
      <c r="A141" s="1203" t="s">
        <v>602</v>
      </c>
      <c r="B141" s="1725" t="s">
        <v>613</v>
      </c>
      <c r="C141" s="1725"/>
      <c r="D141" s="1725"/>
      <c r="E141" s="1725"/>
      <c r="F141" s="1725"/>
      <c r="G141" s="1725"/>
      <c r="H141" s="1725"/>
      <c r="I141" s="1725"/>
      <c r="J141" s="1725"/>
      <c r="K141" s="1725"/>
      <c r="L141" s="381"/>
    </row>
    <row r="142" spans="1:12" ht="33" customHeight="1" x14ac:dyDescent="0.25">
      <c r="A142" s="91" t="s">
        <v>602</v>
      </c>
      <c r="B142" s="1725" t="s">
        <v>614</v>
      </c>
      <c r="C142" s="1725"/>
      <c r="D142" s="1725"/>
      <c r="E142" s="1725"/>
      <c r="F142" s="1725"/>
      <c r="G142" s="1725"/>
      <c r="H142" s="1725"/>
      <c r="I142" s="1725"/>
      <c r="J142" s="1725"/>
      <c r="K142" s="1725"/>
    </row>
    <row r="143" spans="1:12" ht="23.1" customHeight="1" x14ac:dyDescent="0.25">
      <c r="A143" s="91" t="s">
        <v>602</v>
      </c>
      <c r="B143" s="1725" t="s">
        <v>615</v>
      </c>
      <c r="C143" s="1725"/>
      <c r="D143" s="1725"/>
      <c r="E143" s="1725"/>
      <c r="F143" s="1725"/>
      <c r="G143" s="1725"/>
      <c r="H143" s="1725"/>
      <c r="I143" s="1725"/>
      <c r="J143" s="1725"/>
      <c r="K143" s="1725"/>
    </row>
    <row r="144" spans="1:12" ht="23.1" customHeight="1" x14ac:dyDescent="0.25">
      <c r="A144" s="91" t="s">
        <v>602</v>
      </c>
      <c r="B144" s="1725" t="s">
        <v>616</v>
      </c>
      <c r="C144" s="1725"/>
      <c r="D144" s="1725"/>
      <c r="E144" s="1725"/>
      <c r="F144" s="1725"/>
      <c r="G144" s="1725"/>
      <c r="H144" s="1725"/>
      <c r="I144" s="1725"/>
      <c r="J144" s="1725"/>
      <c r="K144" s="1725"/>
    </row>
    <row r="145" spans="1:11" ht="23.1" customHeight="1" x14ac:dyDescent="0.25">
      <c r="A145" s="91" t="s">
        <v>602</v>
      </c>
      <c r="B145" s="1725" t="s">
        <v>617</v>
      </c>
      <c r="C145" s="1725"/>
      <c r="D145" s="1725"/>
      <c r="E145" s="1725"/>
      <c r="F145" s="1725"/>
      <c r="G145" s="1725"/>
      <c r="H145" s="1725"/>
      <c r="I145" s="1725"/>
      <c r="J145" s="1725"/>
      <c r="K145" s="1725"/>
    </row>
    <row r="146" spans="1:11" ht="23.1" customHeight="1" x14ac:dyDescent="0.25">
      <c r="A146" s="91" t="s">
        <v>602</v>
      </c>
      <c r="B146" s="1725" t="s">
        <v>618</v>
      </c>
      <c r="C146" s="1725"/>
      <c r="D146" s="1725"/>
      <c r="E146" s="1725"/>
      <c r="F146" s="1725"/>
      <c r="G146" s="1725"/>
      <c r="H146" s="1725"/>
      <c r="I146" s="1725"/>
      <c r="J146" s="1725"/>
      <c r="K146" s="1725"/>
    </row>
    <row r="147" spans="1:11" ht="23.1" customHeight="1" x14ac:dyDescent="0.25">
      <c r="A147" s="91" t="s">
        <v>602</v>
      </c>
      <c r="B147" s="1725" t="s">
        <v>619</v>
      </c>
      <c r="C147" s="1725"/>
      <c r="D147" s="1725"/>
      <c r="E147" s="1725"/>
      <c r="F147" s="1725"/>
      <c r="G147" s="1725"/>
      <c r="H147" s="1725"/>
      <c r="I147" s="1725"/>
      <c r="J147" s="1725"/>
      <c r="K147" s="1725"/>
    </row>
    <row r="148" spans="1:11" ht="23.1" customHeight="1" x14ac:dyDescent="0.25">
      <c r="A148" s="500"/>
      <c r="B148" s="1735"/>
      <c r="C148" s="1735"/>
      <c r="D148" s="1735"/>
      <c r="E148" s="1735"/>
      <c r="F148" s="1735"/>
      <c r="G148" s="1735"/>
      <c r="H148" s="1735"/>
      <c r="I148" s="1735"/>
      <c r="J148" s="1735"/>
      <c r="K148" s="1735"/>
    </row>
    <row r="149" spans="1:11" ht="15" customHeight="1" x14ac:dyDescent="0.25">
      <c r="E149" s="307"/>
      <c r="F149" s="307"/>
      <c r="G149" s="307"/>
      <c r="H149" s="307"/>
      <c r="I149" s="307"/>
      <c r="J149" s="307"/>
      <c r="K149" s="307"/>
    </row>
    <row r="150" spans="1:11" ht="15" customHeight="1" x14ac:dyDescent="0.25">
      <c r="A150" s="1802" t="s">
        <v>620</v>
      </c>
      <c r="B150" s="1802"/>
      <c r="C150" s="1802"/>
      <c r="D150" s="1802"/>
      <c r="E150" s="307"/>
      <c r="F150" s="307"/>
      <c r="G150" s="307"/>
      <c r="H150" s="307"/>
      <c r="I150" s="307"/>
      <c r="J150" s="307"/>
      <c r="K150" s="307"/>
    </row>
    <row r="151" spans="1:11" ht="15" customHeight="1" x14ac:dyDescent="0.25">
      <c r="A151" s="512"/>
      <c r="B151" s="512"/>
      <c r="C151" s="512"/>
      <c r="D151" s="512"/>
      <c r="E151" s="307"/>
      <c r="F151" s="307"/>
      <c r="G151" s="307"/>
      <c r="H151" s="307"/>
      <c r="I151" s="307"/>
      <c r="J151" s="307"/>
      <c r="K151" s="307"/>
    </row>
    <row r="152" spans="1:11" ht="15" customHeight="1" x14ac:dyDescent="0.25">
      <c r="A152" s="307"/>
      <c r="B152" s="307"/>
      <c r="C152" s="307"/>
      <c r="D152" s="307"/>
      <c r="E152" s="307"/>
      <c r="F152" s="307"/>
      <c r="G152" s="307"/>
      <c r="H152" s="307"/>
      <c r="I152" s="307"/>
      <c r="J152" s="307"/>
      <c r="K152" s="307"/>
    </row>
    <row r="153" spans="1:11" ht="15" customHeight="1" x14ac:dyDescent="0.25">
      <c r="A153" s="307"/>
      <c r="B153" s="307"/>
      <c r="C153" s="307"/>
      <c r="D153" s="307"/>
      <c r="E153" s="307"/>
      <c r="F153" s="307"/>
      <c r="G153" s="307"/>
      <c r="H153" s="307"/>
      <c r="I153" s="307"/>
      <c r="J153" s="307"/>
      <c r="K153" s="307"/>
    </row>
    <row r="154" spans="1:11" ht="15" customHeight="1" x14ac:dyDescent="0.25">
      <c r="A154" s="382"/>
      <c r="B154" s="1803"/>
      <c r="C154" s="1803"/>
      <c r="D154" s="1803"/>
      <c r="E154" s="1803"/>
      <c r="F154" s="307"/>
      <c r="G154" s="1803"/>
      <c r="H154" s="1803"/>
      <c r="I154" s="1803"/>
      <c r="J154" s="1803"/>
      <c r="K154" s="382"/>
    </row>
    <row r="155" spans="1:11" ht="15" customHeight="1" x14ac:dyDescent="0.25">
      <c r="A155" s="307"/>
      <c r="B155" s="1804" t="s">
        <v>621</v>
      </c>
      <c r="C155" s="1804"/>
      <c r="D155" s="1804"/>
      <c r="E155" s="1804"/>
      <c r="F155" s="307"/>
      <c r="G155" s="1804" t="s">
        <v>622</v>
      </c>
      <c r="H155" s="1804"/>
      <c r="I155" s="1804"/>
      <c r="J155" s="1804"/>
      <c r="K155" s="307"/>
    </row>
    <row r="156" spans="1:11" ht="21" customHeight="1" x14ac:dyDescent="0.25">
      <c r="B156" s="1806" t="e">
        <f>VLOOKUP(A154,'DATOS ¬'!P9:S13,4,FALSE)</f>
        <v>#N/A</v>
      </c>
      <c r="C156" s="1806"/>
      <c r="D156" s="1806"/>
      <c r="E156" s="1806"/>
      <c r="F156" s="386"/>
      <c r="G156" s="1805" t="e">
        <f>VLOOKUP(K154,'DATOS ¬'!P9:U13,6,FALSE)</f>
        <v>#N/A</v>
      </c>
      <c r="H156" s="1805"/>
      <c r="I156" s="1805"/>
      <c r="J156" s="1805"/>
      <c r="K156" s="307"/>
    </row>
    <row r="157" spans="1:11" ht="15" customHeight="1" x14ac:dyDescent="0.25">
      <c r="A157" s="307"/>
      <c r="B157" s="1802" t="e">
        <f>VLOOKUP(A154,'DATOS ¬'!P9:S13,2,FALSE)</f>
        <v>#N/A</v>
      </c>
      <c r="C157" s="1802"/>
      <c r="D157" s="1802"/>
      <c r="E157" s="1802"/>
      <c r="F157" s="383"/>
      <c r="G157" s="1802" t="e">
        <f>VLOOKUP(K154,'DATOS ¬'!P9:U13,2,FALSE)</f>
        <v>#N/A</v>
      </c>
      <c r="H157" s="1802"/>
      <c r="I157" s="1802"/>
      <c r="J157" s="1802"/>
      <c r="K157" s="383"/>
    </row>
    <row r="158" spans="1:11" ht="15" customHeight="1" x14ac:dyDescent="0.25">
      <c r="D158" s="307"/>
      <c r="E158" s="307"/>
      <c r="F158" s="307"/>
      <c r="G158" s="307"/>
      <c r="H158" s="307"/>
      <c r="I158" s="307"/>
      <c r="J158" s="307"/>
      <c r="K158" s="307"/>
    </row>
    <row r="159" spans="1:11" ht="15" customHeight="1" x14ac:dyDescent="0.25">
      <c r="A159" s="307"/>
      <c r="B159" s="1801" t="s">
        <v>623</v>
      </c>
      <c r="C159" s="1801"/>
      <c r="D159" s="384"/>
      <c r="E159" s="307"/>
      <c r="F159" s="307"/>
      <c r="G159" s="1801" t="s">
        <v>624</v>
      </c>
      <c r="H159" s="1801"/>
      <c r="I159" s="384"/>
      <c r="J159" s="307"/>
      <c r="K159" s="210"/>
    </row>
    <row r="160" spans="1:11" ht="15" customHeight="1" x14ac:dyDescent="0.25">
      <c r="A160" s="307"/>
      <c r="J160" s="307"/>
      <c r="K160" s="307"/>
    </row>
    <row r="161" spans="1:11" ht="15.75" customHeight="1" x14ac:dyDescent="0.25">
      <c r="A161" s="1724" t="s">
        <v>625</v>
      </c>
      <c r="B161" s="1724"/>
      <c r="C161" s="1724"/>
      <c r="D161" s="1724"/>
      <c r="E161" s="1724"/>
      <c r="F161" s="1724"/>
      <c r="G161" s="1724"/>
      <c r="H161" s="1724"/>
      <c r="I161" s="1724"/>
      <c r="J161" s="1724"/>
      <c r="K161" s="1724"/>
    </row>
  </sheetData>
  <sheetProtection password="CF5C"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Vr.10 (2023-05-16)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0E8D1FE-47E5-49E2-B38C-981105762577}">
            <xm:f>NOT(ISERROR(SEARCH($F$106,F119)))</xm:f>
            <xm:f>$F$106</xm:f>
            <x14:dxf>
              <font>
                <b/>
                <i val="0"/>
              </font>
            </x14:dxf>
          </x14:cfRule>
          <x14:cfRule type="containsText" priority="2" stopIfTrue="1" operator="containsText" id="{121EDD50-43D6-47E9-A69F-4AD13939D105}">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¬'!$C$143:$C$148</xm:f>
          </x14:formula1>
          <xm:sqref>K93</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630930-25e8-416c-ab3b-3d3f0eb88142">
      <Terms xmlns="http://schemas.microsoft.com/office/infopath/2007/PartnerControls"/>
    </lcf76f155ced4ddcb4097134ff3c332f>
    <TaxCatchAll xmlns="41a0376a-4913-43ea-bca5-b9259b3c65a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16" ma:contentTypeDescription="Crear nuevo documento." ma:contentTypeScope="" ma:versionID="d713bc3fed25671c6e33f379168f2f9c">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dc3d2e819729881705429c641e717553"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976e945-0c06-40c7-9ba4-a80e2af427e4}" ma:internalName="TaxCatchAll" ma:showField="CatchAllData" ma:web="41a0376a-4913-43ea-bca5-b9259b3c65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C60252-195C-4FA2-9EE9-F9FE915DCE6F}">
  <ds:schemaRefs>
    <ds:schemaRef ds:uri="http://schemas.microsoft.com/sharepoint/v3/contenttype/forms"/>
  </ds:schemaRefs>
</ds:datastoreItem>
</file>

<file path=customXml/itemProps2.xml><?xml version="1.0" encoding="utf-8"?>
<ds:datastoreItem xmlns:ds="http://schemas.openxmlformats.org/officeDocument/2006/customXml" ds:itemID="{C2A69553-8B56-45B8-A421-ED3D4D3C96C5}">
  <ds:schemaRefs>
    <ds:schemaRef ds:uri="28630930-25e8-416c-ab3b-3d3f0eb88142"/>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41a0376a-4913-43ea-bca5-b9259b3c65a0"/>
    <ds:schemaRef ds:uri="http://purl.org/dc/term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B9F4EF83-6237-4675-ABCD-5CEB45AD7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DATOS ¬</vt:lpstr>
      <vt:lpstr>RT03-F11 ¬</vt:lpstr>
      <vt:lpstr>DESPUES DE AJUSTE ¬ </vt:lpstr>
      <vt:lpstr>CALIBRACIÓN DE LA ESCALA ¬</vt:lpstr>
      <vt:lpstr>Máx. y Mín ¬</vt:lpstr>
      <vt:lpstr>Pc ¬</vt:lpstr>
      <vt:lpstr>CMC ¬</vt:lpstr>
      <vt:lpstr>RT03-F14 ¬ </vt:lpstr>
      <vt:lpstr>RT03-F38</vt:lpstr>
      <vt:lpstr>RT03-F17 ¬</vt:lpstr>
      <vt:lpstr>'CALIBRACIÓN DE LA ESCALA ¬'!Área_de_impresión</vt:lpstr>
      <vt:lpstr>'CMC ¬'!Área_de_impresión</vt:lpstr>
      <vt:lpstr>'DATOS ¬'!Área_de_impresión</vt:lpstr>
      <vt:lpstr>'DESPUES DE AJUSTE ¬ '!Área_de_impresión</vt:lpstr>
      <vt:lpstr>'Máx. y Mín ¬'!Área_de_impresión</vt:lpstr>
      <vt:lpstr>'Pc ¬'!Área_de_impresión</vt:lpstr>
      <vt:lpstr>'RT03-F14 ¬ '!Área_de_impresión</vt:lpstr>
      <vt:lpstr>'RT03-F17 ¬'!Área_de_impresión</vt:lpstr>
      <vt:lpstr>'RT03-F38'!Área_de_impresión</vt:lpstr>
      <vt:lpstr>'CALIBRACIÓN DE LA ESCALA ¬'!Print_Area</vt:lpstr>
      <vt:lpstr>'RT03-F14 ¬ '!Print_Area</vt:lpstr>
      <vt:lpstr>'RT03-F17 ¬'!Print_Area</vt:lpstr>
      <vt:lpstr>'RT03-F38'!Print_Area</vt:lpstr>
      <vt:lpstr>'CALIBRACIÓN DE LA ESCALA ¬'!Print_Titles</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LAURA JOHANNA FORERO TORRES</cp:lastModifiedBy>
  <cp:revision/>
  <cp:lastPrinted>2023-05-16T04:12:06Z</cp:lastPrinted>
  <dcterms:created xsi:type="dcterms:W3CDTF">2015-11-06T23:47:29Z</dcterms:created>
  <dcterms:modified xsi:type="dcterms:W3CDTF">2023-06-06T19:42:39Z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y fmtid="{D5CDD505-2E9C-101B-9397-08002B2CF9AE}" pid="4" name="MediaServiceImageTags">
    <vt:lpwstr/>
  </property>
</Properties>
</file>