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6.xml" ContentType="application/vnd.openxmlformats-officedocument.themeOverride+xml"/>
  <Override PartName="/xl/drawings/drawing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7.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mc:AlternateContent xmlns:mc="http://schemas.openxmlformats.org/markup-compatibility/2006">
    <mc:Choice Requires="x15">
      <x15ac:absPath xmlns:x15ac="http://schemas.microsoft.com/office/spreadsheetml/2010/11/ac" url="C:\Users\jhenn\Desktop\Yenny 2022\Documentos para cargar 2022-06-29\Documentos para cargar por debajo\"/>
    </mc:Choice>
  </mc:AlternateContent>
  <xr:revisionPtr revIDLastSave="0" documentId="8_{D8DEDE5C-0CBF-4E38-9314-4E7A472BC199}" xr6:coauthVersionLast="47" xr6:coauthVersionMax="47" xr10:uidLastSave="{00000000-0000-0000-0000-000000000000}"/>
  <bookViews>
    <workbookView xWindow="-120" yWindow="-120" windowWidth="20730" windowHeight="11040" tabRatio="613" firstSheet="1" activeTab="4" xr2:uid="{00000000-000D-0000-FFFF-FFFF00000000}"/>
  </bookViews>
  <sheets>
    <sheet name="DATOS # " sheetId="15" state="hidden" r:id="rId1"/>
    <sheet name="RT03-F12 #" sheetId="8" r:id="rId2"/>
    <sheet name=" CMC #" sheetId="25" r:id="rId3"/>
    <sheet name="Pc # " sheetId="30" r:id="rId4"/>
    <sheet name="Max y MIN #" sheetId="28" r:id="rId5"/>
    <sheet name=" RT03-F15 #" sheetId="18" state="hidden" r:id="rId6"/>
    <sheet name="RT03-F39 #" sheetId="34" state="hidden" r:id="rId7"/>
  </sheets>
  <externalReferences>
    <externalReference r:id="rId8"/>
    <externalReference r:id="rId9"/>
    <externalReference r:id="rId10"/>
  </externalReferences>
  <definedNames>
    <definedName name="a1_">'[1]APROXIMACION LINEL'!$C$21</definedName>
    <definedName name="_xlnm.Print_Area" localSheetId="2">' CMC #'!$A$1:$K$50</definedName>
    <definedName name="_xlnm.Print_Area" localSheetId="5">' RT03-F15 #'!$A$1:$G$174</definedName>
    <definedName name="_xlnm.Print_Area" localSheetId="0">'DATOS # '!$A$1:$V$255</definedName>
    <definedName name="_xlnm.Print_Area" localSheetId="4">'Max y MIN #'!$A$1:$I$22</definedName>
    <definedName name="_xlnm.Print_Area" localSheetId="3">'Pc # '!$A$1:$Q$43</definedName>
    <definedName name="_xlnm.Print_Area" localSheetId="1">'RT03-F12 #'!$A$1:$Q$144</definedName>
    <definedName name="_xlnm.Print_Area" localSheetId="6">'RT03-F39 #'!$A$1:$G$173</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_xlnm.Print_Titles" localSheetId="5">' RT03-F15 #'!$1:$1</definedName>
    <definedName name="_xlnm.Print_Titles" localSheetId="1">'RT03-F12 #'!$1:$3</definedName>
    <definedName name="_xlnm.Print_Titles" localSheetId="6">'RT03-F39 #'!$1:$1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 i="8" l="1"/>
  <c r="N128" i="8"/>
  <c r="D46" i="18"/>
  <c r="G25" i="8"/>
  <c r="N132" i="8"/>
  <c r="E46" i="18"/>
  <c r="D45" i="34"/>
  <c r="I75" i="8"/>
  <c r="H75" i="8"/>
  <c r="G75" i="8"/>
  <c r="F75" i="8"/>
  <c r="L19" i="15"/>
  <c r="K19" i="15"/>
  <c r="G90" i="8"/>
  <c r="H90" i="8"/>
  <c r="I90" i="8"/>
  <c r="J90" i="8"/>
  <c r="F90" i="8"/>
  <c r="J75" i="8"/>
  <c r="C44" i="25"/>
  <c r="B44" i="25"/>
  <c r="D44" i="25"/>
  <c r="L36" i="15"/>
  <c r="N36" i="15"/>
  <c r="K36" i="15"/>
  <c r="M36" i="15"/>
  <c r="O36" i="15"/>
  <c r="J82" i="8"/>
  <c r="N34" i="15"/>
  <c r="M34" i="15"/>
  <c r="O34" i="15"/>
  <c r="I82" i="8"/>
  <c r="N33" i="15"/>
  <c r="M33" i="15"/>
  <c r="O33" i="15"/>
  <c r="H82" i="8"/>
  <c r="N32" i="15"/>
  <c r="M32" i="15"/>
  <c r="O32" i="15"/>
  <c r="G82" i="8"/>
  <c r="N30" i="15"/>
  <c r="M30" i="15"/>
  <c r="O30" i="15"/>
  <c r="F82" i="8"/>
  <c r="I55" i="8"/>
  <c r="J55" i="8"/>
  <c r="B109" i="8"/>
  <c r="J25" i="8"/>
  <c r="J24" i="8"/>
  <c r="J23" i="8"/>
  <c r="J22" i="8"/>
  <c r="J21" i="8"/>
  <c r="E167" i="34"/>
  <c r="A167" i="34"/>
  <c r="E166" i="34"/>
  <c r="A166" i="34"/>
  <c r="D114" i="34"/>
  <c r="B114" i="34"/>
  <c r="D113" i="34"/>
  <c r="B113" i="34"/>
  <c r="C97" i="34"/>
  <c r="C96" i="34"/>
  <c r="C95" i="34"/>
  <c r="C94" i="34"/>
  <c r="C93" i="34"/>
  <c r="E85" i="34"/>
  <c r="D85" i="34"/>
  <c r="C85" i="34"/>
  <c r="A85" i="34"/>
  <c r="E84" i="34"/>
  <c r="D84" i="34"/>
  <c r="C84" i="34"/>
  <c r="A84" i="34"/>
  <c r="E83" i="34"/>
  <c r="D83" i="34"/>
  <c r="C83" i="34"/>
  <c r="A83" i="34"/>
  <c r="E82" i="34"/>
  <c r="D82" i="34"/>
  <c r="C82" i="34"/>
  <c r="A82" i="34"/>
  <c r="E81" i="34"/>
  <c r="D81" i="34"/>
  <c r="C81" i="34"/>
  <c r="A81" i="34"/>
  <c r="E80" i="34"/>
  <c r="D80" i="34"/>
  <c r="C80" i="34"/>
  <c r="A80" i="34"/>
  <c r="E79" i="34"/>
  <c r="D79" i="34"/>
  <c r="C79" i="34"/>
  <c r="A79" i="34"/>
  <c r="E78" i="34"/>
  <c r="D78" i="34"/>
  <c r="C78" i="34"/>
  <c r="A78" i="34"/>
  <c r="E77" i="34"/>
  <c r="D77" i="34"/>
  <c r="C77" i="34"/>
  <c r="A77" i="34"/>
  <c r="E76" i="34"/>
  <c r="D76" i="34"/>
  <c r="C76" i="34"/>
  <c r="A76" i="34"/>
  <c r="A74" i="34"/>
  <c r="C62" i="34"/>
  <c r="A62" i="34"/>
  <c r="C61" i="34"/>
  <c r="A61" i="34"/>
  <c r="C60" i="34"/>
  <c r="A60" i="34"/>
  <c r="C59" i="34"/>
  <c r="A59" i="34"/>
  <c r="C58" i="34"/>
  <c r="A58" i="34"/>
  <c r="C57" i="34"/>
  <c r="A57" i="34"/>
  <c r="D56" i="34"/>
  <c r="A56" i="34"/>
  <c r="D115" i="18"/>
  <c r="C8" i="30"/>
  <c r="B115" i="18"/>
  <c r="D114" i="18"/>
  <c r="C7" i="30"/>
  <c r="B114" i="18"/>
  <c r="C6" i="28"/>
  <c r="B6" i="28"/>
  <c r="Q94" i="15"/>
  <c r="P94" i="15"/>
  <c r="J90" i="15"/>
  <c r="J92" i="15"/>
  <c r="K94" i="15"/>
  <c r="L94" i="15"/>
  <c r="J93" i="15"/>
  <c r="J94" i="15"/>
  <c r="N94" i="15"/>
  <c r="I94" i="15"/>
  <c r="H94" i="15"/>
  <c r="I15" i="8"/>
  <c r="D49" i="18"/>
  <c r="M94" i="15"/>
  <c r="O94" i="15"/>
  <c r="R108" i="15"/>
  <c r="C108" i="15"/>
  <c r="E108" i="15"/>
  <c r="F108" i="15"/>
  <c r="G108" i="15"/>
  <c r="H108" i="15"/>
  <c r="I108" i="15"/>
  <c r="J108" i="15"/>
  <c r="K108" i="15"/>
  <c r="L108" i="15"/>
  <c r="M108" i="15"/>
  <c r="N108" i="15"/>
  <c r="P108" i="15"/>
  <c r="N107" i="15"/>
  <c r="R107" i="15"/>
  <c r="M107" i="15"/>
  <c r="L107" i="15"/>
  <c r="K107" i="15"/>
  <c r="J107" i="15"/>
  <c r="J106" i="15"/>
  <c r="I107" i="15"/>
  <c r="H107" i="15"/>
  <c r="G107" i="15"/>
  <c r="F107" i="15"/>
  <c r="E107" i="15"/>
  <c r="C107" i="15"/>
  <c r="R106" i="15"/>
  <c r="N106" i="15"/>
  <c r="M106" i="15"/>
  <c r="L106" i="15"/>
  <c r="K106" i="15"/>
  <c r="I106" i="15"/>
  <c r="H106" i="15"/>
  <c r="G106" i="15"/>
  <c r="F106" i="15"/>
  <c r="E106" i="15"/>
  <c r="C106" i="15"/>
  <c r="C105" i="15"/>
  <c r="E105" i="15"/>
  <c r="R105" i="15"/>
  <c r="M105" i="15"/>
  <c r="N105" i="15"/>
  <c r="L105" i="15"/>
  <c r="K105" i="15"/>
  <c r="J105" i="15"/>
  <c r="I105" i="15"/>
  <c r="H105" i="15"/>
  <c r="G105" i="15"/>
  <c r="F105" i="15"/>
  <c r="I21" i="8"/>
  <c r="F81" i="8"/>
  <c r="I24" i="8"/>
  <c r="I81" i="8"/>
  <c r="H22" i="8"/>
  <c r="B56" i="8"/>
  <c r="D56" i="8"/>
  <c r="I23" i="8"/>
  <c r="H81" i="8"/>
  <c r="H21" i="8"/>
  <c r="B55" i="8"/>
  <c r="D55" i="8"/>
  <c r="I22" i="8"/>
  <c r="P36" i="15"/>
  <c r="I25" i="8"/>
  <c r="J81" i="8"/>
  <c r="O108" i="15"/>
  <c r="O98" i="15"/>
  <c r="P92" i="15"/>
  <c r="L92" i="15"/>
  <c r="L93" i="15"/>
  <c r="L90" i="15"/>
  <c r="K90" i="15"/>
  <c r="K92" i="15"/>
  <c r="K93" i="15"/>
  <c r="M93" i="15"/>
  <c r="Q59" i="15"/>
  <c r="Q60" i="15"/>
  <c r="Q61" i="15"/>
  <c r="Q62" i="15"/>
  <c r="Q63" i="15"/>
  <c r="Q64" i="15"/>
  <c r="Q65" i="15"/>
  <c r="Q66" i="15"/>
  <c r="Q67" i="15"/>
  <c r="Q68" i="15"/>
  <c r="Q69" i="15"/>
  <c r="Q70" i="15"/>
  <c r="Q71" i="15"/>
  <c r="Q72" i="15"/>
  <c r="Q58" i="15"/>
  <c r="O37" i="15"/>
  <c r="O38" i="15"/>
  <c r="O39" i="15"/>
  <c r="O99" i="15"/>
  <c r="O100" i="15"/>
  <c r="O101" i="15"/>
  <c r="O102" i="15"/>
  <c r="O103" i="15"/>
  <c r="O104" i="15"/>
  <c r="O105" i="15"/>
  <c r="O106" i="15"/>
  <c r="O107" i="15"/>
  <c r="Q74" i="15"/>
  <c r="Q73" i="15"/>
  <c r="I14" i="8"/>
  <c r="L32" i="8"/>
  <c r="C210" i="15"/>
  <c r="G24" i="8"/>
  <c r="K92" i="8"/>
  <c r="G23" i="8"/>
  <c r="C207" i="15"/>
  <c r="G22" i="8"/>
  <c r="G70" i="8"/>
  <c r="C205" i="15"/>
  <c r="Q108" i="15"/>
  <c r="Q107" i="15"/>
  <c r="Q106" i="15"/>
  <c r="Q105" i="15"/>
  <c r="Q104" i="15"/>
  <c r="Q103" i="15"/>
  <c r="Q102" i="15"/>
  <c r="Q101" i="15"/>
  <c r="Q100" i="15"/>
  <c r="Q99" i="15"/>
  <c r="Q98" i="15"/>
  <c r="P107" i="15"/>
  <c r="P106" i="15"/>
  <c r="P105" i="15"/>
  <c r="T192" i="15"/>
  <c r="T191" i="15"/>
  <c r="T190" i="15"/>
  <c r="U194" i="15"/>
  <c r="U193" i="15"/>
  <c r="U192" i="15"/>
  <c r="U191" i="15"/>
  <c r="U190" i="15"/>
  <c r="T194" i="15"/>
  <c r="T193" i="15"/>
  <c r="S194" i="15"/>
  <c r="S193" i="15"/>
  <c r="S192" i="15"/>
  <c r="S191" i="15"/>
  <c r="S190" i="15"/>
  <c r="R194" i="15"/>
  <c r="R193" i="15"/>
  <c r="R192" i="15"/>
  <c r="R191" i="15"/>
  <c r="R190" i="15"/>
  <c r="Q194" i="15"/>
  <c r="Q193" i="15"/>
  <c r="Q192" i="15"/>
  <c r="Q191" i="15"/>
  <c r="Q190" i="15"/>
  <c r="P194" i="15"/>
  <c r="P193" i="15"/>
  <c r="P192" i="15"/>
  <c r="P191" i="15"/>
  <c r="P190" i="15"/>
  <c r="L194" i="15"/>
  <c r="L193" i="15"/>
  <c r="L192" i="15"/>
  <c r="L191" i="15"/>
  <c r="L190" i="15"/>
  <c r="K194" i="15"/>
  <c r="K193" i="15"/>
  <c r="K192" i="15"/>
  <c r="K191" i="15"/>
  <c r="K190" i="15"/>
  <c r="J194" i="15"/>
  <c r="J193" i="15"/>
  <c r="J192" i="15"/>
  <c r="J191" i="15"/>
  <c r="I194" i="15"/>
  <c r="I193" i="15"/>
  <c r="I192" i="15"/>
  <c r="I191" i="15"/>
  <c r="H194" i="15"/>
  <c r="H193" i="15"/>
  <c r="H192" i="15"/>
  <c r="H191" i="15"/>
  <c r="H190" i="15"/>
  <c r="Q172" i="15"/>
  <c r="O194" i="15"/>
  <c r="P172" i="15"/>
  <c r="N194" i="15"/>
  <c r="O172" i="15"/>
  <c r="M194" i="15"/>
  <c r="Q162" i="15"/>
  <c r="O193" i="15"/>
  <c r="P162" i="15"/>
  <c r="N193" i="15"/>
  <c r="O162" i="15"/>
  <c r="M193" i="15"/>
  <c r="Q151" i="15"/>
  <c r="O192" i="15"/>
  <c r="P151" i="15"/>
  <c r="N192" i="15"/>
  <c r="O151" i="15"/>
  <c r="M192" i="15"/>
  <c r="Q140" i="15"/>
  <c r="O191" i="15"/>
  <c r="P140" i="15"/>
  <c r="N191" i="15"/>
  <c r="O140" i="15"/>
  <c r="M191" i="15"/>
  <c r="Q129" i="15"/>
  <c r="O190" i="15"/>
  <c r="P129" i="15"/>
  <c r="N190" i="15"/>
  <c r="O129" i="15"/>
  <c r="M190" i="15"/>
  <c r="E11" i="28"/>
  <c r="C11" i="28"/>
  <c r="E10" i="28"/>
  <c r="C10" i="28"/>
  <c r="D11" i="28"/>
  <c r="D10" i="28"/>
  <c r="G65" i="8"/>
  <c r="E35" i="34"/>
  <c r="E64" i="8"/>
  <c r="D34" i="34"/>
  <c r="J28" i="8"/>
  <c r="I65" i="8"/>
  <c r="F35" i="34"/>
  <c r="E29" i="8"/>
  <c r="G28" i="8"/>
  <c r="I64" i="8"/>
  <c r="F34" i="34"/>
  <c r="H29" i="8"/>
  <c r="J190" i="15"/>
  <c r="E28" i="8"/>
  <c r="E65" i="8"/>
  <c r="D35" i="34"/>
  <c r="G64" i="8"/>
  <c r="E34" i="34"/>
  <c r="J29" i="8"/>
  <c r="I190" i="15"/>
  <c r="C28" i="8"/>
  <c r="L74" i="8"/>
  <c r="Q30" i="15"/>
  <c r="Q90" i="15"/>
  <c r="P93" i="15"/>
  <c r="P90" i="15"/>
  <c r="N93" i="15"/>
  <c r="H25" i="8"/>
  <c r="B59" i="8"/>
  <c r="Q93" i="15"/>
  <c r="O93" i="15"/>
  <c r="N90" i="15"/>
  <c r="H23" i="8"/>
  <c r="B57" i="8"/>
  <c r="M90" i="15"/>
  <c r="O90" i="15"/>
  <c r="M92" i="15"/>
  <c r="N92" i="15"/>
  <c r="H24" i="8"/>
  <c r="B58" i="8"/>
  <c r="Q92" i="15"/>
  <c r="Q35" i="15"/>
  <c r="Q36" i="15"/>
  <c r="P35" i="15"/>
  <c r="L35" i="15"/>
  <c r="N35" i="15"/>
  <c r="K35" i="15"/>
  <c r="M35" i="15"/>
  <c r="I36" i="15"/>
  <c r="H36" i="15"/>
  <c r="I35" i="15"/>
  <c r="H35" i="15"/>
  <c r="O35" i="15"/>
  <c r="O92" i="15"/>
  <c r="C21" i="25"/>
  <c r="Q90" i="8"/>
  <c r="Q91" i="8"/>
  <c r="Q92" i="8"/>
  <c r="Q93" i="8"/>
  <c r="Q89" i="8"/>
  <c r="H32" i="15"/>
  <c r="H33" i="15"/>
  <c r="H34" i="15"/>
  <c r="H31" i="15"/>
  <c r="Q34" i="15"/>
  <c r="Q33" i="15"/>
  <c r="Q32" i="15"/>
  <c r="Q31" i="15"/>
  <c r="I32" i="15"/>
  <c r="I33" i="15"/>
  <c r="I34" i="15"/>
  <c r="I31" i="15"/>
  <c r="B21" i="25"/>
  <c r="D21" i="25"/>
  <c r="Q87" i="8"/>
  <c r="A168" i="18"/>
  <c r="A167" i="18"/>
  <c r="E167" i="18"/>
  <c r="E6" i="28"/>
  <c r="D14" i="8"/>
  <c r="F77" i="8"/>
  <c r="E34" i="8"/>
  <c r="C56" i="34"/>
  <c r="C37" i="8"/>
  <c r="D58" i="34"/>
  <c r="D37" i="8"/>
  <c r="D60" i="18"/>
  <c r="E37" i="8"/>
  <c r="D60" i="34"/>
  <c r="F37" i="8"/>
  <c r="D62" i="18"/>
  <c r="G37" i="8"/>
  <c r="D62" i="34"/>
  <c r="I59" i="8"/>
  <c r="J59" i="8"/>
  <c r="B113" i="8"/>
  <c r="D48" i="8"/>
  <c r="E48" i="8"/>
  <c r="M91" i="15"/>
  <c r="M89" i="15"/>
  <c r="M88" i="15"/>
  <c r="M87" i="15"/>
  <c r="M86" i="15"/>
  <c r="M85" i="15"/>
  <c r="M84" i="15"/>
  <c r="M83" i="15"/>
  <c r="M82" i="15"/>
  <c r="M81" i="15"/>
  <c r="M80" i="15"/>
  <c r="M79" i="15"/>
  <c r="M78" i="15"/>
  <c r="M77" i="15"/>
  <c r="M76" i="15"/>
  <c r="M75" i="15"/>
  <c r="M74" i="15"/>
  <c r="M73" i="15"/>
  <c r="M72" i="15"/>
  <c r="M71" i="15"/>
  <c r="M70" i="15"/>
  <c r="M69" i="15"/>
  <c r="M68" i="15"/>
  <c r="M67" i="15"/>
  <c r="M66" i="15"/>
  <c r="M65" i="15"/>
  <c r="M64" i="15"/>
  <c r="M63" i="15"/>
  <c r="M62" i="15"/>
  <c r="M61" i="15"/>
  <c r="M60" i="15"/>
  <c r="M59" i="15"/>
  <c r="M58" i="15"/>
  <c r="M57" i="15"/>
  <c r="M40" i="15"/>
  <c r="M41" i="15"/>
  <c r="M42" i="15"/>
  <c r="M43" i="15"/>
  <c r="M44" i="15"/>
  <c r="M45" i="15"/>
  <c r="M46" i="15"/>
  <c r="M47" i="15"/>
  <c r="M48" i="15"/>
  <c r="M49" i="15"/>
  <c r="M50" i="15"/>
  <c r="M51" i="15"/>
  <c r="M52" i="15"/>
  <c r="M53" i="15"/>
  <c r="M54" i="15"/>
  <c r="M55" i="15"/>
  <c r="M56" i="15"/>
  <c r="M31" i="15"/>
  <c r="H116" i="8"/>
  <c r="F120" i="8"/>
  <c r="M119" i="8"/>
  <c r="E168" i="18"/>
  <c r="N55" i="8"/>
  <c r="I188" i="15"/>
  <c r="J188" i="15"/>
  <c r="C98" i="18"/>
  <c r="C97" i="18"/>
  <c r="C96" i="18"/>
  <c r="C95" i="18"/>
  <c r="C94" i="18"/>
  <c r="E86" i="18"/>
  <c r="D86" i="18"/>
  <c r="C86" i="18"/>
  <c r="A86" i="18"/>
  <c r="E85" i="18"/>
  <c r="D85" i="18"/>
  <c r="C85" i="18"/>
  <c r="A85" i="18"/>
  <c r="E84" i="18"/>
  <c r="D84" i="18"/>
  <c r="C84" i="18"/>
  <c r="A84" i="18"/>
  <c r="E83" i="18"/>
  <c r="D83" i="18"/>
  <c r="C83" i="18"/>
  <c r="A83" i="18"/>
  <c r="E82" i="18"/>
  <c r="D82" i="18"/>
  <c r="C82" i="18"/>
  <c r="A82" i="18"/>
  <c r="E81" i="18"/>
  <c r="D81" i="18"/>
  <c r="C81" i="18"/>
  <c r="A81" i="18"/>
  <c r="E80" i="18"/>
  <c r="D80" i="18"/>
  <c r="C80" i="18"/>
  <c r="A80" i="18"/>
  <c r="E79" i="18"/>
  <c r="D79" i="18"/>
  <c r="C79" i="18"/>
  <c r="A79" i="18"/>
  <c r="E78" i="18"/>
  <c r="D78" i="18"/>
  <c r="C78" i="18"/>
  <c r="A78" i="18"/>
  <c r="E77" i="18"/>
  <c r="D77" i="18"/>
  <c r="C77" i="18"/>
  <c r="A77" i="18"/>
  <c r="A75" i="18"/>
  <c r="C63" i="18"/>
  <c r="A63" i="18"/>
  <c r="C62" i="18"/>
  <c r="A62" i="18"/>
  <c r="C61" i="18"/>
  <c r="A61" i="18"/>
  <c r="C60" i="18"/>
  <c r="A60" i="18"/>
  <c r="C59" i="18"/>
  <c r="A59" i="18"/>
  <c r="C58" i="18"/>
  <c r="A58" i="18"/>
  <c r="D57" i="18"/>
  <c r="A57" i="18"/>
  <c r="Q57" i="15"/>
  <c r="I6" i="8"/>
  <c r="G3" i="34"/>
  <c r="F6" i="8"/>
  <c r="G10" i="34"/>
  <c r="Q76" i="15"/>
  <c r="Q77" i="15"/>
  <c r="Q78" i="15"/>
  <c r="Q79" i="15"/>
  <c r="Q80" i="15"/>
  <c r="Q81" i="15"/>
  <c r="Q82" i="15"/>
  <c r="Q83" i="15"/>
  <c r="Q84" i="15"/>
  <c r="Q85" i="15"/>
  <c r="Q86" i="15"/>
  <c r="Q87" i="15"/>
  <c r="Q88" i="15"/>
  <c r="Q89" i="15"/>
  <c r="Q91" i="15"/>
  <c r="Q75" i="15"/>
  <c r="Q40" i="15"/>
  <c r="Q44" i="15"/>
  <c r="Q45" i="15"/>
  <c r="Q46" i="15"/>
  <c r="Q47" i="15"/>
  <c r="Q48" i="15"/>
  <c r="Q49" i="15"/>
  <c r="Q50" i="15"/>
  <c r="Q51" i="15"/>
  <c r="Q52" i="15"/>
  <c r="Q53" i="15"/>
  <c r="Q54" i="15"/>
  <c r="Q55" i="15"/>
  <c r="Q56" i="15"/>
  <c r="Q42" i="15"/>
  <c r="Q43" i="15"/>
  <c r="Q41" i="15"/>
  <c r="B6" i="8"/>
  <c r="D8" i="34"/>
  <c r="H6" i="8"/>
  <c r="D7" i="34"/>
  <c r="G6" i="8"/>
  <c r="D6" i="34"/>
  <c r="E6" i="8"/>
  <c r="A24" i="34"/>
  <c r="D6" i="8"/>
  <c r="D26" i="34"/>
  <c r="C6" i="8"/>
  <c r="D10" i="34"/>
  <c r="I13" i="8"/>
  <c r="D47" i="34"/>
  <c r="I12" i="8"/>
  <c r="D46" i="34"/>
  <c r="I11" i="8"/>
  <c r="D44" i="34"/>
  <c r="I10" i="8"/>
  <c r="I9" i="8"/>
  <c r="N41" i="15"/>
  <c r="O41" i="15"/>
  <c r="N42" i="15"/>
  <c r="O42" i="15"/>
  <c r="N43" i="15"/>
  <c r="O43" i="15"/>
  <c r="N44" i="15"/>
  <c r="N45" i="15"/>
  <c r="O45" i="15"/>
  <c r="N46" i="15"/>
  <c r="O46" i="15"/>
  <c r="N47" i="15"/>
  <c r="O47" i="15"/>
  <c r="N48" i="15"/>
  <c r="N49" i="15"/>
  <c r="O49" i="15"/>
  <c r="N50" i="15"/>
  <c r="O50" i="15"/>
  <c r="N51" i="15"/>
  <c r="O51" i="15"/>
  <c r="N52" i="15"/>
  <c r="N53" i="15"/>
  <c r="O53" i="15"/>
  <c r="N54" i="15"/>
  <c r="O54" i="15"/>
  <c r="N55" i="15"/>
  <c r="O55" i="15"/>
  <c r="N56" i="15"/>
  <c r="N57" i="15"/>
  <c r="O57" i="15"/>
  <c r="N58" i="15"/>
  <c r="N59" i="15"/>
  <c r="N60" i="15"/>
  <c r="N61" i="15"/>
  <c r="N62" i="15"/>
  <c r="N63" i="15"/>
  <c r="N64" i="15"/>
  <c r="N65" i="15"/>
  <c r="N66" i="15"/>
  <c r="N67" i="15"/>
  <c r="N68" i="15"/>
  <c r="N69" i="15"/>
  <c r="N70" i="15"/>
  <c r="N71" i="15"/>
  <c r="N72" i="15"/>
  <c r="N73" i="15"/>
  <c r="O73" i="15"/>
  <c r="N74" i="15"/>
  <c r="O74" i="15"/>
  <c r="N75" i="15"/>
  <c r="N76" i="15"/>
  <c r="N77" i="15"/>
  <c r="N78" i="15"/>
  <c r="N79" i="15"/>
  <c r="N80" i="15"/>
  <c r="N81" i="15"/>
  <c r="N82" i="15"/>
  <c r="N83" i="15"/>
  <c r="N84" i="15"/>
  <c r="N85" i="15"/>
  <c r="N86" i="15"/>
  <c r="N87" i="15"/>
  <c r="N88" i="15"/>
  <c r="N89" i="15"/>
  <c r="N91" i="15"/>
  <c r="N40" i="15"/>
  <c r="O40" i="15"/>
  <c r="N31" i="15"/>
  <c r="E26" i="8"/>
  <c r="B26" i="8"/>
  <c r="D15" i="8"/>
  <c r="D21" i="34"/>
  <c r="D12" i="8"/>
  <c r="D18" i="34"/>
  <c r="D13" i="8"/>
  <c r="D19" i="34"/>
  <c r="D11" i="8"/>
  <c r="D16" i="34"/>
  <c r="D10" i="8"/>
  <c r="D17" i="34"/>
  <c r="D9" i="8"/>
  <c r="D15" i="34"/>
  <c r="R76" i="15"/>
  <c r="R77" i="15"/>
  <c r="R78" i="15"/>
  <c r="R58" i="15"/>
  <c r="R59" i="15"/>
  <c r="R60" i="15"/>
  <c r="R61" i="15"/>
  <c r="R62" i="15"/>
  <c r="R63" i="15"/>
  <c r="R64" i="15"/>
  <c r="R65" i="15"/>
  <c r="R66" i="15"/>
  <c r="R67" i="15"/>
  <c r="R68" i="15"/>
  <c r="R69" i="15"/>
  <c r="R70" i="15"/>
  <c r="R71" i="15"/>
  <c r="R72" i="15"/>
  <c r="R41" i="15"/>
  <c r="R42" i="15"/>
  <c r="R43" i="15"/>
  <c r="R44" i="15"/>
  <c r="R45" i="15"/>
  <c r="R46" i="15"/>
  <c r="R47" i="15"/>
  <c r="R48" i="15"/>
  <c r="R49" i="15"/>
  <c r="R50" i="15"/>
  <c r="R51" i="15"/>
  <c r="R52" i="15"/>
  <c r="R53" i="15"/>
  <c r="R54" i="15"/>
  <c r="R55" i="15"/>
  <c r="R56" i="15"/>
  <c r="J89" i="8"/>
  <c r="I89" i="8"/>
  <c r="H89" i="8"/>
  <c r="G89" i="8"/>
  <c r="F89" i="8"/>
  <c r="I58" i="8"/>
  <c r="J58" i="8"/>
  <c r="B112" i="8"/>
  <c r="I57" i="8"/>
  <c r="J57" i="8"/>
  <c r="B111" i="8"/>
  <c r="I56" i="8"/>
  <c r="J56" i="8"/>
  <c r="B110" i="8"/>
  <c r="D50" i="8"/>
  <c r="E50" i="8"/>
  <c r="C50" i="8"/>
  <c r="D49" i="8"/>
  <c r="E49" i="8"/>
  <c r="C49" i="8"/>
  <c r="C48" i="8"/>
  <c r="A46" i="8"/>
  <c r="E75" i="18"/>
  <c r="A45" i="8"/>
  <c r="D74" i="34"/>
  <c r="A44" i="8"/>
  <c r="C75" i="18"/>
  <c r="C26" i="8"/>
  <c r="O31" i="15"/>
  <c r="O56" i="15"/>
  <c r="O52" i="15"/>
  <c r="O48" i="15"/>
  <c r="O44" i="15"/>
  <c r="O76" i="15"/>
  <c r="O77" i="15"/>
  <c r="O75" i="15"/>
  <c r="O78" i="15"/>
  <c r="O80" i="15"/>
  <c r="O84" i="15"/>
  <c r="O88" i="15"/>
  <c r="O81" i="15"/>
  <c r="O85" i="15"/>
  <c r="O89" i="15"/>
  <c r="O82" i="15"/>
  <c r="O86" i="15"/>
  <c r="O91" i="15"/>
  <c r="O79" i="15"/>
  <c r="O83" i="15"/>
  <c r="O87" i="15"/>
  <c r="O60" i="15"/>
  <c r="O64" i="15"/>
  <c r="O68" i="15"/>
  <c r="O72" i="15"/>
  <c r="O61" i="15"/>
  <c r="O65" i="15"/>
  <c r="O69" i="15"/>
  <c r="O58" i="15"/>
  <c r="O62" i="15"/>
  <c r="O66" i="15"/>
  <c r="O70" i="15"/>
  <c r="O59" i="15"/>
  <c r="O63" i="15"/>
  <c r="O67" i="15"/>
  <c r="O71" i="15"/>
  <c r="R79" i="15"/>
  <c r="R80" i="15"/>
  <c r="R81" i="15"/>
  <c r="R82" i="15"/>
  <c r="R83" i="15"/>
  <c r="R84" i="15"/>
  <c r="D38" i="8"/>
  <c r="R85" i="15"/>
  <c r="R86" i="15"/>
  <c r="R87" i="15"/>
  <c r="R88" i="15"/>
  <c r="R94" i="15"/>
  <c r="D26" i="8"/>
  <c r="R89" i="15"/>
  <c r="R90" i="15"/>
  <c r="G81" i="8"/>
  <c r="R91" i="15"/>
  <c r="R92" i="15"/>
  <c r="R93" i="15"/>
  <c r="C38" i="8"/>
  <c r="G38" i="8"/>
  <c r="D45" i="18"/>
  <c r="D48" i="18"/>
  <c r="J80" i="8"/>
  <c r="G80" i="8"/>
  <c r="E35" i="18"/>
  <c r="D35" i="18"/>
  <c r="F48" i="8"/>
  <c r="I74" i="8"/>
  <c r="D17" i="18"/>
  <c r="G3" i="18"/>
  <c r="G71" i="18"/>
  <c r="E74" i="34"/>
  <c r="H80" i="8"/>
  <c r="H83" i="8"/>
  <c r="D61" i="18"/>
  <c r="D16" i="18"/>
  <c r="D48" i="34"/>
  <c r="E38" i="8"/>
  <c r="D6" i="18"/>
  <c r="I70" i="8"/>
  <c r="N131" i="8"/>
  <c r="R132" i="8"/>
  <c r="U132" i="8"/>
  <c r="G76" i="8"/>
  <c r="F76" i="8"/>
  <c r="D20" i="18"/>
  <c r="B50" i="8"/>
  <c r="J76" i="8"/>
  <c r="D59" i="18"/>
  <c r="G40" i="18"/>
  <c r="B49" i="8"/>
  <c r="D15" i="18"/>
  <c r="D8" i="18"/>
  <c r="K89" i="8"/>
  <c r="B30" i="25"/>
  <c r="C208" i="15"/>
  <c r="C209" i="15"/>
  <c r="F80" i="8"/>
  <c r="F83" i="8"/>
  <c r="F97" i="8"/>
  <c r="D18" i="18"/>
  <c r="D20" i="34"/>
  <c r="D26" i="18"/>
  <c r="E36" i="18"/>
  <c r="D36" i="18"/>
  <c r="H74" i="8"/>
  <c r="F74" i="8"/>
  <c r="D63" i="18"/>
  <c r="F38" i="8"/>
  <c r="C39" i="8"/>
  <c r="D64" i="18"/>
  <c r="D61" i="34"/>
  <c r="D59" i="34"/>
  <c r="F35" i="18"/>
  <c r="F36" i="18"/>
  <c r="B33" i="25"/>
  <c r="A104" i="34"/>
  <c r="A97" i="18"/>
  <c r="B9" i="25"/>
  <c r="A105" i="18"/>
  <c r="E10" i="30"/>
  <c r="I80" i="8"/>
  <c r="I83" i="8"/>
  <c r="I97" i="8"/>
  <c r="D75" i="18"/>
  <c r="B48" i="8"/>
  <c r="C74" i="34"/>
  <c r="C57" i="18"/>
  <c r="G34" i="8"/>
  <c r="D19" i="18"/>
  <c r="H76" i="8"/>
  <c r="D21" i="18"/>
  <c r="G77" i="8"/>
  <c r="I77" i="8"/>
  <c r="J77" i="8"/>
  <c r="H77" i="8"/>
  <c r="I76" i="8"/>
  <c r="D47" i="18"/>
  <c r="G39" i="34"/>
  <c r="G109" i="34"/>
  <c r="G70" i="34"/>
  <c r="G144" i="34"/>
  <c r="D10" i="18"/>
  <c r="D7" i="18"/>
  <c r="G10" i="18"/>
  <c r="A24" i="18"/>
  <c r="A8" i="28"/>
  <c r="G83" i="8"/>
  <c r="G97" i="8"/>
  <c r="R133" i="8"/>
  <c r="U133" i="8"/>
  <c r="D59" i="8"/>
  <c r="D97" i="34"/>
  <c r="K59" i="8"/>
  <c r="M93" i="8"/>
  <c r="C106" i="18"/>
  <c r="N129" i="8"/>
  <c r="R130" i="8"/>
  <c r="U130" i="8"/>
  <c r="J70" i="8"/>
  <c r="K93" i="8"/>
  <c r="R129" i="8"/>
  <c r="U129" i="8"/>
  <c r="K90" i="8"/>
  <c r="B31" i="25"/>
  <c r="C206" i="15"/>
  <c r="F70" i="8"/>
  <c r="E56" i="8"/>
  <c r="D94" i="34"/>
  <c r="D95" i="18"/>
  <c r="K57" i="8"/>
  <c r="D57" i="8"/>
  <c r="K56" i="8"/>
  <c r="K91" i="8"/>
  <c r="A96" i="34"/>
  <c r="H70" i="8"/>
  <c r="N130" i="8"/>
  <c r="R131" i="8"/>
  <c r="U131" i="8"/>
  <c r="D94" i="18"/>
  <c r="E55" i="8"/>
  <c r="D93" i="34"/>
  <c r="K58" i="8"/>
  <c r="D58" i="8"/>
  <c r="J83" i="8"/>
  <c r="K55" i="8"/>
  <c r="J74" i="8"/>
  <c r="G74" i="8"/>
  <c r="C119" i="8"/>
  <c r="G145" i="18"/>
  <c r="G110" i="18"/>
  <c r="C121" i="8"/>
  <c r="E7" i="30"/>
  <c r="A101" i="34"/>
  <c r="L59" i="8"/>
  <c r="L93" i="8"/>
  <c r="C113" i="8"/>
  <c r="H73" i="8"/>
  <c r="H78" i="8"/>
  <c r="H92" i="8"/>
  <c r="B6" i="25"/>
  <c r="A102" i="18"/>
  <c r="A93" i="34"/>
  <c r="A94" i="18"/>
  <c r="C120" i="8"/>
  <c r="F73" i="8"/>
  <c r="F78" i="8"/>
  <c r="F92" i="8"/>
  <c r="J73" i="8"/>
  <c r="D63" i="34"/>
  <c r="I73" i="8"/>
  <c r="I78" i="8"/>
  <c r="I92" i="8"/>
  <c r="G73" i="8"/>
  <c r="G78" i="8"/>
  <c r="G92" i="8"/>
  <c r="R134" i="8"/>
  <c r="V129" i="8"/>
  <c r="E59" i="8"/>
  <c r="U134" i="8"/>
  <c r="A94" i="34"/>
  <c r="A95" i="18"/>
  <c r="E8" i="30"/>
  <c r="A103" i="18"/>
  <c r="B7" i="25"/>
  <c r="C105" i="34"/>
  <c r="A102" i="34"/>
  <c r="D98" i="18"/>
  <c r="B34" i="25"/>
  <c r="A105" i="34"/>
  <c r="B10" i="25"/>
  <c r="A97" i="34"/>
  <c r="E11" i="30"/>
  <c r="A106" i="18"/>
  <c r="A98" i="18"/>
  <c r="E9" i="30"/>
  <c r="A103" i="34"/>
  <c r="B8" i="25"/>
  <c r="A104" i="18"/>
  <c r="A95" i="34"/>
  <c r="B32" i="25"/>
  <c r="A96" i="18"/>
  <c r="M91" i="8"/>
  <c r="L57" i="8"/>
  <c r="L91" i="8"/>
  <c r="C111" i="8"/>
  <c r="L56" i="8"/>
  <c r="L90" i="8"/>
  <c r="C110" i="8"/>
  <c r="M90" i="8"/>
  <c r="D95" i="34"/>
  <c r="D96" i="18"/>
  <c r="E57" i="8"/>
  <c r="D96" i="34"/>
  <c r="D97" i="18"/>
  <c r="E58" i="8"/>
  <c r="L58" i="8"/>
  <c r="L92" i="8"/>
  <c r="C112" i="8"/>
  <c r="M92" i="8"/>
  <c r="H97" i="8"/>
  <c r="C34" i="25"/>
  <c r="C10" i="25"/>
  <c r="F11" i="30"/>
  <c r="L11" i="30"/>
  <c r="J97" i="8"/>
  <c r="M89" i="8"/>
  <c r="L55" i="8"/>
  <c r="L89" i="8"/>
  <c r="C109" i="8"/>
  <c r="N77" i="8"/>
  <c r="N75" i="8"/>
  <c r="N82" i="8"/>
  <c r="N81" i="8"/>
  <c r="N74" i="8"/>
  <c r="N76" i="8"/>
  <c r="J78" i="8"/>
  <c r="J92" i="8"/>
  <c r="F85" i="8"/>
  <c r="F99" i="8"/>
  <c r="F101" i="8"/>
  <c r="N73" i="8"/>
  <c r="N80" i="8"/>
  <c r="G85" i="8"/>
  <c r="D110" i="8"/>
  <c r="E110" i="8"/>
  <c r="G110" i="8"/>
  <c r="I85" i="8"/>
  <c r="D112" i="8"/>
  <c r="E112" i="8"/>
  <c r="G112" i="8"/>
  <c r="H85" i="8"/>
  <c r="D111" i="8"/>
  <c r="E111" i="8"/>
  <c r="G111" i="8"/>
  <c r="C104" i="18"/>
  <c r="C103" i="34"/>
  <c r="C102" i="34"/>
  <c r="C103" i="18"/>
  <c r="C104" i="34"/>
  <c r="C105" i="18"/>
  <c r="C101" i="34"/>
  <c r="C102" i="18"/>
  <c r="M97" i="8"/>
  <c r="N97" i="8"/>
  <c r="N90" i="8"/>
  <c r="O90" i="8"/>
  <c r="D103" i="18"/>
  <c r="J85" i="8"/>
  <c r="M82" i="8"/>
  <c r="D109" i="8"/>
  <c r="E109" i="8"/>
  <c r="G109" i="8"/>
  <c r="F110" i="8"/>
  <c r="F111" i="8"/>
  <c r="H99" i="8"/>
  <c r="H101" i="8"/>
  <c r="H104" i="8"/>
  <c r="I99" i="8"/>
  <c r="I101" i="8"/>
  <c r="I104" i="8"/>
  <c r="F112" i="8"/>
  <c r="G99" i="8"/>
  <c r="G101" i="8"/>
  <c r="G104" i="8"/>
  <c r="M81" i="8"/>
  <c r="M73" i="8"/>
  <c r="C32" i="25"/>
  <c r="C8" i="25"/>
  <c r="F9" i="30"/>
  <c r="L9" i="30"/>
  <c r="C31" i="25"/>
  <c r="C7" i="25"/>
  <c r="F8" i="30"/>
  <c r="L8" i="30"/>
  <c r="C9" i="25"/>
  <c r="C33" i="25"/>
  <c r="F10" i="30"/>
  <c r="L10" i="30"/>
  <c r="F104" i="8"/>
  <c r="C30" i="25"/>
  <c r="F7" i="30"/>
  <c r="L7" i="30"/>
  <c r="C6" i="25"/>
  <c r="M80" i="8"/>
  <c r="J99" i="8"/>
  <c r="J101" i="8"/>
  <c r="J104" i="8"/>
  <c r="M76" i="8"/>
  <c r="M74" i="8"/>
  <c r="D113" i="8"/>
  <c r="E113" i="8"/>
  <c r="G113" i="8"/>
  <c r="G114" i="8"/>
  <c r="C118" i="8"/>
  <c r="N93" i="8"/>
  <c r="O93" i="8"/>
  <c r="D105" i="34"/>
  <c r="N92" i="8"/>
  <c r="O92" i="8"/>
  <c r="D105" i="18"/>
  <c r="G10" i="30"/>
  <c r="M10" i="30"/>
  <c r="J10" i="30"/>
  <c r="K10" i="30"/>
  <c r="N10" i="30"/>
  <c r="N89" i="8"/>
  <c r="O89" i="8"/>
  <c r="D101" i="34"/>
  <c r="N91" i="8"/>
  <c r="P91" i="8"/>
  <c r="M77" i="8"/>
  <c r="M75" i="8"/>
  <c r="F109" i="8"/>
  <c r="D102" i="34"/>
  <c r="P93" i="8"/>
  <c r="P90" i="8"/>
  <c r="G8" i="30"/>
  <c r="M8" i="30"/>
  <c r="J8" i="30"/>
  <c r="D31" i="25"/>
  <c r="E31" i="25"/>
  <c r="D7" i="25"/>
  <c r="E7" i="25"/>
  <c r="F113" i="8"/>
  <c r="D106" i="18"/>
  <c r="G11" i="30"/>
  <c r="M11" i="30"/>
  <c r="J11" i="30"/>
  <c r="M83" i="8"/>
  <c r="F121" i="8"/>
  <c r="K99" i="8"/>
  <c r="P89" i="8"/>
  <c r="D102" i="18"/>
  <c r="D6" i="25"/>
  <c r="E6" i="25"/>
  <c r="F114" i="8"/>
  <c r="C116" i="8"/>
  <c r="H112" i="8"/>
  <c r="D104" i="34"/>
  <c r="O91" i="8"/>
  <c r="P92" i="8"/>
  <c r="D33" i="25"/>
  <c r="E33" i="25"/>
  <c r="D9" i="25"/>
  <c r="E9" i="25"/>
  <c r="D34" i="25"/>
  <c r="E34" i="25"/>
  <c r="D10" i="25"/>
  <c r="E10" i="25"/>
  <c r="E104" i="34"/>
  <c r="E105" i="18"/>
  <c r="K8" i="30"/>
  <c r="N8" i="30"/>
  <c r="H111" i="8"/>
  <c r="H109" i="8"/>
  <c r="D30" i="25"/>
  <c r="E30" i="25"/>
  <c r="H110" i="8"/>
  <c r="F140" i="8"/>
  <c r="F141" i="8"/>
  <c r="G7" i="30"/>
  <c r="M7" i="30"/>
  <c r="J7" i="30"/>
  <c r="K7" i="30"/>
  <c r="N7" i="30"/>
  <c r="E102" i="18"/>
  <c r="H113" i="8"/>
  <c r="C117" i="8"/>
  <c r="I111" i="8"/>
  <c r="K111" i="8"/>
  <c r="O130" i="8"/>
  <c r="S131" i="8"/>
  <c r="T131" i="8"/>
  <c r="D104" i="18"/>
  <c r="D103" i="34"/>
  <c r="K11" i="30"/>
  <c r="N11" i="30"/>
  <c r="E102" i="34"/>
  <c r="E103" i="18"/>
  <c r="H114" i="8"/>
  <c r="F118" i="8"/>
  <c r="K119" i="8"/>
  <c r="K120" i="8"/>
  <c r="I110" i="8"/>
  <c r="K110" i="8"/>
  <c r="O129" i="8"/>
  <c r="S130" i="8"/>
  <c r="T130" i="8"/>
  <c r="I112" i="8"/>
  <c r="J112" i="8"/>
  <c r="E135" i="8"/>
  <c r="E101" i="34"/>
  <c r="J111" i="8"/>
  <c r="G135" i="8"/>
  <c r="I109" i="8"/>
  <c r="K109" i="8"/>
  <c r="O128" i="8"/>
  <c r="S129" i="8"/>
  <c r="T129" i="8"/>
  <c r="I113" i="8"/>
  <c r="J113" i="8"/>
  <c r="D32" i="25"/>
  <c r="E32" i="25"/>
  <c r="D8" i="25"/>
  <c r="E8" i="25"/>
  <c r="G9" i="30"/>
  <c r="M9" i="30"/>
  <c r="J9" i="30"/>
  <c r="K9" i="30"/>
  <c r="N9" i="30"/>
  <c r="E106" i="18"/>
  <c r="E105" i="34"/>
  <c r="J110" i="8"/>
  <c r="K112" i="8"/>
  <c r="O131" i="8"/>
  <c r="S132" i="8"/>
  <c r="T132" i="8"/>
  <c r="J109" i="8"/>
  <c r="K113" i="8"/>
  <c r="O132" i="8"/>
  <c r="I114" i="8"/>
  <c r="E104" i="18"/>
  <c r="E103" i="34"/>
  <c r="F6" i="25"/>
  <c r="G6" i="25"/>
  <c r="F30" i="25"/>
  <c r="G30" i="25"/>
  <c r="D125" i="8"/>
  <c r="M140" i="8"/>
  <c r="M141" i="8"/>
  <c r="G44" i="25"/>
  <c r="H44" i="25"/>
  <c r="D124" i="8"/>
  <c r="H125" i="8"/>
  <c r="Y129" i="8"/>
  <c r="S133" i="8"/>
  <c r="X129" i="8"/>
  <c r="E136" i="8"/>
  <c r="G21" i="25"/>
  <c r="H21" i="25"/>
  <c r="J8" i="25"/>
  <c r="J7" i="25"/>
  <c r="J6" i="25"/>
  <c r="J9" i="25"/>
  <c r="O140" i="8"/>
  <c r="O141" i="8"/>
  <c r="H33" i="25"/>
  <c r="I33" i="25"/>
  <c r="J10" i="25"/>
  <c r="G136" i="8"/>
  <c r="L113" i="8"/>
  <c r="M113" i="8"/>
  <c r="S134" i="8"/>
  <c r="W129" i="8"/>
  <c r="T133" i="8"/>
  <c r="T134" i="8"/>
  <c r="L110" i="8"/>
  <c r="M110" i="8"/>
  <c r="H32" i="25"/>
  <c r="I32" i="25"/>
  <c r="H9" i="25"/>
  <c r="I9" i="25"/>
  <c r="H10" i="25"/>
  <c r="I10" i="25"/>
  <c r="D23" i="25"/>
  <c r="H34" i="25"/>
  <c r="I34" i="25"/>
  <c r="D46" i="25"/>
  <c r="H6" i="25"/>
  <c r="I6" i="25"/>
  <c r="H30" i="25"/>
  <c r="I30" i="25"/>
  <c r="H8" i="25"/>
  <c r="I8" i="25"/>
  <c r="L112" i="8"/>
  <c r="M112" i="8"/>
  <c r="L111" i="8"/>
  <c r="M111" i="8"/>
  <c r="L109" i="8"/>
  <c r="M109" i="8"/>
  <c r="H7" i="25"/>
  <c r="I7" i="25"/>
  <c r="H31" i="25"/>
  <c r="I31"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tc={5C34B39C-EAA2-487A-8A9D-B9A81BD5EEB0}</author>
  </authors>
  <commentList>
    <comment ref="C36" authorId="0" shapeId="0" xr:uid="{00000000-0006-0000-0000-000001000000}">
      <text>
        <r>
          <rPr>
            <sz val="9"/>
            <color indexed="81"/>
            <rFont val="Tahoma"/>
            <family val="2"/>
          </rPr>
          <t xml:space="preserve">TENER EN CUENTA LA CARGA MÁXIMA SEGÚN LA BALANZA A CALIBRAR
</t>
        </r>
      </text>
    </comment>
    <comment ref="H124"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agregado algebraicamente al resultado no corregido de una medición para compensar un error sistemático. Nota: la corrección es igual al error sistemático, con signo negativo.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EQUIPO01</author>
    <author>Elvis Aguirre Romero</author>
    <author>STIVINSON</author>
  </authors>
  <commentList>
    <comment ref="B37" authorId="0" shapeId="0" xr:uid="{00000000-0006-0000-0100-000001000000}">
      <text>
        <r>
          <rPr>
            <b/>
            <sz val="9"/>
            <color indexed="81"/>
            <rFont val="Tahoma"/>
            <family val="2"/>
          </rPr>
          <t>SIM MWG7/cg-01v.00, 
Ecuación 6.3.1</t>
        </r>
        <r>
          <rPr>
            <sz val="9"/>
            <color indexed="81"/>
            <rFont val="Tahoma"/>
            <family val="2"/>
          </rPr>
          <t xml:space="preserve">
</t>
        </r>
      </text>
    </comment>
    <comment ref="D47" authorId="0" shapeId="0" xr:uid="{00000000-0006-0000-0100-000002000000}">
      <text>
        <r>
          <rPr>
            <b/>
            <sz val="9"/>
            <color indexed="81"/>
            <rFont val="Tahoma"/>
            <family val="2"/>
          </rPr>
          <t xml:space="preserve">Ecuación </t>
        </r>
        <r>
          <rPr>
            <sz val="9"/>
            <color indexed="81"/>
            <rFont val="Tahoma"/>
            <family val="2"/>
          </rPr>
          <t>6.1-1
SIM MWG7/cg-01v.00</t>
        </r>
      </text>
    </comment>
    <comment ref="A73" authorId="1" shapeId="0" xr:uid="{00000000-0006-0000-0100-000003000000}">
      <text>
        <r>
          <rPr>
            <sz val="9"/>
            <color indexed="81"/>
            <rFont val="Tahoma"/>
            <family val="2"/>
          </rPr>
          <t>Ecuación 7.1.1-10
SIM MWG7/cg-01v.00.</t>
        </r>
      </text>
    </comment>
    <comment ref="A74" authorId="1" shapeId="0" xr:uid="{00000000-0006-0000-0100-000004000000}">
      <text>
        <r>
          <rPr>
            <sz val="9"/>
            <color indexed="81"/>
            <rFont val="Tahoma"/>
            <family val="2"/>
          </rPr>
          <t>Ecuación 7.1.1-5
SIM MWG7/cg-01v.00</t>
        </r>
      </text>
    </comment>
    <comment ref="A76" authorId="1" shapeId="0" xr:uid="{00000000-0006-0000-0100-000005000000}">
      <text>
        <r>
          <rPr>
            <sz val="9"/>
            <color indexed="81"/>
            <rFont val="Tahoma"/>
            <family val="2"/>
          </rPr>
          <t xml:space="preserve">Ecuación 7.1.1-3 a
SIM MWG7/cg-01v.00, </t>
        </r>
      </text>
    </comment>
    <comment ref="A77" authorId="1" shapeId="0" xr:uid="{00000000-0006-0000-0100-000006000000}">
      <text>
        <r>
          <rPr>
            <sz val="9"/>
            <color indexed="81"/>
            <rFont val="Tahoma"/>
            <family val="2"/>
          </rPr>
          <t xml:space="preserve">Ecuación 7.1.1-3 b
SIM MWG7/cg-01v.00
</t>
        </r>
      </text>
    </comment>
    <comment ref="A80" authorId="1" shapeId="0" xr:uid="{00000000-0006-0000-0100-000007000000}">
      <text>
        <r>
          <rPr>
            <sz val="9"/>
            <color indexed="81"/>
            <rFont val="Tahoma"/>
            <family val="2"/>
          </rPr>
          <t>Ecuación 7.1.2-2
SIM MWG7/cg-01v.00</t>
        </r>
      </text>
    </comment>
    <comment ref="A82" authorId="2" shapeId="0" xr:uid="{00000000-0006-0000-0100-000008000000}">
      <text>
        <r>
          <rPr>
            <sz val="9"/>
            <color indexed="81"/>
            <rFont val="Tahoma"/>
            <family val="2"/>
          </rPr>
          <t>Ecuación 7.1.2-11
SIM MWG7/cg-01v.00</t>
        </r>
      </text>
    </comment>
    <comment ref="C83" authorId="1" shapeId="0" xr:uid="{00000000-0006-0000-0100-000009000000}">
      <text>
        <r>
          <rPr>
            <sz val="9"/>
            <color indexed="81"/>
            <rFont val="Tahoma"/>
            <family val="2"/>
          </rPr>
          <t xml:space="preserve">Ecuación 7.1.2-14
SIM MWG7/cg-01v.00
</t>
        </r>
      </text>
    </comment>
    <comment ref="N87" authorId="1" shapeId="0" xr:uid="{00000000-0006-0000-0100-00000A000000}">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<sst xmlns="http://schemas.openxmlformats.org/spreadsheetml/2006/main" count="1228" uniqueCount="596">
  <si>
    <t>HOJA DE CÁLCULO PARA CALIBRACIÓN DE INSTRUMENTOS DE PESAJE 
DE FUNCIONAMIENTO NO AUTOMÁTICO - IPFNA</t>
  </si>
  <si>
    <t>Información</t>
  </si>
  <si>
    <t>No</t>
  </si>
  <si>
    <t>Ciudad</t>
  </si>
  <si>
    <t>Fecha de Recepción</t>
  </si>
  <si>
    <t>Solicitante</t>
  </si>
  <si>
    <t>Dirección del Solicitante</t>
  </si>
  <si>
    <t>Lugar y Dirección de Calibración</t>
  </si>
  <si>
    <t>Fecha de Calibración</t>
  </si>
  <si>
    <t>Código interno  (# de Radicado)</t>
  </si>
  <si>
    <t>N °  Certificado Adherido</t>
  </si>
  <si>
    <t>k</t>
  </si>
  <si>
    <t>Nivel de Confianza</t>
  </si>
  <si>
    <t>K</t>
  </si>
  <si>
    <t>INM</t>
  </si>
  <si>
    <t>Datos de la Balanza a Calibrar</t>
  </si>
  <si>
    <t>Fabricante</t>
  </si>
  <si>
    <t>Modelo</t>
  </si>
  <si>
    <t>Serial</t>
  </si>
  <si>
    <t>Carga Máx. (g)</t>
  </si>
  <si>
    <t>Carga Mín. (g)</t>
  </si>
  <si>
    <t xml:space="preserve">División de Escala (d)  (g)  </t>
  </si>
  <si>
    <t xml:space="preserve">Escalón de Verificación en  (g)  </t>
  </si>
  <si>
    <t>Código Interno</t>
  </si>
  <si>
    <t>0,1 - 8,2 kg</t>
  </si>
  <si>
    <t>Mettler Toledo</t>
  </si>
  <si>
    <t>0,01-8,2 kg</t>
  </si>
  <si>
    <t>0,1 12 kg</t>
  </si>
  <si>
    <t>Datos de las Pesas Patrón</t>
  </si>
  <si>
    <t>Pesas</t>
  </si>
  <si>
    <t>Clase</t>
  </si>
  <si>
    <t>Marcación</t>
  </si>
  <si>
    <t>Certificado Actual</t>
  </si>
  <si>
    <t>Fecha de calibración Actual</t>
  </si>
  <si>
    <t>Valor Nominal (g)</t>
  </si>
  <si>
    <t>Error (mg) Año Anterior</t>
  </si>
  <si>
    <t>Error (mg) Año Actual</t>
  </si>
  <si>
    <t>Masa Convencional Anterior (g)</t>
  </si>
  <si>
    <t>Masa Convencional Actual (g)</t>
  </si>
  <si>
    <t>Deriva  (mg)</t>
  </si>
  <si>
    <t>Incertidumbre de Calibración (mg)</t>
  </si>
  <si>
    <r>
      <t>Densidad del Aire kg/m</t>
    </r>
    <r>
      <rPr>
        <b/>
        <vertAlign val="superscript"/>
        <sz val="12"/>
        <rFont val="Arial"/>
        <family val="2"/>
      </rPr>
      <t>3</t>
    </r>
    <r>
      <rPr>
        <b/>
        <sz val="12"/>
        <rFont val="Arial"/>
        <family val="2"/>
      </rPr>
      <t xml:space="preserve"> Actual</t>
    </r>
  </si>
  <si>
    <t>Identificación Interna</t>
  </si>
  <si>
    <t>Calibrado por</t>
  </si>
  <si>
    <t>Factor de cobertura según certificado k=</t>
  </si>
  <si>
    <t>Carga para Excentricidad g</t>
  </si>
  <si>
    <t>Carga para Repetibilidad g</t>
  </si>
  <si>
    <t>Masa convencional actual (-) Masa convencional Anterior</t>
  </si>
  <si>
    <t>Juego Viajeras  
M-015</t>
  </si>
  <si>
    <t>M-015 RL.  5 g</t>
  </si>
  <si>
    <t>F1</t>
  </si>
  <si>
    <t>Rice Lake</t>
  </si>
  <si>
    <t>No porta</t>
  </si>
  <si>
    <t>M-015</t>
  </si>
  <si>
    <t>M-015 RL.  200 g</t>
  </si>
  <si>
    <t>M-015 RL.  1 kg</t>
  </si>
  <si>
    <t>M-015 RL.  2 kg</t>
  </si>
  <si>
    <t>M-015 RL.  5 kg</t>
  </si>
  <si>
    <t>M-015 RL.  6 kg</t>
  </si>
  <si>
    <t>M-015 RL.  8200 kg</t>
  </si>
  <si>
    <t xml:space="preserve">E2   1 g  </t>
  </si>
  <si>
    <t>E 2</t>
  </si>
  <si>
    <t>Sartorius</t>
  </si>
  <si>
    <t>AJS</t>
  </si>
  <si>
    <t>M-001</t>
  </si>
  <si>
    <t xml:space="preserve">INM </t>
  </si>
  <si>
    <t xml:space="preserve">E2   2 g  </t>
  </si>
  <si>
    <t>AKI</t>
  </si>
  <si>
    <t>E2   2 g AKJ</t>
  </si>
  <si>
    <t>AKJ</t>
  </si>
  <si>
    <t xml:space="preserve">E2   5 g  </t>
  </si>
  <si>
    <t>AGU</t>
  </si>
  <si>
    <t xml:space="preserve">E2   10 g  </t>
  </si>
  <si>
    <t>AH3</t>
  </si>
  <si>
    <t xml:space="preserve">E2   20 g  </t>
  </si>
  <si>
    <t>AJ1</t>
  </si>
  <si>
    <t>E2   20 g AKA</t>
  </si>
  <si>
    <t>AKA</t>
  </si>
  <si>
    <t xml:space="preserve">E2   50 g  </t>
  </si>
  <si>
    <t>AHL</t>
  </si>
  <si>
    <t xml:space="preserve">E2   100 g  </t>
  </si>
  <si>
    <t>AJG</t>
  </si>
  <si>
    <t xml:space="preserve">E2   200 g  </t>
  </si>
  <si>
    <t>ALZ</t>
  </si>
  <si>
    <t>E2   200 g ALW</t>
  </si>
  <si>
    <t>ALW</t>
  </si>
  <si>
    <t>N/A</t>
  </si>
  <si>
    <t xml:space="preserve">E2   500 g  </t>
  </si>
  <si>
    <t>ACT</t>
  </si>
  <si>
    <t xml:space="preserve">E2   1000 g  </t>
  </si>
  <si>
    <t>ABN</t>
  </si>
  <si>
    <t xml:space="preserve">E2   2000 g  </t>
  </si>
  <si>
    <t>AC1</t>
  </si>
  <si>
    <t>E2   2000 g ABY</t>
  </si>
  <si>
    <t>ABY</t>
  </si>
  <si>
    <t xml:space="preserve">E2   5000 g  </t>
  </si>
  <si>
    <t>AB9</t>
  </si>
  <si>
    <t>E2   10000 g</t>
  </si>
  <si>
    <t>AAM</t>
  </si>
  <si>
    <t xml:space="preserve">F1   1 g  </t>
  </si>
  <si>
    <t>F 1</t>
  </si>
  <si>
    <t>M-002</t>
  </si>
  <si>
    <t xml:space="preserve">F1   2 g  </t>
  </si>
  <si>
    <t>2*</t>
  </si>
  <si>
    <t xml:space="preserve">F1   2 g punto </t>
  </si>
  <si>
    <t xml:space="preserve">F1   5 g  </t>
  </si>
  <si>
    <t xml:space="preserve">F1   10 g  </t>
  </si>
  <si>
    <t xml:space="preserve">F1   20 g  </t>
  </si>
  <si>
    <t>20*</t>
  </si>
  <si>
    <t xml:space="preserve">F1   20 g punto </t>
  </si>
  <si>
    <t xml:space="preserve">F1   50 g  </t>
  </si>
  <si>
    <t xml:space="preserve">F1   100 g  </t>
  </si>
  <si>
    <t xml:space="preserve">F1   200 g  </t>
  </si>
  <si>
    <t>200*</t>
  </si>
  <si>
    <t xml:space="preserve">F1   200 g punto </t>
  </si>
  <si>
    <t xml:space="preserve">F1   500 g  </t>
  </si>
  <si>
    <t xml:space="preserve">F1   1000 g  </t>
  </si>
  <si>
    <t xml:space="preserve">F1   2000 g  </t>
  </si>
  <si>
    <t xml:space="preserve">F1   2000 g punto </t>
  </si>
  <si>
    <t xml:space="preserve">F1   5000 g  </t>
  </si>
  <si>
    <t>F1   10000 g</t>
  </si>
  <si>
    <t>M-003</t>
  </si>
  <si>
    <t>F1   20000 g</t>
  </si>
  <si>
    <t>M-004</t>
  </si>
  <si>
    <t>Juego viajeras
M-016</t>
  </si>
  <si>
    <t xml:space="preserve">M-016 RL.  1 g  </t>
  </si>
  <si>
    <t>No identificado</t>
  </si>
  <si>
    <t>M-016</t>
  </si>
  <si>
    <t xml:space="preserve">M-016 RL. 2 g  </t>
  </si>
  <si>
    <t xml:space="preserve">M-016 RL.  2 g punto </t>
  </si>
  <si>
    <t>punto</t>
  </si>
  <si>
    <t xml:space="preserve">M-016 RL.  5 g  </t>
  </si>
  <si>
    <t xml:space="preserve">M-016 RL.  10 g  </t>
  </si>
  <si>
    <t xml:space="preserve">M-016 RL.  20 g  </t>
  </si>
  <si>
    <t xml:space="preserve">M-016 RL. 20 g punto </t>
  </si>
  <si>
    <t xml:space="preserve">M-016 RL. 50 g  </t>
  </si>
  <si>
    <t xml:space="preserve">M-016 RL.  100 g  </t>
  </si>
  <si>
    <t xml:space="preserve">M-016 RL.  200 g  </t>
  </si>
  <si>
    <t xml:space="preserve">M-016 RL.  200 g punto </t>
  </si>
  <si>
    <t xml:space="preserve">M-016 RL.  500 g  </t>
  </si>
  <si>
    <t xml:space="preserve">M-016 RL.  1 000 g  </t>
  </si>
  <si>
    <t xml:space="preserve">M-016 RL.  2 000 g  </t>
  </si>
  <si>
    <t>2021-11-09</t>
  </si>
  <si>
    <t xml:space="preserve">M-016 RL.  2 000 g punto </t>
  </si>
  <si>
    <t xml:space="preserve">M-016 RL.  4 000 g </t>
  </si>
  <si>
    <t xml:space="preserve">M-016 RL.  5 000 g  </t>
  </si>
  <si>
    <t xml:space="preserve">M-016 RL.  6 000 g  </t>
  </si>
  <si>
    <t xml:space="preserve">M-016 RL.  8 200 g  </t>
  </si>
  <si>
    <t xml:space="preserve">Rice Lake
</t>
  </si>
  <si>
    <t>M-016 - M-024 
12 000 g</t>
  </si>
  <si>
    <t>Rice Lake
Accurate</t>
  </si>
  <si>
    <t>No porta - 10 kg D</t>
  </si>
  <si>
    <t>Complementos</t>
  </si>
  <si>
    <t xml:space="preserve">E2 20 kg </t>
  </si>
  <si>
    <t>E2</t>
  </si>
  <si>
    <t>Kern</t>
  </si>
  <si>
    <t>G 1938658</t>
  </si>
  <si>
    <t>2021-09-02</t>
  </si>
  <si>
    <t>9</t>
  </si>
  <si>
    <t>2</t>
  </si>
  <si>
    <t>M-019</t>
  </si>
  <si>
    <t>F1 20 kg</t>
  </si>
  <si>
    <t>G 1934093</t>
  </si>
  <si>
    <t>31</t>
  </si>
  <si>
    <t>39</t>
  </si>
  <si>
    <t>M-020</t>
  </si>
  <si>
    <t>F1 20 kg A</t>
  </si>
  <si>
    <t>G 1934095</t>
  </si>
  <si>
    <t>20 A</t>
  </si>
  <si>
    <t>5410</t>
  </si>
  <si>
    <t>20000</t>
  </si>
  <si>
    <t>3</t>
  </si>
  <si>
    <t>5</t>
  </si>
  <si>
    <t>20000,003</t>
  </si>
  <si>
    <t>20000,005</t>
  </si>
  <si>
    <t>M-021</t>
  </si>
  <si>
    <t>F1 20 kg B</t>
  </si>
  <si>
    <t>G 1934094</t>
  </si>
  <si>
    <t>20 B</t>
  </si>
  <si>
    <t>5411</t>
  </si>
  <si>
    <t>37</t>
  </si>
  <si>
    <t>40</t>
  </si>
  <si>
    <t>20000,037</t>
  </si>
  <si>
    <t>20000,04</t>
  </si>
  <si>
    <t>M-022</t>
  </si>
  <si>
    <t>F1 10 kg C</t>
  </si>
  <si>
    <t>Accurate</t>
  </si>
  <si>
    <t>1913624</t>
  </si>
  <si>
    <t>10 C</t>
  </si>
  <si>
    <t>5264</t>
  </si>
  <si>
    <t>2021-06-03</t>
  </si>
  <si>
    <t>10000</t>
  </si>
  <si>
    <t>13</t>
  </si>
  <si>
    <t>-8</t>
  </si>
  <si>
    <t>10000,013</t>
  </si>
  <si>
    <t>9999,992</t>
  </si>
  <si>
    <t>M-023</t>
  </si>
  <si>
    <t>F1 10 kg D</t>
  </si>
  <si>
    <t>1913626</t>
  </si>
  <si>
    <t>10 D</t>
  </si>
  <si>
    <t>5261</t>
  </si>
  <si>
    <t>2021-05-31</t>
  </si>
  <si>
    <t>8</t>
  </si>
  <si>
    <t>-9</t>
  </si>
  <si>
    <t>10000,008</t>
  </si>
  <si>
    <t>9999,991</t>
  </si>
  <si>
    <t>M-024</t>
  </si>
  <si>
    <t>F1 5 kg E</t>
  </si>
  <si>
    <t>1913622</t>
  </si>
  <si>
    <t>5 E</t>
  </si>
  <si>
    <t>5266</t>
  </si>
  <si>
    <t>2021-06-08</t>
  </si>
  <si>
    <t>5000</t>
  </si>
  <si>
    <t>6,6</t>
  </si>
  <si>
    <t>5000,0066</t>
  </si>
  <si>
    <t>5000,003</t>
  </si>
  <si>
    <t>M-025</t>
  </si>
  <si>
    <t>Para Comprobación IPFNA 60 kg</t>
  </si>
  <si>
    <t>Patrón Utilizado en la Calibración - Termo higrómetros</t>
  </si>
  <si>
    <t>Unidades en   " °C , % hr  y hPa "  según corresponda</t>
  </si>
  <si>
    <t>Unidad</t>
  </si>
  <si>
    <t>Identificación / Serie</t>
  </si>
  <si>
    <t>Capacidad (Según Certificado)</t>
  </si>
  <si>
    <t>División de Escala / Resolución</t>
  </si>
  <si>
    <t>Corrección (Según Certificado)</t>
  </si>
  <si>
    <t>Incertidumbre del Certificado</t>
  </si>
  <si>
    <t>Factor de Cobertura (Según Certificado)</t>
  </si>
  <si>
    <t>Trazabilidad y numero</t>
  </si>
  <si>
    <t>Temperatura</t>
  </si>
  <si>
    <t xml:space="preserve">M-010 </t>
  </si>
  <si>
    <t>Lufft Opus 20</t>
  </si>
  <si>
    <t>0,26.0714.0802.024</t>
  </si>
  <si>
    <t>2021-06-25</t>
  </si>
  <si>
    <t>°C</t>
  </si>
  <si>
    <t>% hr</t>
  </si>
  <si>
    <t>hPa</t>
  </si>
  <si>
    <t>M-010</t>
  </si>
  <si>
    <t>Humedad</t>
  </si>
  <si>
    <t>2021-06-23</t>
  </si>
  <si>
    <t>Presión Atmosférica</t>
  </si>
  <si>
    <t>INM 5238</t>
  </si>
  <si>
    <t>INM 2148</t>
  </si>
  <si>
    <t xml:space="preserve">M-011 </t>
  </si>
  <si>
    <t>0,22.0714.0802.024</t>
  </si>
  <si>
    <t>INM 5286</t>
  </si>
  <si>
    <t>M-011</t>
  </si>
  <si>
    <t>INM 5287</t>
  </si>
  <si>
    <t>INM 5239</t>
  </si>
  <si>
    <t>INM 1997</t>
  </si>
  <si>
    <t>INM 2147</t>
  </si>
  <si>
    <t xml:space="preserve">M-012 </t>
  </si>
  <si>
    <t>2021-07-09</t>
  </si>
  <si>
    <t>INM 5303</t>
  </si>
  <si>
    <t xml:space="preserve">M-012  </t>
  </si>
  <si>
    <t>2021-07-07</t>
  </si>
  <si>
    <t>INM 5304</t>
  </si>
  <si>
    <t>INM 5240</t>
  </si>
  <si>
    <t xml:space="preserve">M-013 </t>
  </si>
  <si>
    <t>2021-05-12</t>
  </si>
  <si>
    <t>INM 4782</t>
  </si>
  <si>
    <t xml:space="preserve">M-013  </t>
  </si>
  <si>
    <t>2021-05-13</t>
  </si>
  <si>
    <t>INM 4783</t>
  </si>
  <si>
    <t>2021-10-22</t>
  </si>
  <si>
    <t>INM 5548</t>
  </si>
  <si>
    <t xml:space="preserve">V-002 </t>
  </si>
  <si>
    <t>0,23.0714.0802.024</t>
  </si>
  <si>
    <t>V-002</t>
  </si>
  <si>
    <t>INM 5243</t>
  </si>
  <si>
    <t>Metrólogos</t>
  </si>
  <si>
    <t>CMC Balanza   d = 0,1 g  y 0,01 g</t>
  </si>
  <si>
    <t>Nombre del Metrólogo</t>
  </si>
  <si>
    <t>Intervalo de Medición (g) e incertidumbre expandida U</t>
  </si>
  <si>
    <t>A</t>
  </si>
  <si>
    <t>8 200</t>
  </si>
  <si>
    <t>LH</t>
  </si>
  <si>
    <t>Luis Henry Barreto Rojas</t>
  </si>
  <si>
    <t>Responsable de la Dirección Técnica</t>
  </si>
  <si>
    <t>Responsable de la calibración</t>
  </si>
  <si>
    <t>EA</t>
  </si>
  <si>
    <t>Elvis Aguirre Romero</t>
  </si>
  <si>
    <t xml:space="preserve">  Sustituto del Responsable de la Dirección Técnica</t>
  </si>
  <si>
    <t>SC</t>
  </si>
  <si>
    <t>Stivinson Córdoba Sánchez</t>
  </si>
  <si>
    <t>°C m</t>
  </si>
  <si>
    <t>°C b</t>
  </si>
  <si>
    <t>% hr m</t>
  </si>
  <si>
    <t>% hr b</t>
  </si>
  <si>
    <t>hPa m</t>
  </si>
  <si>
    <t>hPa b</t>
  </si>
  <si>
    <t>Datos para la grafica en el certificado</t>
  </si>
  <si>
    <t>IPFNA</t>
  </si>
  <si>
    <t xml:space="preserve">Carga </t>
  </si>
  <si>
    <t>Valor Nominal</t>
  </si>
  <si>
    <t>8 200 g</t>
  </si>
  <si>
    <t>Carga Baja</t>
  </si>
  <si>
    <r>
      <t xml:space="preserve">5 g </t>
    </r>
    <r>
      <rPr>
        <sz val="12"/>
        <rFont val="Tahoma"/>
        <family val="2"/>
      </rPr>
      <t>≤</t>
    </r>
    <r>
      <rPr>
        <sz val="12"/>
        <rFont val="Arial"/>
        <family val="2"/>
      </rPr>
      <t xml:space="preserve"> m ≤   5 000 g</t>
    </r>
  </si>
  <si>
    <t>Carga Media</t>
  </si>
  <si>
    <r>
      <t xml:space="preserve">5 000 g </t>
    </r>
    <r>
      <rPr>
        <sz val="12"/>
        <rFont val="Tahoma"/>
        <family val="2"/>
      </rPr>
      <t>≤</t>
    </r>
    <r>
      <rPr>
        <sz val="12"/>
        <rFont val="Arial"/>
        <family val="2"/>
      </rPr>
      <t xml:space="preserve"> m ≤ 
8 200 g</t>
    </r>
  </si>
  <si>
    <t>12 000 g</t>
  </si>
  <si>
    <t>5 g ≤ m ≤   5 000 g</t>
  </si>
  <si>
    <t>5 000 g ≤ m ≤ 
12 000 g</t>
  </si>
  <si>
    <t>Masa  Nominal (g)</t>
  </si>
  <si>
    <t>"+"(EMP) en Uso</t>
  </si>
  <si>
    <t>"-"(EMP) en Uso</t>
  </si>
  <si>
    <t>Código interno</t>
  </si>
  <si>
    <t>Lugar de Calibración</t>
  </si>
  <si>
    <t>Fecha de calibración</t>
  </si>
  <si>
    <t>Certificado N°</t>
  </si>
  <si>
    <t>DATOS DE LA BALANZA A CALIBRAR</t>
  </si>
  <si>
    <t>DATOS DE LAS PESAS PATRÓN</t>
  </si>
  <si>
    <t>Juego de Pesas</t>
  </si>
  <si>
    <t>Carga mín (g)</t>
  </si>
  <si>
    <t>Carga máx. (g)</t>
  </si>
  <si>
    <t xml:space="preserve">División de Escala (d)                  en (g)  </t>
  </si>
  <si>
    <t xml:space="preserve">Escalón de Verificación     en  (g)  </t>
  </si>
  <si>
    <t xml:space="preserve"> DATOS DE LOS PATRONES PARA LAS PRUEBAS</t>
  </si>
  <si>
    <t>Carga para excentricidad    (g)</t>
  </si>
  <si>
    <t>Cargas para Error de Indicación (Exactitud)                                         según certificado</t>
  </si>
  <si>
    <t>Valor nominal Cargas de    prueba (g) mN</t>
  </si>
  <si>
    <r>
      <t>Masa  Convencional (g)  m</t>
    </r>
    <r>
      <rPr>
        <vertAlign val="subscript"/>
        <sz val="11"/>
        <rFont val="Arial"/>
        <family val="2"/>
      </rPr>
      <t>c</t>
    </r>
  </si>
  <si>
    <t>Incertidumbre (mg)</t>
  </si>
  <si>
    <t>Marcación de la pesa</t>
  </si>
  <si>
    <t>Cargas para Repetibilidad (g)</t>
  </si>
  <si>
    <t>Masa para completar la carga Máx. (g)</t>
  </si>
  <si>
    <r>
      <t>m</t>
    </r>
    <r>
      <rPr>
        <vertAlign val="subscript"/>
        <sz val="11"/>
        <color theme="1"/>
        <rFont val="Arial"/>
        <family val="2"/>
      </rPr>
      <t>N (g)</t>
    </r>
  </si>
  <si>
    <r>
      <t>m</t>
    </r>
    <r>
      <rPr>
        <vertAlign val="subscript"/>
        <sz val="11"/>
        <color theme="1"/>
        <rFont val="Arial"/>
        <family val="2"/>
      </rPr>
      <t>c</t>
    </r>
  </si>
  <si>
    <t>incertidumbre  certificado (mg)</t>
  </si>
  <si>
    <t>DATOS TERMOHIGRÓMETRO - BARÓMETRO</t>
  </si>
  <si>
    <t>Serie</t>
  </si>
  <si>
    <t>Fecha Certificado</t>
  </si>
  <si>
    <t>Incertidumbre   U=(k=2)</t>
  </si>
  <si>
    <t>Temperatura (°C)</t>
  </si>
  <si>
    <t>Humedad relativa (% hr)</t>
  </si>
  <si>
    <t>Presión (hPa)</t>
  </si>
  <si>
    <t>CONDICIONES AMBIENTALES INICIALES</t>
  </si>
  <si>
    <t>según certificado pesas patrón</t>
  </si>
  <si>
    <t>Hora inicial</t>
  </si>
  <si>
    <t>k =</t>
  </si>
  <si>
    <t>PRUEBA DE EXCENTRICIDAD</t>
  </si>
  <si>
    <t>Carga</t>
  </si>
  <si>
    <t>(g)</t>
  </si>
  <si>
    <t xml:space="preserve"> (mg)</t>
  </si>
  <si>
    <t>Posición</t>
  </si>
  <si>
    <t>Indicación (g)</t>
  </si>
  <si>
    <t>Diferencia (g)</t>
  </si>
  <si>
    <t>Valor ABS de diferencia</t>
  </si>
  <si>
    <t>PRUEBA DE REPETIBILIDAD</t>
  </si>
  <si>
    <t xml:space="preserve">Observaciones </t>
  </si>
  <si>
    <t>Indicaciones</t>
  </si>
  <si>
    <t>n</t>
  </si>
  <si>
    <t>Cargas (g)</t>
  </si>
  <si>
    <t>promedios (g)</t>
  </si>
  <si>
    <t>s (g)</t>
  </si>
  <si>
    <t>s (mg)</t>
  </si>
  <si>
    <t>s máxima (mg)</t>
  </si>
  <si>
    <t>PRUEBA DE ERROR DE INDICACIÓN (EXACTITUD)</t>
  </si>
  <si>
    <t>ANTES DE AJUSTE</t>
  </si>
  <si>
    <t>DESPUÉS DE AJUSTE</t>
  </si>
  <si>
    <t>Masa  Convencional (g)</t>
  </si>
  <si>
    <t>Indicación 1(g)</t>
  </si>
  <si>
    <t>Error de</t>
  </si>
  <si>
    <t>Indicación 2(g)</t>
  </si>
  <si>
    <t>Metrólogo</t>
  </si>
  <si>
    <t>CONDICIONES AMBIENTALES FINALES</t>
  </si>
  <si>
    <t>Hora final</t>
  </si>
  <si>
    <t>Promedio Condiciones Ambientales Corregidas  Iniciales</t>
  </si>
  <si>
    <t>Promedio Condiciones Ambientales Corregidas Finales</t>
  </si>
  <si>
    <t xml:space="preserve">                       PRESUPUESTO DE INCERTIDUMBRE</t>
  </si>
  <si>
    <t>Cargas de prueba (g)</t>
  </si>
  <si>
    <t>Magnitud</t>
  </si>
  <si>
    <t>Distribución</t>
  </si>
  <si>
    <r>
      <t>Grados efectivos de libertad Ʋ</t>
    </r>
    <r>
      <rPr>
        <b/>
        <sz val="14"/>
        <color rgb="FF1F4E78"/>
        <rFont val="Arial"/>
        <family val="2"/>
      </rPr>
      <t>= n-3</t>
    </r>
  </si>
  <si>
    <t>Aporte a la Incertidumbre %</t>
  </si>
  <si>
    <t>Excentricidad</t>
  </si>
  <si>
    <t>Rectangular</t>
  </si>
  <si>
    <t>Repetibilidad</t>
  </si>
  <si>
    <t>Normal</t>
  </si>
  <si>
    <r>
      <t xml:space="preserve">Prueba de error de indicación </t>
    </r>
    <r>
      <rPr>
        <sz val="10"/>
        <color theme="1"/>
        <rFont val="Arial"/>
        <family val="2"/>
      </rPr>
      <t>(redondeo de la indicación sin carga</t>
    </r>
    <r>
      <rPr>
        <b/>
        <sz val="10"/>
        <color theme="1"/>
        <rFont val="Arial"/>
        <family val="2"/>
      </rPr>
      <t>)</t>
    </r>
  </si>
  <si>
    <r>
      <rPr>
        <b/>
        <sz val="9"/>
        <color theme="1"/>
        <rFont val="Arial"/>
        <family val="2"/>
      </rPr>
      <t xml:space="preserve">Prueba de error de indicación </t>
    </r>
    <r>
      <rPr>
        <sz val="9"/>
        <color theme="1"/>
        <rFont val="Arial"/>
        <family val="2"/>
      </rPr>
      <t>(redondeo de la indicación con carga)</t>
    </r>
  </si>
  <si>
    <t>INCERTIDUMBRE ESTÁNDAR MASA DE REFERENCIA   (mg)</t>
  </si>
  <si>
    <t>Incertidumbre por pesas patrón</t>
  </si>
  <si>
    <t>incertidumbre  por empuje</t>
  </si>
  <si>
    <t>incertidumbre por  deriva</t>
  </si>
  <si>
    <t>INCERTIDUMBRE ESTÁNDAR DEL ERROR   (mg)</t>
  </si>
  <si>
    <t>GRADOS EFECTIVOS DE LIBERTAD</t>
  </si>
  <si>
    <t>Error de indicación   Después de Ajuste (mg)</t>
  </si>
  <si>
    <t>Error de indicación Después de Ajuste(g)</t>
  </si>
  <si>
    <t xml:space="preserve">Incertidumbre Expandida (mg) </t>
  </si>
  <si>
    <t>Incertidumbre Expandida (g)</t>
  </si>
  <si>
    <t xml:space="preserve">Incertidumbre Expandida Relativa % </t>
  </si>
  <si>
    <t>Grados efectivos de libertad de Excentricidad</t>
  </si>
  <si>
    <t>±U (g)     CMC</t>
  </si>
  <si>
    <t>Grados efectivos de libertad de Repetibilidad</t>
  </si>
  <si>
    <t>Grados efectivos de libertad de Resolución</t>
  </si>
  <si>
    <t>GRADOS EFECTIVOS DE LIBERTAD POR MASA DE REFERENCIA
Welch-Sattertthwaite</t>
  </si>
  <si>
    <t>Grados efectivos de libertad de Pesas</t>
  </si>
  <si>
    <t>Grados efectivos de libertad de Empuje</t>
  </si>
  <si>
    <t>Grados efectivos de libertad de Deriva</t>
  </si>
  <si>
    <t>Condicional incertidumbre dominante</t>
  </si>
  <si>
    <t>GRADOS EFECTIVOS DE LIBERTAD DEL ERROR</t>
  </si>
  <si>
    <t>Incertidumbre dominante</t>
  </si>
  <si>
    <t>SI</t>
  </si>
  <si>
    <t>≤ 0,3</t>
  </si>
  <si>
    <t>Max</t>
  </si>
  <si>
    <r>
      <rPr>
        <b/>
        <i/>
        <sz val="12"/>
        <rFont val="Tahoma"/>
        <family val="2"/>
      </rPr>
      <t>≥</t>
    </r>
    <r>
      <rPr>
        <b/>
        <i/>
        <sz val="12"/>
        <rFont val="Arial"/>
        <family val="2"/>
      </rPr>
      <t xml:space="preserve"> 0,3</t>
    </r>
  </si>
  <si>
    <t>FACTOR DE COBERTURA CALCULADO</t>
  </si>
  <si>
    <t xml:space="preserve">Nivel de Confianza                                                                </t>
  </si>
  <si>
    <t>APROXIMACIÓN POR LÍNEA RECTA QUE CRUZA POR CERO PARA EL ERROR   (mg)</t>
  </si>
  <si>
    <t>I</t>
  </si>
  <si>
    <t>E</t>
  </si>
  <si>
    <t xml:space="preserve">u </t>
  </si>
  <si>
    <t>p</t>
  </si>
  <si>
    <t>pIE</t>
  </si>
  <si>
    <r>
      <t>pI</t>
    </r>
    <r>
      <rPr>
        <b/>
        <i/>
        <vertAlign val="superscript"/>
        <sz val="11"/>
        <color theme="1"/>
        <rFont val="Arial"/>
        <family val="2"/>
      </rPr>
      <t>2</t>
    </r>
  </si>
  <si>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</si>
  <si>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</si>
  <si>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u (E</t>
    </r>
    <r>
      <rPr>
        <b/>
        <i/>
        <vertAlign val="subscript"/>
        <sz val="11"/>
        <color theme="1"/>
        <rFont val="Arial"/>
        <family val="2"/>
      </rPr>
      <t>appr</t>
    </r>
    <r>
      <rPr>
        <b/>
        <i/>
        <sz val="11"/>
        <color theme="1"/>
        <rFont val="Arial"/>
        <family val="2"/>
      </rPr>
      <t>)</t>
    </r>
  </si>
  <si>
    <t>u(Eappr) a REPORTAR</t>
  </si>
  <si>
    <t>U(Eappr) Reportar</t>
  </si>
  <si>
    <t>RELATIVA</t>
  </si>
  <si>
    <t>Σ</t>
  </si>
  <si>
    <r>
      <t>a</t>
    </r>
    <r>
      <rPr>
        <b/>
        <i/>
        <vertAlign val="subscript"/>
        <sz val="11"/>
        <color theme="0"/>
        <rFont val="Arial"/>
        <family val="2"/>
      </rPr>
      <t xml:space="preserve">1    </t>
    </r>
  </si>
  <si>
    <r>
      <t>n</t>
    </r>
    <r>
      <rPr>
        <b/>
        <vertAlign val="subscript"/>
        <sz val="14"/>
        <color theme="0"/>
        <rFont val="Arial"/>
        <family val="2"/>
      </rPr>
      <t>a</t>
    </r>
  </si>
  <si>
    <t>N=</t>
  </si>
  <si>
    <r>
      <t>a</t>
    </r>
    <r>
      <rPr>
        <b/>
        <i/>
        <vertAlign val="subscript"/>
        <sz val="11"/>
        <color theme="1"/>
        <rFont val="Arial"/>
        <family val="2"/>
      </rPr>
      <t>1</t>
    </r>
    <r>
      <rPr>
        <b/>
        <i/>
        <vertAlign val="superscript"/>
        <sz val="11"/>
        <color theme="1"/>
        <rFont val="Arial"/>
        <family val="2"/>
      </rPr>
      <t>2</t>
    </r>
    <r>
      <rPr>
        <b/>
        <i/>
        <sz val="11"/>
        <color theme="1"/>
        <rFont val="Arial"/>
        <family val="2"/>
      </rPr>
      <t>=</t>
    </r>
  </si>
  <si>
    <r>
      <t>n</t>
    </r>
    <r>
      <rPr>
        <b/>
        <vertAlign val="subscript"/>
        <sz val="14"/>
        <color theme="0"/>
        <rFont val="Arial"/>
        <family val="2"/>
      </rPr>
      <t>par</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</si>
  <si>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</si>
  <si>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Min chi</t>
    </r>
    <r>
      <rPr>
        <b/>
        <vertAlign val="superscript"/>
        <sz val="14"/>
        <color theme="0"/>
        <rFont val="Arial"/>
        <family val="2"/>
      </rPr>
      <t>2</t>
    </r>
  </si>
  <si>
    <r>
      <t>u</t>
    </r>
    <r>
      <rPr>
        <b/>
        <i/>
        <vertAlign val="superscript"/>
        <sz val="11"/>
        <color theme="1"/>
        <rFont val="Arial"/>
        <family val="2"/>
      </rPr>
      <t>2</t>
    </r>
    <r>
      <rPr>
        <b/>
        <i/>
        <sz val="11"/>
        <color theme="1"/>
        <rFont val="Arial"/>
        <family val="2"/>
      </rPr>
      <t>(R(dys)) =</t>
    </r>
  </si>
  <si>
    <t>Beta (β)</t>
  </si>
  <si>
    <t>≤</t>
  </si>
  <si>
    <r>
      <t>u</t>
    </r>
    <r>
      <rPr>
        <b/>
        <i/>
        <vertAlign val="superscript"/>
        <sz val="11"/>
        <color theme="1"/>
        <rFont val="Arial"/>
        <family val="2"/>
      </rPr>
      <t>2</t>
    </r>
    <r>
      <rPr>
        <b/>
        <i/>
        <sz val="11"/>
        <color theme="1"/>
        <rFont val="Arial"/>
        <family val="2"/>
      </rPr>
      <t>(R( ecc))=</t>
    </r>
  </si>
  <si>
    <t xml:space="preserve">G de libertad </t>
  </si>
  <si>
    <t xml:space="preserve">K mayor </t>
  </si>
  <si>
    <t>m=</t>
  </si>
  <si>
    <t xml:space="preserve">  la  pendiente</t>
  </si>
  <si>
    <t>x</t>
  </si>
  <si>
    <t>b=</t>
  </si>
  <si>
    <t>punto  de  corte</t>
  </si>
  <si>
    <t>y</t>
  </si>
  <si>
    <t>Carga (g)</t>
  </si>
  <si>
    <t>u (mg)</t>
  </si>
  <si>
    <t xml:space="preserve">Regresión </t>
  </si>
  <si>
    <t>n=</t>
  </si>
  <si>
    <t>Xi</t>
  </si>
  <si>
    <t>Yi</t>
  </si>
  <si>
    <t>Xi*Yi</t>
  </si>
  <si>
    <r>
      <t>Xi</t>
    </r>
    <r>
      <rPr>
        <b/>
        <vertAlign val="superscript"/>
        <sz val="11"/>
        <color theme="0" tint="-0.14999847407452621"/>
        <rFont val="Arial"/>
        <family val="2"/>
      </rPr>
      <t>2</t>
    </r>
  </si>
  <si>
    <t>Media Xi</t>
  </si>
  <si>
    <t>Media Yi</t>
  </si>
  <si>
    <t>m</t>
  </si>
  <si>
    <t>b</t>
  </si>
  <si>
    <t>(Sumatorias)</t>
  </si>
  <si>
    <r>
      <t>u</t>
    </r>
    <r>
      <rPr>
        <b/>
        <vertAlign val="superscript"/>
        <sz val="11"/>
        <rFont val="Arial"/>
        <family val="2"/>
      </rPr>
      <t>2</t>
    </r>
    <r>
      <rPr>
        <b/>
        <sz val="11"/>
        <rFont val="Arial"/>
        <family val="2"/>
      </rPr>
      <t>(Eappr)</t>
    </r>
  </si>
  <si>
    <t xml:space="preserve">  + </t>
  </si>
  <si>
    <r>
      <t>R</t>
    </r>
    <r>
      <rPr>
        <b/>
        <vertAlign val="superscript"/>
        <sz val="11"/>
        <rFont val="Arial"/>
        <family val="2"/>
      </rPr>
      <t>2</t>
    </r>
  </si>
  <si>
    <r>
      <t>U(E</t>
    </r>
    <r>
      <rPr>
        <b/>
        <i/>
        <vertAlign val="subscript"/>
        <sz val="11"/>
        <color theme="1"/>
        <rFont val="Arial"/>
        <family val="2"/>
      </rPr>
      <t>appr</t>
    </r>
    <r>
      <rPr>
        <b/>
        <i/>
        <sz val="11"/>
        <color theme="1"/>
        <rFont val="Arial"/>
        <family val="2"/>
      </rPr>
      <t>)</t>
    </r>
  </si>
  <si>
    <t>R</t>
  </si>
  <si>
    <t>VALIDACIÓN   -   RESULTADOS</t>
  </si>
  <si>
    <t>Adimensional</t>
  </si>
  <si>
    <r>
      <t>APROXIMACIÓN POR LÍNEA RECTA QUE CRUZA EN CERO   E</t>
    </r>
    <r>
      <rPr>
        <b/>
        <vertAlign val="subscript"/>
        <sz val="10"/>
        <color theme="1"/>
        <rFont val="Arial"/>
        <family val="2"/>
      </rPr>
      <t>appr</t>
    </r>
  </si>
  <si>
    <t>E (R)  (mg) =</t>
  </si>
  <si>
    <t>R (mg)</t>
  </si>
  <si>
    <t>INCERTIDUMBRE EXPANDIDA DE LOS ERRORES APROXIMADOS  U(Eappr)</t>
  </si>
  <si>
    <t>U (E)  (mg) =</t>
  </si>
  <si>
    <t>E (R)  (g) =</t>
  </si>
  <si>
    <t>R (g)</t>
  </si>
  <si>
    <t>U (E)  (g) =</t>
  </si>
  <si>
    <t>HOJA DE CÁLCULO PARA CALIBRACIÓN DE INSTRUMENTOS DE PESAJE DE FUNCIONAMIENTO NO AUTOMÁTICO - IPFNA</t>
  </si>
  <si>
    <t>CALIBRACIÓN EN LABORATORIO SIC</t>
  </si>
  <si>
    <t>ERROR DE INDICACIÓN</t>
  </si>
  <si>
    <t>Masa Nominal (g)</t>
  </si>
  <si>
    <t>Error (g)</t>
  </si>
  <si>
    <t>±U (g)</t>
  </si>
  <si>
    <t>U % Relativa</t>
  </si>
  <si>
    <t>MÁX</t>
  </si>
  <si>
    <t>MÍN</t>
  </si>
  <si>
    <t xml:space="preserve">Incertidumbre expandida de los errores aproximados U(Eappr)     </t>
  </si>
  <si>
    <t>U % Relativa Aproximada formula</t>
  </si>
  <si>
    <t>GU 3.3-01 GUÍA PARA LA EXPRESIÓN DE LA INCERDIDUMBRE DE LA MEDICIÓN EN LOS ALCANCES PARA LA CALIBRACIÓN DE INSTRUMENTOS DE PESAJE DE FUNCIONAMIENTO NO AUTOMATICO (IPFNA)</t>
  </si>
  <si>
    <t>IPFNA 8 200 g</t>
  </si>
  <si>
    <t>Pesas para carga máxima (g) F1</t>
  </si>
  <si>
    <t>EMP (OIML R 111-1) (mg) F1</t>
  </si>
  <si>
    <t>U % RELATIVA</t>
  </si>
  <si>
    <t>CMC Con respecto EMP Masa Patrón (g)</t>
  </si>
  <si>
    <t>CMC % Relativa</t>
  </si>
  <si>
    <t>gramos</t>
  </si>
  <si>
    <t>IPFNA 12 000 g</t>
  </si>
  <si>
    <r>
      <rPr>
        <b/>
        <sz val="10"/>
        <color theme="1"/>
        <rFont val="Tahoma"/>
        <family val="2"/>
      </rPr>
      <t>±</t>
    </r>
    <r>
      <rPr>
        <b/>
        <sz val="10"/>
        <color theme="1"/>
        <rFont val="Arial"/>
        <family val="2"/>
      </rPr>
      <t>(EMP) en Uso</t>
    </r>
  </si>
  <si>
    <t>Nominal</t>
  </si>
  <si>
    <t xml:space="preserve">Error en masa convencional </t>
  </si>
  <si>
    <t xml:space="preserve">Incertidumbre </t>
  </si>
  <si>
    <t xml:space="preserve"> ±EMP </t>
  </si>
  <si>
    <t>Probabilidad de conformidad</t>
  </si>
  <si>
    <t>Probabilidad de NO conformidad</t>
  </si>
  <si>
    <t>|E|</t>
  </si>
  <si>
    <t>z</t>
  </si>
  <si>
    <t>Cumple</t>
  </si>
  <si>
    <t xml:space="preserve">Descargar datos del termohigrómetro utilizado 
en la calibración-condiciones ambientales máximas y mínimas </t>
  </si>
  <si>
    <t>Hora Inicio</t>
  </si>
  <si>
    <t>Hora Final</t>
  </si>
  <si>
    <t>Limites para calibración</t>
  </si>
  <si>
    <t>Termohigrómetro</t>
  </si>
  <si>
    <t>Min °C</t>
  </si>
  <si>
    <t>Max °C</t>
  </si>
  <si>
    <t>Fecha</t>
  </si>
  <si>
    <t>Mínimo</t>
  </si>
  <si>
    <t>Min %hr</t>
  </si>
  <si>
    <t>Max %hr</t>
  </si>
  <si>
    <t>Máximo</t>
  </si>
  <si>
    <t>Mínimo Corregido</t>
  </si>
  <si>
    <t>Min hPa</t>
  </si>
  <si>
    <t>Max hPa</t>
  </si>
  <si>
    <t>Máximo Corregido</t>
  </si>
  <si>
    <t xml:space="preserve"> Certificado N°</t>
  </si>
  <si>
    <t>Información del Cliente</t>
  </si>
  <si>
    <t xml:space="preserve">Solicitante                    </t>
  </si>
  <si>
    <t xml:space="preserve">Dirección                       </t>
  </si>
  <si>
    <t xml:space="preserve">Ciudad                          </t>
  </si>
  <si>
    <t>Fecha de recepción</t>
  </si>
  <si>
    <t>1.   INFORMACIÓN DEL EQUIPO SOMETIDO A CALIBRACIÓN</t>
  </si>
  <si>
    <t>Objeto:</t>
  </si>
  <si>
    <t>Balanza digital</t>
  </si>
  <si>
    <t xml:space="preserve">Fabricante: </t>
  </si>
  <si>
    <t>Número de serie:</t>
  </si>
  <si>
    <t>Modelo:</t>
  </si>
  <si>
    <t xml:space="preserve">Carga Mín.:                       </t>
  </si>
  <si>
    <t xml:space="preserve">Carga Máx.:                      </t>
  </si>
  <si>
    <t xml:space="preserve">División de escala:         </t>
  </si>
  <si>
    <t xml:space="preserve">Escalón de verificación: </t>
  </si>
  <si>
    <t>2.   LUGAR Y DIRECCIÓN DE CALIBRACIÓN</t>
  </si>
  <si>
    <t>3.   CÓDIGO INTERNO</t>
  </si>
  <si>
    <t>4. MÉTODO DE CALIBRACIÓN UTILIZADO</t>
  </si>
  <si>
    <t>En la calibración se utilizó el método establecido en el documento normativo guía para la calibración de los instrumentos para pesaje de funcionamiento no automático (SIM MWG7/cg-01v.00) .</t>
  </si>
  <si>
    <t xml:space="preserve">5.   CONDICIONES AMBIENTALES  </t>
  </si>
  <si>
    <t>Condiciones ambientales  iniciales</t>
  </si>
  <si>
    <t>Condiciones ambientales  finales</t>
  </si>
  <si>
    <r>
      <rPr>
        <b/>
        <sz val="9"/>
        <rFont val="Arial"/>
        <family val="2"/>
      </rPr>
      <t>NOTA</t>
    </r>
    <r>
      <rPr>
        <sz val="9"/>
        <rFont val="Arial"/>
        <family val="2"/>
      </rPr>
      <t>: Las condiciones ambientales se refieren al sitio y al momento de la calibración.</t>
    </r>
  </si>
  <si>
    <t>6.   TRAZABILIDAD METROLÓGICA</t>
  </si>
  <si>
    <t>Propiedad de un resultado de medida por la cual el resultado puede relacionarse con una referencia mediante una cadena ininterrumpida y documentada de calibraciones, cada una de las cuales contribuye a la incertidumbre de medida.</t>
  </si>
  <si>
    <t>Clase de Pesas</t>
  </si>
  <si>
    <t>Intervalo</t>
  </si>
  <si>
    <t>No. Certificado</t>
  </si>
  <si>
    <t>Pesas Utilizadas</t>
  </si>
  <si>
    <t>7.   RESULTADOS DE LA CALIBRACIÓN</t>
  </si>
  <si>
    <t>Prueba de excentricidad.</t>
  </si>
  <si>
    <t xml:space="preserve"> PRUEBA DE EXCENTRICIDAD</t>
  </si>
  <si>
    <t>Figura 1</t>
  </si>
  <si>
    <t>DIF. (g)</t>
  </si>
  <si>
    <t>DIF MAX EXC</t>
  </si>
  <si>
    <t>Esta prueba evalúa las indicaciones de una misma carga, ubicada en diferentes posiciones del receptor de carga (figura 1), se realizó con las indicaciones consideradas por el fabricante de acuerdo a la Guía SIM MWG7/cg-01/v.00.</t>
  </si>
  <si>
    <t>Prueba de repetibilidad.</t>
  </si>
  <si>
    <t xml:space="preserve">  PRUEBA DE REPETIBILIDAD</t>
  </si>
  <si>
    <t>REPETICIÓN. N°</t>
  </si>
  <si>
    <t>INDICACIÓN g</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</si>
  <si>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</si>
  <si>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PRUEBA DE ERROR DE INDICACIÓN</t>
  </si>
  <si>
    <t>Antes de Ajuste</t>
  </si>
  <si>
    <t>Indicación 1 (g)</t>
  </si>
  <si>
    <t>Después de Ajuste</t>
  </si>
  <si>
    <t xml:space="preserve">Cumple </t>
  </si>
  <si>
    <t>ERROR (g)</t>
  </si>
  <si>
    <t>SI/NO</t>
  </si>
  <si>
    <r>
      <rPr>
        <b/>
        <sz val="10"/>
        <rFont val="Tahoma"/>
        <family val="2"/>
      </rPr>
      <t>±</t>
    </r>
    <r>
      <rPr>
        <b/>
        <sz val="10"/>
        <rFont val="Arial"/>
        <family val="2"/>
      </rPr>
      <t>(EMP) en Uso</t>
    </r>
  </si>
  <si>
    <t>La declaración de conformidad se aplica a los resultados obtenidos en la prueba de error de indicación, después de ajuste, teniendo en cuenta que el error, más la incertidumbre de medición, y no deberá superar el error máximo permitido (EMP), de acuerdo a los lineamientos de la norma  NTC 2031:2014  en los numerales 3.5.1 - 3.5.2 y 8.4.2 .</t>
  </si>
  <si>
    <t xml:space="preserve">8.   INCERTIDUMBRE EXPANDIDA DE LOS ERRORES   </t>
  </si>
  <si>
    <t>"La incertidumbre expandida de la medición reportada se establece como la incertidumbre estándar de medición multiplicada por el factor de cobertura "k",y la probabilidad de cobertura,  la cual debe ser aproximada al 95% y no menor a este valor".</t>
  </si>
  <si>
    <t>9.   OBSERVACIONES</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</si>
  <si>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</si>
  <si>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</si>
  <si>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</si>
  <si>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</si>
  <si>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</si>
  <si>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</si>
  <si>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</si>
  <si>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 ni totalmente, excepto con la autorización del Laboratorio de la Superintendencia de   Industria y Comercio.</t>
  </si>
  <si>
    <t>El certificado de calibración sin las firmas autorizadas no es válido.</t>
  </si>
  <si>
    <t>Los resultados de la calibración son trazables al Sistema Internacional (SI).</t>
  </si>
  <si>
    <t>La incertidumbre estándar de medición se multiplica por un factor de cobertura "k"=2</t>
  </si>
  <si>
    <t>El laboratorio no se responsabiliza de los resultados que puedan ser afectados por la desviación del estado en que se recibió el equipo</t>
  </si>
  <si>
    <t>FIRMAS AUTORIZADAS:</t>
  </si>
  <si>
    <t>__________________________________</t>
  </si>
  <si>
    <t xml:space="preserve">    ______________________________</t>
  </si>
  <si>
    <t>Firma Autorizada</t>
  </si>
  <si>
    <t>Calibrado por:</t>
  </si>
  <si>
    <t xml:space="preserve"> Fecha de elaboración: </t>
  </si>
  <si>
    <t xml:space="preserve"> Fecha de emisión: </t>
  </si>
  <si>
    <t>………………………..FIN DE ESTE DOCUMENTO………………………..</t>
  </si>
  <si>
    <t>Repetibilidad del método</t>
  </si>
  <si>
    <t>Grados Efectivos de Libertad por Repetibilidad del Método</t>
  </si>
  <si>
    <t>MSE8201S-000-D0</t>
  </si>
  <si>
    <t>INM 5932</t>
  </si>
  <si>
    <t>INM 5933</t>
  </si>
  <si>
    <t>INCERTIDUMBRE POR INDICACIÓN (mg)</t>
  </si>
  <si>
    <t>GRADOS EFECTIVOS DE LIBERTAD POR INDICACIÓN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</si>
</sst>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0_ &quot;mN&quot;"/>
    <numFmt numFmtId="176" formatCode="#,##0.0"/>
    <numFmt numFmtId="177" formatCode="#,##0.000"/>
    <numFmt numFmtId="178" formatCode="0.000_ &quot;g&quot;"/>
    <numFmt numFmtId="179" formatCode="0\ 000.0000"/>
    <numFmt numFmtId="180" formatCode="0\ 000"/>
    <numFmt numFmtId="181" formatCode="0\ 000.00000"/>
    <numFmt numFmtId="182" formatCode="0\ 000.00"/>
    <numFmt numFmtId="183" formatCode="\ 0\ 000\ 000.00"/>
    <numFmt numFmtId="184" formatCode="\ 0\ 000.0"/>
    <numFmt numFmtId="185" formatCode="#\ ##0"/>
    <numFmt numFmtId="186" formatCode="0.0_ &quot;g&quot;"/>
    <numFmt numFmtId="187" formatCode="0.\ 000\ &quot;g&quot;"/>
    <numFmt numFmtId="188" formatCode="#.\ ##0;\-#"/>
    <numFmt numFmtId="189" formatCode="0.0000E+00"/>
    <numFmt numFmtId="190" formatCode="0.000%"/>
    <numFmt numFmtId="191" formatCode="0.00_ &quot;g&quot;"/>
    <numFmt numFmtId="192" formatCode="0_ &quot;g&quot;\ \ \ \ \ \ \ \ \ \ \ \ \ &quot;-&quot;"/>
    <numFmt numFmtId="193" formatCode="\ 0\ 000\ &quot;g&quot;"/>
  </numFmts>
  <fonts count="76" x14ac:knownFonts="1">
    <font>
      <sz val="11"/>
      <color theme="1"/>
      <name val="Calibri"/>
      <family val="2"/>
      <scheme val="minor"/>
    </font>
    <font>
      <sz val="12"/>
      <color theme="1"/>
      <name val="Arial"/>
      <family val="2"/>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b/>
      <sz val="9"/>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b/>
      <sz val="9"/>
      <color indexed="81"/>
      <name val="Tahoma"/>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b/>
      <sz val="10"/>
      <color theme="1"/>
      <name val="Tahoma"/>
      <family val="2"/>
    </font>
    <font>
      <sz val="8"/>
      <name val="Calibri"/>
      <family val="2"/>
      <scheme val="minor"/>
    </font>
    <font>
      <b/>
      <sz val="20"/>
      <color theme="1"/>
      <name val="Arial"/>
      <family val="2"/>
    </font>
    <font>
      <b/>
      <sz val="18"/>
      <color theme="1"/>
      <name val="Arial"/>
      <family val="2"/>
    </font>
    <font>
      <sz val="9"/>
      <name val="Arial"/>
      <family val="2"/>
    </font>
    <font>
      <b/>
      <i/>
      <sz val="11"/>
      <name val="Arial"/>
      <family val="2"/>
    </font>
    <font>
      <b/>
      <sz val="10"/>
      <name val="Tahoma"/>
      <family val="2"/>
    </font>
    <font>
      <b/>
      <sz val="8"/>
      <name val="Arial"/>
      <family val="2"/>
    </font>
    <font>
      <b/>
      <sz val="14"/>
      <color rgb="FF1F4E78"/>
      <name val="Arial"/>
      <family val="2"/>
    </font>
    <font>
      <sz val="12"/>
      <name val="Calibri"/>
      <family val="2"/>
      <scheme val="minor"/>
    </font>
    <font>
      <sz val="14"/>
      <name val="Arial"/>
      <family val="2"/>
    </font>
    <font>
      <sz val="12"/>
      <name val="Tahoma"/>
      <family val="2"/>
    </font>
    <font>
      <b/>
      <sz val="18"/>
      <color theme="0"/>
      <name val="Arial"/>
      <family val="2"/>
    </font>
    <font>
      <b/>
      <sz val="20"/>
      <name val="Arial"/>
      <family val="2"/>
    </font>
    <font>
      <b/>
      <sz val="11"/>
      <color theme="1"/>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0B4"/>
        <bgColor indexed="64"/>
      </patternFill>
    </fill>
    <fill>
      <patternFill patternType="solid">
        <fgColor rgb="FFB6FD03"/>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DEBF7"/>
        <bgColor auto="1"/>
      </patternFill>
    </fill>
    <fill>
      <patternFill patternType="solid">
        <fgColor theme="4" tint="0.59999389629810485"/>
        <bgColor indexed="64"/>
      </patternFill>
    </fill>
    <fill>
      <patternFill patternType="solid">
        <fgColor rgb="FF9BC2E6"/>
        <bgColor indexed="64"/>
      </patternFill>
    </fill>
    <fill>
      <patternFill patternType="solid">
        <fgColor rgb="FFFCE4D6"/>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5">
    <xf numFmtId="0" fontId="0" fillId="0" borderId="0"/>
    <xf numFmtId="9" fontId="2" fillId="0" borderId="0" applyFont="0" applyFill="0" applyBorder="0" applyAlignment="0" applyProtection="0"/>
    <xf numFmtId="0" fontId="3" fillId="5" borderId="0" applyNumberFormat="0" applyBorder="0" applyAlignment="0" applyProtection="0"/>
    <xf numFmtId="2" fontId="6" fillId="13" borderId="5" applyFont="0" applyBorder="0" applyAlignment="0">
      <alignment horizontal="center" vertical="center" wrapText="1"/>
      <protection locked="0"/>
    </xf>
    <xf numFmtId="0" fontId="7" fillId="14" borderId="1" applyBorder="0">
      <alignment horizontal="center" vertical="center"/>
    </xf>
  </cellStyleXfs>
  <cellXfs count="1505">
    <xf numFmtId="0" fontId="0" fillId="0" borderId="0" xfId="0"/>
    <xf numFmtId="2" fontId="8" fillId="0" borderId="0" xfId="0" applyNumberFormat="1" applyFont="1" applyProtection="1">
      <protection hidden="1"/>
    </xf>
    <xf numFmtId="0" fontId="8" fillId="2" borderId="0" xfId="0" applyFont="1" applyFill="1" applyProtection="1">
      <protection hidden="1"/>
    </xf>
    <xf numFmtId="0" fontId="8" fillId="2" borderId="0" xfId="0" applyFont="1" applyFill="1" applyAlignment="1" applyProtection="1">
      <alignment horizontal="center" vertical="center" wrapText="1"/>
      <protection hidden="1"/>
    </xf>
    <xf numFmtId="2" fontId="8" fillId="2" borderId="0" xfId="0" applyNumberFormat="1" applyFont="1" applyFill="1" applyAlignment="1" applyProtection="1">
      <alignment vertical="center" wrapText="1"/>
      <protection hidden="1"/>
    </xf>
    <xf numFmtId="0" fontId="8" fillId="0" borderId="0" xfId="0" applyFont="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2" fontId="9" fillId="0" borderId="0" xfId="2" applyNumberFormat="1" applyFont="1" applyFill="1" applyBorder="1" applyAlignment="1" applyProtection="1">
      <alignment vertical="center"/>
      <protection hidden="1"/>
    </xf>
    <xf numFmtId="175" fontId="9" fillId="0" borderId="0" xfId="2" applyNumberFormat="1" applyFont="1" applyFill="1" applyBorder="1" applyAlignment="1" applyProtection="1">
      <protection hidden="1"/>
    </xf>
    <xf numFmtId="2" fontId="14" fillId="0" borderId="0" xfId="0" applyNumberFormat="1" applyFont="1" applyAlignment="1" applyProtection="1">
      <alignment vertical="center" wrapText="1"/>
      <protection hidden="1"/>
    </xf>
    <xf numFmtId="2" fontId="8" fillId="6" borderId="34" xfId="0" applyNumberFormat="1" applyFont="1" applyFill="1" applyBorder="1" applyAlignment="1" applyProtection="1">
      <alignment horizontal="center" vertical="center"/>
      <protection hidden="1"/>
    </xf>
    <xf numFmtId="171" fontId="14" fillId="9" borderId="1" xfId="0" applyNumberFormat="1" applyFont="1" applyFill="1" applyBorder="1" applyAlignment="1" applyProtection="1">
      <alignment horizontal="center" vertical="center"/>
      <protection hidden="1"/>
    </xf>
    <xf numFmtId="171" fontId="8" fillId="2" borderId="0" xfId="0" applyNumberFormat="1" applyFont="1" applyFill="1" applyProtection="1">
      <protection hidden="1"/>
    </xf>
    <xf numFmtId="2" fontId="11" fillId="0" borderId="0" xfId="0" applyNumberFormat="1" applyFont="1" applyAlignment="1" applyProtection="1">
      <alignment vertical="center"/>
      <protection hidden="1"/>
    </xf>
    <xf numFmtId="166" fontId="8" fillId="9" borderId="1" xfId="0" applyNumberFormat="1" applyFont="1" applyFill="1" applyBorder="1" applyAlignment="1" applyProtection="1">
      <alignment horizontal="center" vertical="center"/>
      <protection hidden="1"/>
    </xf>
    <xf numFmtId="2" fontId="8" fillId="0" borderId="0" xfId="0" applyNumberFormat="1" applyFont="1" applyAlignment="1" applyProtection="1">
      <alignment horizontal="center" vertical="center"/>
      <protection hidden="1"/>
    </xf>
    <xf numFmtId="169" fontId="8" fillId="0" borderId="0" xfId="0" applyNumberFormat="1" applyFont="1" applyProtection="1">
      <protection hidden="1"/>
    </xf>
    <xf numFmtId="169" fontId="10" fillId="9" borderId="1" xfId="0" applyNumberFormat="1" applyFont="1" applyFill="1" applyBorder="1" applyAlignment="1" applyProtection="1">
      <alignment horizontal="center" vertical="center"/>
      <protection hidden="1"/>
    </xf>
    <xf numFmtId="167" fontId="10" fillId="9" borderId="1" xfId="0" applyNumberFormat="1" applyFont="1" applyFill="1" applyBorder="1" applyAlignment="1" applyProtection="1">
      <alignment horizontal="center" vertical="center"/>
      <protection hidden="1"/>
    </xf>
    <xf numFmtId="2" fontId="14" fillId="0" borderId="0" xfId="0" applyNumberFormat="1" applyFont="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72" fontId="8" fillId="2" borderId="0" xfId="0" applyNumberFormat="1" applyFont="1" applyFill="1" applyProtection="1">
      <protection hidden="1"/>
    </xf>
    <xf numFmtId="2" fontId="8" fillId="0" borderId="0" xfId="0" applyNumberFormat="1" applyFont="1" applyAlignment="1" applyProtection="1">
      <alignment horizontal="center"/>
      <protection hidden="1"/>
    </xf>
    <xf numFmtId="2" fontId="8" fillId="2" borderId="0" xfId="0" applyNumberFormat="1" applyFont="1" applyFill="1" applyAlignment="1" applyProtection="1">
      <alignment horizontal="left" vertical="center"/>
      <protection hidden="1"/>
    </xf>
    <xf numFmtId="11" fontId="8" fillId="2" borderId="0" xfId="0" applyNumberFormat="1" applyFont="1" applyFill="1" applyProtection="1">
      <protection hidden="1"/>
    </xf>
    <xf numFmtId="14" fontId="6" fillId="9" borderId="47" xfId="0" applyNumberFormat="1" applyFont="1" applyFill="1" applyBorder="1" applyAlignment="1" applyProtection="1">
      <alignment horizontal="center" vertical="center" wrapText="1"/>
      <protection hidden="1"/>
    </xf>
    <xf numFmtId="2" fontId="16" fillId="6" borderId="9" xfId="2" applyNumberFormat="1" applyFont="1" applyFill="1" applyBorder="1" applyAlignment="1" applyProtection="1">
      <alignment horizontal="center" vertical="center" wrapText="1"/>
      <protection hidden="1"/>
    </xf>
    <xf numFmtId="2" fontId="16" fillId="6" borderId="10" xfId="2" applyNumberFormat="1" applyFont="1" applyFill="1" applyBorder="1" applyAlignment="1" applyProtection="1">
      <alignment horizontal="center" vertical="center" wrapText="1"/>
      <protection hidden="1"/>
    </xf>
    <xf numFmtId="2" fontId="5" fillId="6" borderId="10" xfId="0" applyNumberFormat="1" applyFont="1" applyFill="1" applyBorder="1" applyAlignment="1" applyProtection="1">
      <alignment horizontal="center" vertical="center" wrapText="1"/>
      <protection hidden="1"/>
    </xf>
    <xf numFmtId="2" fontId="8" fillId="9" borderId="17" xfId="0" applyNumberFormat="1" applyFont="1" applyFill="1" applyBorder="1" applyAlignment="1" applyProtection="1">
      <alignment horizontal="centerContinuous"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6" fillId="9" borderId="47" xfId="0" applyNumberFormat="1" applyFont="1" applyFill="1" applyBorder="1" applyAlignment="1" applyProtection="1">
      <alignment horizontal="center" vertical="center" wrapText="1"/>
      <protection hidden="1"/>
    </xf>
    <xf numFmtId="2" fontId="8" fillId="2" borderId="0" xfId="0" applyNumberFormat="1" applyFont="1" applyFill="1" applyAlignment="1" applyProtection="1">
      <alignment horizontal="center" vertical="center"/>
      <protection hidden="1"/>
    </xf>
    <xf numFmtId="2" fontId="14" fillId="6" borderId="34" xfId="0" applyNumberFormat="1" applyFont="1" applyFill="1" applyBorder="1" applyAlignment="1" applyProtection="1">
      <alignment horizontal="center" vertical="center" wrapText="1"/>
      <protection hidden="1"/>
    </xf>
    <xf numFmtId="2" fontId="14" fillId="6" borderId="34" xfId="0" applyNumberFormat="1" applyFont="1" applyFill="1" applyBorder="1" applyAlignment="1" applyProtection="1">
      <alignment vertical="center" wrapText="1"/>
      <protection hidden="1"/>
    </xf>
    <xf numFmtId="2" fontId="15" fillId="2" borderId="0" xfId="0" applyNumberFormat="1" applyFont="1" applyFill="1" applyProtection="1">
      <protection hidden="1"/>
    </xf>
    <xf numFmtId="171" fontId="14" fillId="9" borderId="34" xfId="0" applyNumberFormat="1"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Alignment="1" applyProtection="1">
      <alignment horizontal="center" vertical="center"/>
      <protection hidden="1"/>
    </xf>
    <xf numFmtId="0" fontId="29" fillId="0" borderId="7" xfId="0" applyFont="1" applyBorder="1" applyProtection="1">
      <protection hidden="1"/>
    </xf>
    <xf numFmtId="0" fontId="29" fillId="0" borderId="8" xfId="0" applyFont="1" applyBorder="1" applyProtection="1">
      <protection hidden="1"/>
    </xf>
    <xf numFmtId="0" fontId="28" fillId="0" borderId="0" xfId="0" applyFont="1" applyAlignment="1" applyProtection="1">
      <alignment horizontal="center" vertical="center"/>
      <protection hidden="1"/>
    </xf>
    <xf numFmtId="0" fontId="28" fillId="0" borderId="0" xfId="0" applyFont="1" applyProtection="1">
      <protection hidden="1"/>
    </xf>
    <xf numFmtId="0" fontId="28" fillId="0" borderId="0" xfId="0" applyFont="1" applyAlignment="1" applyProtection="1">
      <alignment horizontal="center"/>
      <protection hidden="1"/>
    </xf>
    <xf numFmtId="0" fontId="28" fillId="0" borderId="0" xfId="0" applyFont="1" applyAlignment="1" applyProtection="1">
      <alignment vertical="center"/>
      <protection hidden="1"/>
    </xf>
    <xf numFmtId="0" fontId="28" fillId="0" borderId="40" xfId="0" applyFont="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32" fillId="0" borderId="0" xfId="0" applyFont="1" applyProtection="1">
      <protection hidden="1"/>
    </xf>
    <xf numFmtId="0" fontId="29" fillId="0" borderId="12" xfId="0" applyFont="1" applyBorder="1" applyProtection="1">
      <protection hidden="1"/>
    </xf>
    <xf numFmtId="1" fontId="8" fillId="13" borderId="34" xfId="3" applyNumberFormat="1" applyFont="1" applyBorder="1" applyAlignment="1" applyProtection="1">
      <alignment horizontal="center" vertical="center"/>
      <protection locked="0" hidden="1"/>
    </xf>
    <xf numFmtId="1" fontId="8" fillId="13" borderId="16" xfId="3" applyNumberFormat="1" applyFont="1" applyBorder="1" applyAlignment="1" applyProtection="1">
      <alignment horizontal="center" vertical="center" wrapText="1"/>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4" xfId="0" applyNumberFormat="1" applyFont="1" applyFill="1" applyBorder="1" applyAlignment="1" applyProtection="1">
      <alignment horizontal="center" vertical="center" wrapText="1"/>
      <protection locked="0" hidden="1"/>
    </xf>
    <xf numFmtId="0" fontId="29" fillId="0" borderId="4" xfId="0" applyFont="1" applyBorder="1" applyProtection="1">
      <protection hidden="1"/>
    </xf>
    <xf numFmtId="1" fontId="8" fillId="9" borderId="4" xfId="0" applyNumberFormat="1" applyFont="1" applyFill="1" applyBorder="1" applyAlignment="1" applyProtection="1">
      <alignment horizontal="center" vertical="center"/>
      <protection hidden="1"/>
    </xf>
    <xf numFmtId="1" fontId="8" fillId="9" borderId="38" xfId="0" applyNumberFormat="1" applyFont="1" applyFill="1" applyBorder="1" applyAlignment="1" applyProtection="1">
      <alignment horizontal="center" vertical="center"/>
      <protection hidden="1"/>
    </xf>
    <xf numFmtId="1" fontId="8" fillId="9" borderId="40"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 fontId="8" fillId="9" borderId="7" xfId="0" applyNumberFormat="1" applyFont="1" applyFill="1" applyBorder="1" applyAlignment="1" applyProtection="1">
      <alignment horizontal="center" vertical="center"/>
      <protection hidden="1"/>
    </xf>
    <xf numFmtId="1" fontId="8" fillId="9" borderId="12" xfId="0" applyNumberFormat="1" applyFont="1" applyFill="1" applyBorder="1" applyAlignment="1" applyProtection="1">
      <alignment horizontal="center" vertical="center"/>
      <protection hidden="1"/>
    </xf>
    <xf numFmtId="2" fontId="10" fillId="6" borderId="14" xfId="0" applyNumberFormat="1" applyFont="1" applyFill="1" applyBorder="1" applyProtection="1">
      <protection hidden="1"/>
    </xf>
    <xf numFmtId="2" fontId="10" fillId="6" borderId="15"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4" fillId="6" borderId="14" xfId="0" applyNumberFormat="1" applyFont="1" applyFill="1" applyBorder="1" applyAlignment="1" applyProtection="1">
      <alignment vertical="center" wrapText="1"/>
      <protection hidden="1"/>
    </xf>
    <xf numFmtId="2" fontId="8" fillId="6" borderId="15" xfId="0" applyNumberFormat="1" applyFont="1" applyFill="1" applyBorder="1" applyProtection="1">
      <protection hidden="1"/>
    </xf>
    <xf numFmtId="167" fontId="10" fillId="9" borderId="4" xfId="0" applyNumberFormat="1" applyFont="1" applyFill="1" applyBorder="1" applyAlignment="1" applyProtection="1">
      <alignment horizontal="center" vertical="center"/>
      <protection hidden="1"/>
    </xf>
    <xf numFmtId="167" fontId="10" fillId="9" borderId="5" xfId="0" applyNumberFormat="1" applyFont="1" applyFill="1" applyBorder="1" applyAlignment="1" applyProtection="1">
      <alignment horizontal="center" vertical="center"/>
      <protection hidden="1"/>
    </xf>
    <xf numFmtId="167" fontId="10" fillId="9" borderId="40" xfId="0" applyNumberFormat="1" applyFont="1" applyFill="1" applyBorder="1" applyAlignment="1" applyProtection="1">
      <alignment horizontal="center" vertical="center"/>
      <protection hidden="1"/>
    </xf>
    <xf numFmtId="169" fontId="10" fillId="9" borderId="40" xfId="0" applyNumberFormat="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164" fontId="8" fillId="9" borderId="41" xfId="0" applyNumberFormat="1" applyFont="1" applyFill="1" applyBorder="1" applyAlignment="1" applyProtection="1">
      <alignment horizontal="center" vertical="center"/>
      <protection hidden="1"/>
    </xf>
    <xf numFmtId="164" fontId="8" fillId="9" borderId="12"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protection hidden="1"/>
    </xf>
    <xf numFmtId="171" fontId="8" fillId="9" borderId="12" xfId="0" applyNumberFormat="1" applyFont="1" applyFill="1" applyBorder="1" applyAlignment="1" applyProtection="1">
      <alignment horizontal="center" vertical="center"/>
      <protection hidden="1"/>
    </xf>
    <xf numFmtId="1" fontId="14" fillId="6" borderId="5" xfId="0" applyNumberFormat="1" applyFont="1" applyFill="1" applyBorder="1" applyAlignment="1" applyProtection="1">
      <alignment horizontal="center" vertical="center" wrapText="1"/>
      <protection hidden="1"/>
    </xf>
    <xf numFmtId="1" fontId="14" fillId="6" borderId="38" xfId="0" applyNumberFormat="1" applyFont="1" applyFill="1" applyBorder="1" applyAlignment="1" applyProtection="1">
      <alignment horizontal="center" vertical="center" wrapText="1"/>
      <protection hidden="1"/>
    </xf>
    <xf numFmtId="171" fontId="14" fillId="9" borderId="41" xfId="0" applyNumberFormat="1" applyFont="1" applyFill="1" applyBorder="1" applyAlignment="1" applyProtection="1">
      <alignment horizontal="center" vertical="center"/>
      <protection hidden="1"/>
    </xf>
    <xf numFmtId="171" fontId="14" fillId="9" borderId="8" xfId="0" applyNumberFormat="1" applyFont="1" applyFill="1" applyBorder="1" applyAlignment="1" applyProtection="1">
      <alignment horizontal="center" vertical="center"/>
      <protection hidden="1"/>
    </xf>
    <xf numFmtId="171" fontId="14" fillId="9" borderId="12" xfId="0" applyNumberFormat="1" applyFont="1" applyFill="1" applyBorder="1" applyAlignment="1" applyProtection="1">
      <alignment horizontal="center" vertical="center"/>
      <protection hidden="1"/>
    </xf>
    <xf numFmtId="0" fontId="5" fillId="15" borderId="4" xfId="0" applyFont="1" applyFill="1" applyBorder="1" applyAlignment="1" applyProtection="1">
      <alignment horizontal="left" vertical="center" wrapText="1"/>
      <protection hidden="1"/>
    </xf>
    <xf numFmtId="0" fontId="8" fillId="9" borderId="5" xfId="0" applyFont="1" applyFill="1" applyBorder="1" applyAlignment="1" applyProtection="1">
      <alignment horizontal="center" vertical="center"/>
      <protection hidden="1"/>
    </xf>
    <xf numFmtId="0" fontId="5" fillId="15" borderId="5" xfId="0" applyFont="1" applyFill="1" applyBorder="1" applyAlignment="1" applyProtection="1">
      <alignment horizontal="left" vertical="center" wrapText="1"/>
      <protection hidden="1"/>
    </xf>
    <xf numFmtId="1" fontId="8" fillId="9" borderId="5" xfId="0" applyNumberFormat="1" applyFont="1" applyFill="1" applyBorder="1" applyAlignment="1" applyProtection="1">
      <alignment horizontal="center" vertical="center"/>
      <protection hidden="1"/>
    </xf>
    <xf numFmtId="0" fontId="34" fillId="15" borderId="5" xfId="0" applyFont="1" applyFill="1" applyBorder="1" applyAlignment="1" applyProtection="1">
      <alignment horizontal="left" vertical="center" wrapText="1"/>
      <protection hidden="1"/>
    </xf>
    <xf numFmtId="1" fontId="8" fillId="9" borderId="38" xfId="0" applyNumberFormat="1" applyFont="1" applyFill="1" applyBorder="1" applyAlignment="1" applyProtection="1">
      <alignment horizontal="center" vertical="center" wrapText="1"/>
      <protection hidden="1"/>
    </xf>
    <xf numFmtId="0" fontId="34" fillId="15" borderId="8"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5" fillId="15" borderId="8" xfId="0" applyFont="1" applyFill="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2" fontId="9" fillId="6" borderId="30" xfId="2" applyNumberFormat="1" applyFont="1" applyFill="1" applyBorder="1" applyAlignment="1" applyProtection="1">
      <protection hidden="1"/>
    </xf>
    <xf numFmtId="0" fontId="8" fillId="9" borderId="41" xfId="0" applyFont="1" applyFill="1" applyBorder="1" applyAlignment="1" applyProtection="1">
      <alignment horizontal="center" vertical="center"/>
      <protection hidden="1"/>
    </xf>
    <xf numFmtId="2" fontId="8" fillId="9" borderId="56" xfId="0" applyNumberFormat="1" applyFont="1" applyFill="1" applyBorder="1" applyAlignment="1" applyProtection="1">
      <alignment horizontal="centerContinuous" vertical="center" wrapText="1"/>
      <protection hidden="1"/>
    </xf>
    <xf numFmtId="2" fontId="8" fillId="9" borderId="64" xfId="0" applyNumberFormat="1" applyFont="1" applyFill="1" applyBorder="1" applyAlignment="1" applyProtection="1">
      <alignment horizontal="centerContinuous" vertical="center" wrapText="1"/>
      <protection hidden="1"/>
    </xf>
    <xf numFmtId="2" fontId="8" fillId="9" borderId="67" xfId="0" applyNumberFormat="1" applyFont="1" applyFill="1" applyBorder="1" applyAlignment="1" applyProtection="1">
      <alignment horizontal="centerContinuous" vertical="center" wrapText="1"/>
      <protection hidden="1"/>
    </xf>
    <xf numFmtId="2" fontId="8" fillId="9" borderId="6" xfId="0" applyNumberFormat="1" applyFont="1" applyFill="1" applyBorder="1" applyAlignment="1" applyProtection="1">
      <alignment horizontal="centerContinuous" vertical="center" wrapText="1"/>
      <protection hidden="1"/>
    </xf>
    <xf numFmtId="1" fontId="8" fillId="13" borderId="55" xfId="3" applyNumberFormat="1" applyFont="1" applyBorder="1" applyAlignment="1" applyProtection="1">
      <alignment horizontal="center" vertical="center"/>
      <protection locked="0" hidden="1"/>
    </xf>
    <xf numFmtId="2" fontId="8" fillId="6" borderId="10" xfId="0" applyNumberFormat="1" applyFont="1" applyFill="1" applyBorder="1" applyAlignment="1" applyProtection="1">
      <alignment horizontal="center" vertical="center" wrapText="1"/>
      <protection hidden="1"/>
    </xf>
    <xf numFmtId="2" fontId="8" fillId="6" borderId="10" xfId="0" applyNumberFormat="1" applyFont="1" applyFill="1" applyBorder="1" applyAlignment="1" applyProtection="1">
      <alignment horizontal="left" vertical="center"/>
      <protection hidden="1"/>
    </xf>
    <xf numFmtId="2" fontId="8" fillId="6" borderId="11" xfId="0" applyNumberFormat="1" applyFont="1" applyFill="1" applyBorder="1" applyAlignment="1" applyProtection="1">
      <alignment horizontal="left" vertical="center"/>
      <protection hidden="1"/>
    </xf>
    <xf numFmtId="2" fontId="8" fillId="6" borderId="72" xfId="0" applyNumberFormat="1" applyFont="1" applyFill="1" applyBorder="1" applyAlignment="1" applyProtection="1">
      <alignment horizontal="center" vertical="center" wrapText="1"/>
      <protection hidden="1"/>
    </xf>
    <xf numFmtId="169" fontId="8" fillId="6" borderId="69" xfId="0" applyNumberFormat="1" applyFont="1" applyFill="1" applyBorder="1" applyAlignment="1" applyProtection="1">
      <alignment horizontal="center" vertical="center"/>
      <protection hidden="1"/>
    </xf>
    <xf numFmtId="169" fontId="8" fillId="6" borderId="70" xfId="0" applyNumberFormat="1" applyFont="1" applyFill="1" applyBorder="1" applyAlignment="1" applyProtection="1">
      <alignment horizontal="center" vertical="center"/>
      <protection hidden="1"/>
    </xf>
    <xf numFmtId="2" fontId="14" fillId="6" borderId="15" xfId="0" applyNumberFormat="1" applyFont="1" applyFill="1" applyBorder="1" applyAlignment="1" applyProtection="1">
      <alignment vertical="center" wrapText="1"/>
      <protection hidden="1"/>
    </xf>
    <xf numFmtId="165" fontId="8" fillId="9" borderId="5" xfId="0" applyNumberFormat="1" applyFont="1" applyFill="1" applyBorder="1" applyAlignment="1" applyProtection="1">
      <alignment horizontal="center" vertical="center"/>
      <protection hidden="1"/>
    </xf>
    <xf numFmtId="2" fontId="17" fillId="6" borderId="7" xfId="0" applyNumberFormat="1" applyFont="1" applyFill="1" applyBorder="1" applyAlignment="1" applyProtection="1">
      <alignment horizontal="center" vertical="center" wrapText="1"/>
      <protection hidden="1"/>
    </xf>
    <xf numFmtId="2" fontId="17" fillId="6" borderId="8"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0" fontId="4" fillId="6" borderId="5" xfId="2" applyFont="1" applyFill="1" applyBorder="1" applyAlignment="1" applyProtection="1">
      <alignment horizontal="center" vertical="center"/>
      <protection hidden="1"/>
    </xf>
    <xf numFmtId="0" fontId="36" fillId="6" borderId="8" xfId="2" applyFont="1" applyFill="1" applyBorder="1" applyAlignment="1" applyProtection="1">
      <alignment horizontal="center" vertical="center"/>
      <protection hidden="1"/>
    </xf>
    <xf numFmtId="0" fontId="28" fillId="0" borderId="38" xfId="0" applyFont="1" applyBorder="1" applyAlignment="1" applyProtection="1">
      <alignment vertical="center"/>
      <protection hidden="1"/>
    </xf>
    <xf numFmtId="2" fontId="38" fillId="6" borderId="34"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71" fontId="10" fillId="6" borderId="9" xfId="0" applyNumberFormat="1" applyFont="1" applyFill="1" applyBorder="1" applyAlignment="1" applyProtection="1">
      <alignment horizontal="center" vertical="center"/>
      <protection hidden="1"/>
    </xf>
    <xf numFmtId="171" fontId="10" fillId="6" borderId="10" xfId="0" applyNumberFormat="1" applyFont="1" applyFill="1" applyBorder="1" applyAlignment="1" applyProtection="1">
      <alignment horizontal="center" vertical="center"/>
      <protection hidden="1"/>
    </xf>
    <xf numFmtId="171" fontId="10" fillId="6" borderId="11" xfId="0" applyNumberFormat="1" applyFont="1" applyFill="1" applyBorder="1" applyAlignment="1" applyProtection="1">
      <alignment horizontal="center" vertical="center"/>
      <protection hidden="1"/>
    </xf>
    <xf numFmtId="1" fontId="8" fillId="9" borderId="67" xfId="0" applyNumberFormat="1" applyFont="1" applyFill="1" applyBorder="1" applyAlignment="1" applyProtection="1">
      <alignment horizontal="centerContinuous" vertical="center" wrapText="1"/>
      <protection hidden="1"/>
    </xf>
    <xf numFmtId="164" fontId="8" fillId="0" borderId="0" xfId="0" applyNumberFormat="1" applyFont="1" applyProtection="1">
      <protection hidden="1"/>
    </xf>
    <xf numFmtId="2" fontId="14" fillId="6" borderId="14" xfId="0" applyNumberFormat="1" applyFont="1" applyFill="1" applyBorder="1" applyAlignment="1" applyProtection="1">
      <alignment horizontal="center" vertical="center"/>
      <protection hidden="1"/>
    </xf>
    <xf numFmtId="171" fontId="14" fillId="9" borderId="39" xfId="0" applyNumberFormat="1" applyFont="1" applyFill="1" applyBorder="1" applyAlignment="1" applyProtection="1">
      <alignment horizontal="center" vertical="center"/>
      <protection hidden="1"/>
    </xf>
    <xf numFmtId="2" fontId="14" fillId="9" borderId="12" xfId="0" applyNumberFormat="1" applyFont="1" applyFill="1" applyBorder="1" applyAlignment="1" applyProtection="1">
      <alignment horizontal="center" vertical="center"/>
      <protection hidden="1"/>
    </xf>
    <xf numFmtId="2" fontId="14" fillId="6" borderId="64" xfId="0" applyNumberFormat="1" applyFont="1" applyFill="1" applyBorder="1" applyAlignment="1" applyProtection="1">
      <alignment horizontal="center" vertical="center"/>
      <protection hidden="1"/>
    </xf>
    <xf numFmtId="2" fontId="14" fillId="6" borderId="66" xfId="0" applyNumberFormat="1" applyFont="1" applyFill="1" applyBorder="1" applyAlignment="1" applyProtection="1">
      <alignment horizontal="center" vertical="center"/>
      <protection hidden="1"/>
    </xf>
    <xf numFmtId="2" fontId="14" fillId="6" borderId="64" xfId="0" applyNumberFormat="1" applyFont="1" applyFill="1" applyBorder="1" applyAlignment="1" applyProtection="1">
      <alignment horizontal="centerContinuous" vertical="center"/>
      <protection hidden="1"/>
    </xf>
    <xf numFmtId="2" fontId="14" fillId="6" borderId="6" xfId="0" applyNumberFormat="1" applyFont="1" applyFill="1" applyBorder="1" applyAlignment="1" applyProtection="1">
      <alignment horizontal="centerContinuous" vertical="center"/>
      <protection hidden="1"/>
    </xf>
    <xf numFmtId="0" fontId="28" fillId="6" borderId="40" xfId="0" applyFont="1" applyFill="1" applyBorder="1" applyAlignment="1" applyProtection="1">
      <alignment horizontal="center" vertical="center"/>
      <protection hidden="1"/>
    </xf>
    <xf numFmtId="2" fontId="9" fillId="6" borderId="8" xfId="0" applyNumberFormat="1" applyFont="1" applyFill="1" applyBorder="1" applyAlignment="1" applyProtection="1">
      <alignment horizontal="center" vertical="center"/>
      <protection hidden="1"/>
    </xf>
    <xf numFmtId="2" fontId="14" fillId="6" borderId="48" xfId="0" applyNumberFormat="1" applyFont="1" applyFill="1" applyBorder="1" applyAlignment="1" applyProtection="1">
      <alignment horizontal="center" vertical="center" wrapText="1"/>
      <protection hidden="1"/>
    </xf>
    <xf numFmtId="2" fontId="8" fillId="2" borderId="0" xfId="0" applyNumberFormat="1" applyFont="1" applyFill="1" applyAlignment="1" applyProtection="1">
      <alignment vertical="center"/>
      <protection locked="0" hidden="1"/>
    </xf>
    <xf numFmtId="181" fontId="8" fillId="9" borderId="1"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0" fontId="29" fillId="6" borderId="40" xfId="0" applyFont="1" applyFill="1" applyBorder="1" applyAlignment="1" applyProtection="1">
      <alignment horizontal="center" vertical="center"/>
      <protection hidden="1"/>
    </xf>
    <xf numFmtId="183" fontId="8" fillId="9" borderId="1" xfId="0" applyNumberFormat="1" applyFont="1" applyFill="1" applyBorder="1" applyAlignment="1" applyProtection="1">
      <alignment horizontal="center" vertical="center"/>
      <protection hidden="1"/>
    </xf>
    <xf numFmtId="166" fontId="8" fillId="6" borderId="68" xfId="0" applyNumberFormat="1" applyFont="1" applyFill="1" applyBorder="1" applyAlignment="1" applyProtection="1">
      <alignment horizontal="center" vertical="center"/>
      <protection hidden="1"/>
    </xf>
    <xf numFmtId="166" fontId="8" fillId="9" borderId="5" xfId="0" applyNumberFormat="1" applyFont="1" applyFill="1" applyBorder="1" applyAlignment="1" applyProtection="1">
      <alignment horizontal="center" vertical="center"/>
      <protection hidden="1"/>
    </xf>
    <xf numFmtId="164" fontId="8" fillId="9" borderId="38" xfId="0" applyNumberFormat="1" applyFont="1" applyFill="1" applyBorder="1" applyAlignment="1" applyProtection="1">
      <alignment horizontal="center" vertical="center"/>
      <protection hidden="1"/>
    </xf>
    <xf numFmtId="171" fontId="8" fillId="7" borderId="4" xfId="0" applyNumberFormat="1" applyFont="1" applyFill="1" applyBorder="1" applyAlignment="1" applyProtection="1">
      <alignment horizontal="center" vertical="center"/>
      <protection locked="0" hidden="1"/>
    </xf>
    <xf numFmtId="171" fontId="8" fillId="7" borderId="5" xfId="0" applyNumberFormat="1" applyFont="1" applyFill="1" applyBorder="1" applyAlignment="1" applyProtection="1">
      <alignment horizontal="center" vertical="center"/>
      <protection locked="0" hidden="1"/>
    </xf>
    <xf numFmtId="182" fontId="8" fillId="9" borderId="5" xfId="0" applyNumberFormat="1" applyFont="1" applyFill="1" applyBorder="1" applyAlignment="1" applyProtection="1">
      <alignment horizontal="center" vertical="center"/>
      <protection hidden="1"/>
    </xf>
    <xf numFmtId="181" fontId="8" fillId="9" borderId="8" xfId="0" applyNumberFormat="1" applyFont="1" applyFill="1" applyBorder="1" applyAlignment="1" applyProtection="1">
      <alignment horizontal="center" vertical="center"/>
      <protection hidden="1"/>
    </xf>
    <xf numFmtId="183" fontId="8" fillId="9" borderId="8" xfId="0" applyNumberFormat="1" applyFont="1" applyFill="1" applyBorder="1" applyAlignment="1" applyProtection="1">
      <alignment horizontal="center" vertical="center"/>
      <protection hidden="1"/>
    </xf>
    <xf numFmtId="1" fontId="8" fillId="6" borderId="57" xfId="0" applyNumberFormat="1" applyFont="1" applyFill="1" applyBorder="1" applyAlignment="1" applyProtection="1">
      <alignment horizontal="center" vertical="center"/>
      <protection hidden="1"/>
    </xf>
    <xf numFmtId="1" fontId="8" fillId="6" borderId="50" xfId="0" applyNumberFormat="1" applyFont="1" applyFill="1" applyBorder="1" applyAlignment="1" applyProtection="1">
      <alignment horizontal="center" vertical="center"/>
      <protection hidden="1"/>
    </xf>
    <xf numFmtId="1" fontId="8" fillId="6" borderId="58" xfId="0" applyNumberFormat="1" applyFont="1" applyFill="1" applyBorder="1" applyAlignment="1" applyProtection="1">
      <alignment horizontal="center" vertical="center"/>
      <protection hidden="1"/>
    </xf>
    <xf numFmtId="2" fontId="14" fillId="6" borderId="33" xfId="0" applyNumberFormat="1" applyFont="1" applyFill="1" applyBorder="1" applyAlignment="1" applyProtection="1">
      <alignment horizontal="center" wrapText="1"/>
      <protection hidden="1"/>
    </xf>
    <xf numFmtId="2" fontId="14" fillId="6" borderId="9"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protection hidden="1"/>
    </xf>
    <xf numFmtId="1" fontId="14" fillId="6" borderId="10" xfId="0" applyNumberFormat="1" applyFont="1" applyFill="1" applyBorder="1" applyAlignment="1" applyProtection="1">
      <alignment horizontal="center" vertical="center"/>
      <protection hidden="1"/>
    </xf>
    <xf numFmtId="1" fontId="14" fillId="6" borderId="11"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wrapText="1"/>
      <protection hidden="1"/>
    </xf>
    <xf numFmtId="171" fontId="8" fillId="4" borderId="10" xfId="0" applyNumberFormat="1" applyFont="1" applyFill="1" applyBorder="1" applyAlignment="1" applyProtection="1">
      <alignment horizontal="center" vertical="center"/>
      <protection locked="0" hidden="1"/>
    </xf>
    <xf numFmtId="171" fontId="8" fillId="4" borderId="11" xfId="0" applyNumberFormat="1" applyFont="1" applyFill="1" applyBorder="1" applyAlignment="1" applyProtection="1">
      <alignment horizontal="center" vertical="center" wrapText="1"/>
      <protection locked="0" hidden="1"/>
    </xf>
    <xf numFmtId="2" fontId="8" fillId="6" borderId="34" xfId="0" applyNumberFormat="1" applyFont="1" applyFill="1" applyBorder="1" applyAlignment="1" applyProtection="1">
      <alignment horizontal="center" vertical="center" wrapText="1"/>
      <protection hidden="1"/>
    </xf>
    <xf numFmtId="0" fontId="40" fillId="6" borderId="4" xfId="0" applyFont="1" applyFill="1" applyBorder="1" applyAlignment="1" applyProtection="1">
      <alignment horizontal="center" vertical="center" wrapText="1"/>
      <protection hidden="1"/>
    </xf>
    <xf numFmtId="0" fontId="41" fillId="6" borderId="5" xfId="0" applyFont="1" applyFill="1" applyBorder="1" applyAlignment="1" applyProtection="1">
      <alignment horizontal="center" vertical="center" wrapText="1"/>
      <protection hidden="1"/>
    </xf>
    <xf numFmtId="0" fontId="40" fillId="6" borderId="7" xfId="0" applyFont="1" applyFill="1" applyBorder="1" applyAlignment="1" applyProtection="1">
      <alignment horizontal="center" vertical="center" wrapText="1"/>
      <protection hidden="1"/>
    </xf>
    <xf numFmtId="0" fontId="40" fillId="6" borderId="8" xfId="0" applyFont="1" applyFill="1" applyBorder="1" applyAlignment="1" applyProtection="1">
      <alignment horizontal="center" vertical="center" wrapText="1"/>
      <protection hidden="1"/>
    </xf>
    <xf numFmtId="0" fontId="23" fillId="6" borderId="34" xfId="0" applyFont="1" applyFill="1" applyBorder="1" applyAlignment="1" applyProtection="1">
      <alignment horizontal="center" vertical="center" wrapText="1"/>
      <protection hidden="1"/>
    </xf>
    <xf numFmtId="2" fontId="8" fillId="6" borderId="68" xfId="0" applyNumberFormat="1" applyFont="1" applyFill="1" applyBorder="1" applyAlignment="1" applyProtection="1">
      <alignment horizontal="center" vertical="center"/>
      <protection hidden="1"/>
    </xf>
    <xf numFmtId="1" fontId="8" fillId="6" borderId="69" xfId="0" applyNumberFormat="1" applyFont="1" applyFill="1" applyBorder="1" applyAlignment="1" applyProtection="1">
      <alignment horizontal="center" vertical="center" wrapText="1"/>
      <protection hidden="1"/>
    </xf>
    <xf numFmtId="1" fontId="8" fillId="6" borderId="70" xfId="0" applyNumberFormat="1" applyFont="1" applyFill="1" applyBorder="1" applyAlignment="1" applyProtection="1">
      <alignment horizontal="center" vertical="center" wrapText="1"/>
      <protection hidden="1"/>
    </xf>
    <xf numFmtId="171" fontId="8" fillId="9" borderId="41" xfId="0" applyNumberFormat="1" applyFont="1" applyFill="1" applyBorder="1" applyAlignment="1" applyProtection="1">
      <alignment horizontal="center" vertical="center"/>
      <protection hidden="1"/>
    </xf>
    <xf numFmtId="171" fontId="8" fillId="9" borderId="3" xfId="0" applyNumberFormat="1" applyFont="1" applyFill="1" applyBorder="1" applyAlignment="1" applyProtection="1">
      <alignment horizontal="center" vertical="center"/>
      <protection hidden="1"/>
    </xf>
    <xf numFmtId="171" fontId="8" fillId="9" borderId="13" xfId="0" applyNumberFormat="1" applyFont="1" applyFill="1" applyBorder="1" applyAlignment="1" applyProtection="1">
      <alignment horizontal="center" vertical="center"/>
      <protection hidden="1"/>
    </xf>
    <xf numFmtId="171" fontId="8" fillId="6" borderId="69" xfId="0" applyNumberFormat="1" applyFont="1" applyFill="1" applyBorder="1" applyAlignment="1" applyProtection="1">
      <alignment horizontal="center" vertical="center"/>
      <protection hidden="1"/>
    </xf>
    <xf numFmtId="171" fontId="8" fillId="6" borderId="70" xfId="0" applyNumberFormat="1" applyFont="1" applyFill="1" applyBorder="1" applyAlignment="1" applyProtection="1">
      <alignment horizontal="center" vertical="center"/>
      <protection hidden="1"/>
    </xf>
    <xf numFmtId="171" fontId="8" fillId="9" borderId="18" xfId="0" applyNumberFormat="1" applyFont="1" applyFill="1" applyBorder="1" applyAlignment="1" applyProtection="1">
      <alignment horizontal="center" vertical="center"/>
      <protection hidden="1"/>
    </xf>
    <xf numFmtId="171" fontId="8" fillId="9" borderId="20" xfId="0" applyNumberFormat="1" applyFont="1" applyFill="1" applyBorder="1" applyAlignment="1" applyProtection="1">
      <alignment horizontal="center" vertical="center"/>
      <protection hidden="1"/>
    </xf>
    <xf numFmtId="171" fontId="8" fillId="9" borderId="43"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wrapText="1"/>
      <protection hidden="1"/>
    </xf>
    <xf numFmtId="2" fontId="8" fillId="6" borderId="57" xfId="0" applyNumberFormat="1" applyFont="1" applyFill="1" applyBorder="1" applyAlignment="1" applyProtection="1">
      <alignment horizontal="center" vertical="center" wrapText="1"/>
      <protection hidden="1"/>
    </xf>
    <xf numFmtId="2" fontId="8" fillId="6" borderId="50" xfId="0" applyNumberFormat="1" applyFont="1" applyFill="1" applyBorder="1" applyAlignment="1" applyProtection="1">
      <alignment horizontal="center" vertical="center" wrapText="1"/>
      <protection hidden="1"/>
    </xf>
    <xf numFmtId="185" fontId="8" fillId="2" borderId="0" xfId="0" applyNumberFormat="1" applyFont="1" applyFill="1" applyAlignment="1" applyProtection="1">
      <alignment horizontal="center"/>
      <protection hidden="1"/>
    </xf>
    <xf numFmtId="2" fontId="14" fillId="6" borderId="5" xfId="0" applyNumberFormat="1" applyFont="1" applyFill="1" applyBorder="1" applyAlignment="1" applyProtection="1">
      <alignment horizontal="center" vertical="center"/>
      <protection hidden="1"/>
    </xf>
    <xf numFmtId="9" fontId="29" fillId="6" borderId="41" xfId="0" applyNumberFormat="1" applyFont="1" applyFill="1" applyBorder="1" applyAlignment="1" applyProtection="1">
      <alignment horizontal="center" vertical="center"/>
      <protection hidden="1"/>
    </xf>
    <xf numFmtId="11" fontId="8" fillId="0" borderId="0" xfId="0" applyNumberFormat="1" applyFont="1" applyProtection="1">
      <protection hidden="1"/>
    </xf>
    <xf numFmtId="2" fontId="8" fillId="9" borderId="5" xfId="0" applyNumberFormat="1" applyFont="1" applyFill="1" applyBorder="1" applyAlignment="1" applyProtection="1">
      <alignment horizontal="center" vertical="center"/>
      <protection hidden="1"/>
    </xf>
    <xf numFmtId="2" fontId="8" fillId="9" borderId="66" xfId="0" applyNumberFormat="1" applyFont="1" applyFill="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2" fontId="17" fillId="6" borderId="42" xfId="0" applyNumberFormat="1" applyFont="1" applyFill="1" applyBorder="1" applyAlignment="1" applyProtection="1">
      <alignment horizontal="center" vertical="center" wrapText="1"/>
      <protection hidden="1"/>
    </xf>
    <xf numFmtId="2" fontId="23" fillId="6" borderId="20" xfId="0" applyNumberFormat="1" applyFont="1" applyFill="1" applyBorder="1" applyAlignment="1" applyProtection="1">
      <alignment horizontal="center" vertical="center" wrapText="1"/>
      <protection hidden="1"/>
    </xf>
    <xf numFmtId="2" fontId="19" fillId="3" borderId="68" xfId="0" applyNumberFormat="1" applyFont="1" applyFill="1" applyBorder="1" applyAlignment="1" applyProtection="1">
      <alignment horizontal="center" vertical="top"/>
      <protection hidden="1"/>
    </xf>
    <xf numFmtId="2" fontId="17" fillId="6" borderId="69" xfId="0" applyNumberFormat="1" applyFont="1" applyFill="1" applyBorder="1" applyAlignment="1" applyProtection="1">
      <alignment horizontal="center" vertical="center"/>
      <protection hidden="1"/>
    </xf>
    <xf numFmtId="2" fontId="17" fillId="6" borderId="69" xfId="0" applyNumberFormat="1" applyFont="1" applyFill="1" applyBorder="1" applyAlignment="1" applyProtection="1">
      <alignment horizontal="left" vertical="center"/>
      <protection hidden="1"/>
    </xf>
    <xf numFmtId="2" fontId="17" fillId="6" borderId="69" xfId="0" applyNumberFormat="1" applyFont="1" applyFill="1" applyBorder="1" applyAlignment="1" applyProtection="1">
      <alignment vertical="center"/>
      <protection hidden="1"/>
    </xf>
    <xf numFmtId="2" fontId="8" fillId="6" borderId="69" xfId="0" applyNumberFormat="1" applyFont="1" applyFill="1" applyBorder="1" applyAlignment="1" applyProtection="1">
      <alignment horizontal="center" vertical="center"/>
      <protection hidden="1"/>
    </xf>
    <xf numFmtId="172" fontId="8" fillId="6" borderId="70" xfId="0" applyNumberFormat="1" applyFont="1" applyFill="1" applyBorder="1" applyProtection="1">
      <protection hidden="1"/>
    </xf>
    <xf numFmtId="173" fontId="8" fillId="9" borderId="64" xfId="0" applyNumberFormat="1" applyFont="1" applyFill="1" applyBorder="1" applyAlignment="1" applyProtection="1">
      <alignment horizontal="center" vertical="center" wrapText="1"/>
      <protection hidden="1"/>
    </xf>
    <xf numFmtId="173" fontId="8" fillId="9" borderId="65" xfId="0" applyNumberFormat="1" applyFont="1" applyFill="1" applyBorder="1" applyAlignment="1" applyProtection="1">
      <alignment horizontal="center" vertical="center"/>
      <protection hidden="1"/>
    </xf>
    <xf numFmtId="11" fontId="8" fillId="9" borderId="65" xfId="0" applyNumberFormat="1" applyFont="1" applyFill="1" applyBorder="1" applyAlignment="1" applyProtection="1">
      <alignment horizontal="center" vertical="center"/>
      <protection hidden="1"/>
    </xf>
    <xf numFmtId="173" fontId="8" fillId="9" borderId="66"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protection hidden="1"/>
    </xf>
    <xf numFmtId="2" fontId="9" fillId="6" borderId="23" xfId="2" applyNumberFormat="1" applyFont="1" applyFill="1" applyBorder="1" applyAlignment="1" applyProtection="1">
      <alignment horizontal="center" vertical="center"/>
      <protection hidden="1"/>
    </xf>
    <xf numFmtId="173" fontId="14" fillId="9" borderId="30" xfId="0" applyNumberFormat="1" applyFont="1" applyFill="1" applyBorder="1" applyAlignment="1" applyProtection="1">
      <alignment horizontal="center" vertical="center"/>
      <protection hidden="1"/>
    </xf>
    <xf numFmtId="0" fontId="4" fillId="6" borderId="32" xfId="2" applyFont="1" applyFill="1" applyBorder="1" applyAlignment="1" applyProtection="1">
      <alignment horizontal="center" vertical="center"/>
      <protection hidden="1"/>
    </xf>
    <xf numFmtId="0" fontId="4" fillId="6" borderId="34" xfId="2" applyFont="1" applyFill="1" applyBorder="1" applyAlignment="1" applyProtection="1">
      <alignment horizontal="center" vertical="center"/>
      <protection hidden="1"/>
    </xf>
    <xf numFmtId="2" fontId="9" fillId="6" borderId="32" xfId="2" applyNumberFormat="1" applyFont="1" applyFill="1" applyBorder="1" applyAlignment="1" applyProtection="1">
      <alignment horizontal="center" vertical="center"/>
      <protection hidden="1"/>
    </xf>
    <xf numFmtId="2" fontId="9" fillId="6" borderId="34" xfId="2" applyNumberFormat="1" applyFont="1" applyFill="1" applyBorder="1" applyAlignment="1" applyProtection="1">
      <alignment horizontal="center" vertical="center"/>
      <protection hidden="1"/>
    </xf>
    <xf numFmtId="11" fontId="14" fillId="9" borderId="15" xfId="0" applyNumberFormat="1" applyFont="1" applyFill="1" applyBorder="1" applyAlignment="1" applyProtection="1">
      <alignment horizontal="center" vertical="center"/>
      <protection hidden="1"/>
    </xf>
    <xf numFmtId="1" fontId="10" fillId="9" borderId="65" xfId="0" applyNumberFormat="1" applyFont="1" applyFill="1" applyBorder="1" applyAlignment="1" applyProtection="1">
      <alignment horizontal="center" vertical="center"/>
      <protection hidden="1"/>
    </xf>
    <xf numFmtId="1" fontId="37" fillId="9" borderId="65" xfId="0" applyNumberFormat="1" applyFont="1" applyFill="1" applyBorder="1" applyAlignment="1" applyProtection="1">
      <alignment horizontal="center" vertical="center"/>
      <protection hidden="1"/>
    </xf>
    <xf numFmtId="1" fontId="8" fillId="9" borderId="64" xfId="0" applyNumberFormat="1" applyFont="1" applyFill="1" applyBorder="1" applyAlignment="1" applyProtection="1">
      <alignment horizontal="center" vertical="center"/>
      <protection hidden="1"/>
    </xf>
    <xf numFmtId="1" fontId="8" fillId="9" borderId="65" xfId="0" applyNumberFormat="1" applyFont="1" applyFill="1" applyBorder="1" applyAlignment="1" applyProtection="1">
      <alignment horizontal="center" vertical="center"/>
      <protection hidden="1"/>
    </xf>
    <xf numFmtId="172" fontId="25" fillId="8" borderId="69" xfId="0" applyNumberFormat="1" applyFont="1" applyFill="1" applyBorder="1" applyAlignment="1" applyProtection="1">
      <alignment horizontal="center" vertical="center"/>
      <protection hidden="1"/>
    </xf>
    <xf numFmtId="2" fontId="49" fillId="8" borderId="69" xfId="0" applyNumberFormat="1" applyFont="1" applyFill="1" applyBorder="1" applyAlignment="1" applyProtection="1">
      <alignment horizontal="center" vertical="center"/>
      <protection hidden="1"/>
    </xf>
    <xf numFmtId="2" fontId="49" fillId="3" borderId="70" xfId="0" applyNumberFormat="1" applyFont="1" applyFill="1" applyBorder="1" applyAlignment="1" applyProtection="1">
      <alignment horizontal="center" vertical="center"/>
      <protection hidden="1"/>
    </xf>
    <xf numFmtId="2" fontId="9" fillId="9" borderId="43" xfId="0" applyNumberFormat="1" applyFont="1" applyFill="1" applyBorder="1" applyAlignment="1" applyProtection="1">
      <alignment horizontal="center" vertical="center"/>
      <protection hidden="1"/>
    </xf>
    <xf numFmtId="11" fontId="8" fillId="9" borderId="44" xfId="0" applyNumberFormat="1" applyFont="1" applyFill="1" applyBorder="1" applyAlignment="1" applyProtection="1">
      <alignment horizontal="center" vertical="center" wrapText="1"/>
      <protection hidden="1"/>
    </xf>
    <xf numFmtId="2" fontId="8" fillId="10" borderId="27" xfId="0" applyNumberFormat="1" applyFont="1" applyFill="1" applyBorder="1" applyAlignment="1" applyProtection="1">
      <alignment horizontal="center" vertical="center"/>
      <protection hidden="1"/>
    </xf>
    <xf numFmtId="2" fontId="25" fillId="8" borderId="68" xfId="0" applyNumberFormat="1" applyFont="1" applyFill="1" applyBorder="1" applyAlignment="1" applyProtection="1">
      <alignment horizontal="center" vertical="center"/>
      <protection hidden="1"/>
    </xf>
    <xf numFmtId="2" fontId="25" fillId="8" borderId="69" xfId="0" applyNumberFormat="1" applyFont="1" applyFill="1" applyBorder="1" applyAlignment="1" applyProtection="1">
      <alignment horizontal="center" vertical="center"/>
      <protection hidden="1"/>
    </xf>
    <xf numFmtId="2" fontId="49" fillId="3" borderId="69" xfId="0" applyNumberFormat="1" applyFont="1" applyFill="1" applyBorder="1" applyAlignment="1" applyProtection="1">
      <alignment horizontal="center" vertical="center" wrapText="1"/>
      <protection hidden="1"/>
    </xf>
    <xf numFmtId="171" fontId="8" fillId="9" borderId="6" xfId="0" applyNumberFormat="1" applyFont="1" applyFill="1" applyBorder="1" applyAlignment="1" applyProtection="1">
      <alignment horizontal="center" vertical="center"/>
      <protection hidden="1"/>
    </xf>
    <xf numFmtId="2" fontId="10" fillId="9" borderId="45" xfId="0" applyNumberFormat="1" applyFont="1" applyFill="1" applyBorder="1" applyAlignment="1" applyProtection="1">
      <alignment horizontal="center" vertical="center"/>
      <protection hidden="1"/>
    </xf>
    <xf numFmtId="167" fontId="8" fillId="2" borderId="0" xfId="0" applyNumberFormat="1" applyFont="1" applyFill="1" applyProtection="1">
      <protection hidden="1"/>
    </xf>
    <xf numFmtId="0" fontId="8" fillId="9" borderId="38" xfId="0" applyFont="1" applyFill="1" applyBorder="1" applyAlignment="1" applyProtection="1">
      <alignment horizontal="center" vertical="center"/>
      <protection hidden="1"/>
    </xf>
    <xf numFmtId="1" fontId="8" fillId="6" borderId="6" xfId="0" applyNumberFormat="1" applyFont="1" applyFill="1" applyBorder="1" applyAlignment="1" applyProtection="1">
      <alignment horizontal="center" vertical="center"/>
      <protection hidden="1"/>
    </xf>
    <xf numFmtId="189" fontId="8" fillId="9" borderId="65" xfId="0" applyNumberFormat="1" applyFont="1" applyFill="1" applyBorder="1" applyAlignment="1" applyProtection="1">
      <alignment horizontal="center" vertical="center"/>
      <protection hidden="1"/>
    </xf>
    <xf numFmtId="1" fontId="9" fillId="9" borderId="10" xfId="0" applyNumberFormat="1" applyFont="1" applyFill="1" applyBorder="1" applyAlignment="1" applyProtection="1">
      <alignment horizontal="center" vertical="center"/>
      <protection hidden="1"/>
    </xf>
    <xf numFmtId="1" fontId="9" fillId="9" borderId="11" xfId="0" applyNumberFormat="1" applyFont="1" applyFill="1" applyBorder="1" applyAlignment="1" applyProtection="1">
      <alignment horizontal="center" vertical="center"/>
      <protection hidden="1"/>
    </xf>
    <xf numFmtId="1" fontId="14" fillId="6" borderId="63" xfId="0" applyNumberFormat="1" applyFont="1" applyFill="1" applyBorder="1" applyAlignment="1" applyProtection="1">
      <alignment horizontal="center" vertical="center" wrapText="1"/>
      <protection hidden="1"/>
    </xf>
    <xf numFmtId="171" fontId="14" fillId="9" borderId="3" xfId="0" applyNumberFormat="1" applyFont="1" applyFill="1" applyBorder="1" applyAlignment="1" applyProtection="1">
      <alignment horizontal="center" vertical="center"/>
      <protection hidden="1"/>
    </xf>
    <xf numFmtId="171" fontId="14" fillId="9" borderId="13" xfId="0" applyNumberFormat="1" applyFont="1" applyFill="1" applyBorder="1" applyAlignment="1" applyProtection="1">
      <alignment horizontal="center" vertical="center"/>
      <protection hidden="1"/>
    </xf>
    <xf numFmtId="171" fontId="14" fillId="9" borderId="6" xfId="0" applyNumberFormat="1" applyFont="1" applyFill="1" applyBorder="1" applyAlignment="1" applyProtection="1">
      <alignment horizontal="center" vertical="center"/>
      <protection hidden="1"/>
    </xf>
    <xf numFmtId="2" fontId="14" fillId="6" borderId="68" xfId="0" applyNumberFormat="1" applyFont="1" applyFill="1" applyBorder="1" applyAlignment="1" applyProtection="1">
      <alignment horizontal="center" vertical="center"/>
      <protection hidden="1"/>
    </xf>
    <xf numFmtId="2" fontId="14" fillId="6" borderId="69" xfId="0" applyNumberFormat="1" applyFont="1" applyFill="1" applyBorder="1" applyAlignment="1" applyProtection="1">
      <alignment horizontal="center" vertical="center" wrapText="1"/>
      <protection hidden="1"/>
    </xf>
    <xf numFmtId="2" fontId="14" fillId="6" borderId="70" xfId="0" applyNumberFormat="1" applyFont="1" applyFill="1" applyBorder="1" applyAlignment="1" applyProtection="1">
      <alignment horizontal="center" vertical="center" wrapText="1"/>
      <protection hidden="1"/>
    </xf>
    <xf numFmtId="171" fontId="14" fillId="9" borderId="15" xfId="0" applyNumberFormat="1" applyFont="1" applyFill="1" applyBorder="1" applyAlignment="1" applyProtection="1">
      <alignment horizontal="center" vertical="center"/>
      <protection hidden="1"/>
    </xf>
    <xf numFmtId="169" fontId="14" fillId="9" borderId="20" xfId="0" applyNumberFormat="1" applyFont="1" applyFill="1" applyBorder="1" applyAlignment="1" applyProtection="1">
      <alignment horizontal="center" vertical="center"/>
      <protection hidden="1"/>
    </xf>
    <xf numFmtId="164" fontId="14" fillId="9" borderId="8" xfId="0" applyNumberFormat="1" applyFont="1" applyFill="1" applyBorder="1" applyAlignment="1" applyProtection="1">
      <alignment horizontal="center" vertical="center"/>
      <protection hidden="1"/>
    </xf>
    <xf numFmtId="170" fontId="14" fillId="9" borderId="8" xfId="0" applyNumberFormat="1" applyFont="1" applyFill="1" applyBorder="1" applyAlignment="1" applyProtection="1">
      <alignment horizontal="center" vertical="center"/>
      <protection hidden="1"/>
    </xf>
    <xf numFmtId="170" fontId="14" fillId="9" borderId="5" xfId="0" applyNumberFormat="1" applyFont="1" applyFill="1" applyBorder="1" applyAlignment="1" applyProtection="1">
      <alignment horizontal="center" vertical="center"/>
      <protection hidden="1"/>
    </xf>
    <xf numFmtId="170" fontId="8" fillId="9" borderId="5" xfId="0" applyNumberFormat="1" applyFont="1" applyFill="1" applyBorder="1" applyAlignment="1" applyProtection="1">
      <alignment horizontal="center" vertical="center"/>
      <protection hidden="1"/>
    </xf>
    <xf numFmtId="170" fontId="8" fillId="9" borderId="8" xfId="0" applyNumberFormat="1" applyFont="1" applyFill="1" applyBorder="1" applyAlignment="1" applyProtection="1">
      <alignment horizontal="center" vertical="center"/>
      <protection hidden="1"/>
    </xf>
    <xf numFmtId="1" fontId="10" fillId="9" borderId="1" xfId="0" applyNumberFormat="1" applyFont="1" applyFill="1" applyBorder="1" applyAlignment="1" applyProtection="1">
      <alignment horizontal="center" vertical="center"/>
      <protection hidden="1"/>
    </xf>
    <xf numFmtId="1" fontId="10" fillId="9" borderId="5" xfId="0" applyNumberFormat="1" applyFont="1" applyFill="1" applyBorder="1" applyAlignment="1" applyProtection="1">
      <alignment horizontal="center" vertical="center"/>
      <protection hidden="1"/>
    </xf>
    <xf numFmtId="169" fontId="10" fillId="9" borderId="7" xfId="0" applyNumberFormat="1" applyFont="1" applyFill="1" applyBorder="1" applyAlignment="1" applyProtection="1">
      <alignment horizontal="center" vertical="center"/>
      <protection hidden="1"/>
    </xf>
    <xf numFmtId="169" fontId="10" fillId="9" borderId="8" xfId="0" applyNumberFormat="1" applyFont="1" applyFill="1" applyBorder="1" applyAlignment="1" applyProtection="1">
      <alignment horizontal="center" vertical="center"/>
      <protection hidden="1"/>
    </xf>
    <xf numFmtId="1" fontId="10" fillId="9" borderId="8"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 fontId="8" fillId="9" borderId="43"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8" fillId="9" borderId="47" xfId="0" applyFont="1" applyFill="1" applyBorder="1" applyAlignment="1" applyProtection="1">
      <alignment horizontal="center" vertical="center"/>
      <protection hidden="1"/>
    </xf>
    <xf numFmtId="0" fontId="8" fillId="9" borderId="48" xfId="0" applyFont="1" applyFill="1" applyBorder="1" applyAlignment="1" applyProtection="1">
      <alignment horizontal="center" vertical="center"/>
      <protection hidden="1"/>
    </xf>
    <xf numFmtId="0" fontId="8" fillId="9" borderId="49" xfId="0"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6" fillId="6" borderId="10" xfId="0" applyNumberFormat="1" applyFont="1" applyFill="1" applyBorder="1" applyAlignment="1" applyProtection="1">
      <alignment horizontal="center" vertical="center" wrapText="1"/>
      <protection hidden="1"/>
    </xf>
    <xf numFmtId="1" fontId="8" fillId="9" borderId="31" xfId="0" applyNumberFormat="1" applyFont="1" applyFill="1" applyBorder="1" applyAlignment="1" applyProtection="1">
      <alignment horizontal="center" vertical="center"/>
      <protection hidden="1"/>
    </xf>
    <xf numFmtId="2" fontId="8" fillId="9" borderId="6" xfId="0" applyNumberFormat="1" applyFont="1" applyFill="1" applyBorder="1" applyAlignment="1" applyProtection="1">
      <alignment horizontal="center" vertical="center"/>
      <protection hidden="1"/>
    </xf>
    <xf numFmtId="171" fontId="54" fillId="3" borderId="47" xfId="0" applyNumberFormat="1" applyFont="1" applyFill="1" applyBorder="1" applyAlignment="1" applyProtection="1">
      <alignment horizontal="center" vertical="center"/>
      <protection hidden="1"/>
    </xf>
    <xf numFmtId="171" fontId="54" fillId="3" borderId="48" xfId="0" applyNumberFormat="1" applyFont="1" applyFill="1" applyBorder="1" applyAlignment="1" applyProtection="1">
      <alignment horizontal="center" vertical="center"/>
      <protection hidden="1"/>
    </xf>
    <xf numFmtId="171" fontId="54" fillId="3" borderId="49" xfId="0" applyNumberFormat="1" applyFont="1" applyFill="1" applyBorder="1" applyAlignment="1" applyProtection="1">
      <alignment horizontal="center" vertical="center"/>
      <protection hidden="1"/>
    </xf>
    <xf numFmtId="166" fontId="8" fillId="9" borderId="56" xfId="0" applyNumberFormat="1" applyFont="1" applyFill="1" applyBorder="1" applyAlignment="1" applyProtection="1">
      <alignment horizontal="center" vertical="center"/>
      <protection hidden="1"/>
    </xf>
    <xf numFmtId="166" fontId="8" fillId="9" borderId="2" xfId="0" applyNumberFormat="1" applyFont="1" applyFill="1" applyBorder="1" applyAlignment="1" applyProtection="1">
      <alignment horizontal="center" vertical="center"/>
      <protection hidden="1"/>
    </xf>
    <xf numFmtId="166" fontId="8" fillId="9" borderId="36" xfId="0" applyNumberFormat="1" applyFont="1" applyFill="1" applyBorder="1" applyAlignment="1" applyProtection="1">
      <alignment horizontal="center" vertical="center"/>
      <protection hidden="1"/>
    </xf>
    <xf numFmtId="164" fontId="8" fillId="9" borderId="68" xfId="0" applyNumberFormat="1" applyFont="1" applyFill="1" applyBorder="1" applyAlignment="1" applyProtection="1">
      <alignment horizontal="center" vertical="center"/>
      <protection hidden="1"/>
    </xf>
    <xf numFmtId="164" fontId="8" fillId="9" borderId="69" xfId="0" applyNumberFormat="1" applyFont="1" applyFill="1" applyBorder="1" applyAlignment="1" applyProtection="1">
      <alignment horizontal="center" vertical="center"/>
      <protection hidden="1"/>
    </xf>
    <xf numFmtId="2" fontId="8" fillId="9" borderId="69" xfId="0" applyNumberFormat="1" applyFont="1" applyFill="1" applyBorder="1" applyAlignment="1" applyProtection="1">
      <alignment horizontal="center" vertical="center"/>
      <protection hidden="1"/>
    </xf>
    <xf numFmtId="2" fontId="8" fillId="9" borderId="70" xfId="0" applyNumberFormat="1" applyFont="1" applyFill="1" applyBorder="1" applyAlignment="1" applyProtection="1">
      <alignment horizontal="center" vertical="center"/>
      <protection hidden="1"/>
    </xf>
    <xf numFmtId="2" fontId="8" fillId="6" borderId="32" xfId="0" applyNumberFormat="1" applyFont="1" applyFill="1" applyBorder="1" applyAlignment="1" applyProtection="1">
      <alignment horizontal="center" vertical="center"/>
      <protection hidden="1"/>
    </xf>
    <xf numFmtId="2" fontId="8" fillId="6" borderId="53" xfId="0" applyNumberFormat="1" applyFont="1" applyFill="1" applyBorder="1" applyAlignment="1" applyProtection="1">
      <alignment horizontal="center" vertical="center"/>
      <protection hidden="1"/>
    </xf>
    <xf numFmtId="2" fontId="8" fillId="2" borderId="0" xfId="0" applyNumberFormat="1" applyFont="1" applyFill="1" applyAlignment="1" applyProtection="1">
      <alignment horizontal="center"/>
      <protection hidden="1"/>
    </xf>
    <xf numFmtId="0" fontId="7" fillId="0" borderId="0" xfId="0" applyFont="1"/>
    <xf numFmtId="0" fontId="39" fillId="0" borderId="39" xfId="0" applyFont="1" applyBorder="1" applyAlignment="1">
      <alignment horizontal="center" vertical="center"/>
    </xf>
    <xf numFmtId="0" fontId="46" fillId="0" borderId="0" xfId="0" applyFont="1"/>
    <xf numFmtId="0" fontId="7" fillId="0" borderId="0" xfId="0" applyFont="1" applyAlignment="1">
      <alignment vertical="center"/>
    </xf>
    <xf numFmtId="171" fontId="44" fillId="22" borderId="8" xfId="0" applyNumberFormat="1" applyFont="1" applyFill="1" applyBorder="1" applyAlignment="1">
      <alignment horizontal="center" vertical="center" wrapText="1"/>
    </xf>
    <xf numFmtId="171" fontId="44" fillId="22" borderId="12" xfId="0" applyNumberFormat="1" applyFont="1" applyFill="1" applyBorder="1" applyAlignment="1">
      <alignment horizontal="center" vertical="center" wrapText="1"/>
    </xf>
    <xf numFmtId="0" fontId="30" fillId="0" borderId="0" xfId="0" applyFont="1" applyAlignment="1" applyProtection="1">
      <alignment horizontal="center" vertical="center"/>
      <protection hidden="1"/>
    </xf>
    <xf numFmtId="0" fontId="30" fillId="0" borderId="0" xfId="0" applyFont="1" applyProtection="1">
      <protection hidden="1"/>
    </xf>
    <xf numFmtId="164" fontId="8" fillId="9" borderId="8" xfId="0" applyNumberFormat="1" applyFont="1" applyFill="1" applyBorder="1" applyAlignment="1" applyProtection="1">
      <alignment horizontal="center" vertical="center"/>
      <protection hidden="1"/>
    </xf>
    <xf numFmtId="9" fontId="8" fillId="9" borderId="38" xfId="1" applyFont="1" applyFill="1" applyBorder="1" applyAlignment="1" applyProtection="1">
      <alignment horizontal="center" vertical="center"/>
      <protection hidden="1"/>
    </xf>
    <xf numFmtId="9" fontId="8" fillId="9" borderId="41" xfId="1" applyFont="1" applyFill="1" applyBorder="1" applyAlignment="1" applyProtection="1">
      <alignment horizontal="center" vertical="center"/>
      <protection hidden="1"/>
    </xf>
    <xf numFmtId="9" fontId="8" fillId="9" borderId="12" xfId="1" applyFont="1" applyFill="1" applyBorder="1" applyAlignment="1" applyProtection="1">
      <alignment horizontal="center" vertical="center"/>
      <protection hidden="1"/>
    </xf>
    <xf numFmtId="167" fontId="10" fillId="9" borderId="7" xfId="0" applyNumberFormat="1" applyFont="1" applyFill="1" applyBorder="1" applyAlignment="1" applyProtection="1">
      <alignment horizontal="center" vertical="center"/>
      <protection hidden="1"/>
    </xf>
    <xf numFmtId="167" fontId="10" fillId="9" borderId="8" xfId="0" applyNumberFormat="1" applyFont="1" applyFill="1" applyBorder="1" applyAlignment="1" applyProtection="1">
      <alignment horizontal="center" vertical="center"/>
      <protection hidden="1"/>
    </xf>
    <xf numFmtId="171" fontId="14" fillId="9" borderId="5" xfId="0" applyNumberFormat="1" applyFont="1" applyFill="1" applyBorder="1" applyAlignment="1" applyProtection="1">
      <alignment horizontal="center" vertical="center"/>
      <protection hidden="1"/>
    </xf>
    <xf numFmtId="164" fontId="14" fillId="9" borderId="5"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wrapText="1"/>
      <protection hidden="1"/>
    </xf>
    <xf numFmtId="164" fontId="14" fillId="9" borderId="1" xfId="0" applyNumberFormat="1" applyFont="1" applyFill="1" applyBorder="1" applyAlignment="1" applyProtection="1">
      <alignment horizontal="center" vertical="center"/>
      <protection hidden="1"/>
    </xf>
    <xf numFmtId="1" fontId="9" fillId="9" borderId="1" xfId="0" applyNumberFormat="1" applyFont="1" applyFill="1" applyBorder="1" applyAlignment="1" applyProtection="1">
      <alignment horizontal="center" vertical="center" wrapText="1"/>
      <protection hidden="1"/>
    </xf>
    <xf numFmtId="2" fontId="14" fillId="9" borderId="1" xfId="0" applyNumberFormat="1" applyFont="1" applyFill="1" applyBorder="1" applyAlignment="1" applyProtection="1">
      <alignment horizontal="center" vertical="center"/>
      <protection hidden="1"/>
    </xf>
    <xf numFmtId="2" fontId="14" fillId="9" borderId="8"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wrapText="1"/>
      <protection hidden="1"/>
    </xf>
    <xf numFmtId="2" fontId="17" fillId="6" borderId="50" xfId="0" applyNumberFormat="1" applyFont="1" applyFill="1" applyBorder="1" applyAlignment="1" applyProtection="1">
      <alignment horizontal="center" vertical="center"/>
      <protection hidden="1"/>
    </xf>
    <xf numFmtId="2" fontId="17" fillId="6" borderId="53" xfId="0" applyNumberFormat="1" applyFont="1" applyFill="1" applyBorder="1" applyAlignment="1" applyProtection="1">
      <alignment horizontal="center" vertical="center" wrapText="1"/>
      <protection hidden="1"/>
    </xf>
    <xf numFmtId="2" fontId="17" fillId="6" borderId="26" xfId="0" applyNumberFormat="1" applyFont="1" applyFill="1" applyBorder="1" applyAlignment="1" applyProtection="1">
      <alignment vertical="center"/>
      <protection hidden="1"/>
    </xf>
    <xf numFmtId="2" fontId="8" fillId="6" borderId="26" xfId="0" applyNumberFormat="1" applyFont="1" applyFill="1" applyBorder="1" applyProtection="1">
      <protection hidden="1"/>
    </xf>
    <xf numFmtId="2" fontId="8" fillId="6" borderId="29" xfId="0" applyNumberFormat="1" applyFont="1" applyFill="1" applyBorder="1" applyAlignment="1" applyProtection="1">
      <alignment horizontal="centerContinuous"/>
      <protection hidden="1"/>
    </xf>
    <xf numFmtId="170" fontId="8" fillId="9" borderId="1"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wrapText="1"/>
      <protection hidden="1"/>
    </xf>
    <xf numFmtId="170" fontId="8" fillId="9" borderId="1" xfId="0" applyNumberFormat="1" applyFont="1" applyFill="1" applyBorder="1" applyAlignment="1" applyProtection="1">
      <alignment horizontal="center" vertical="center" wrapText="1"/>
      <protection hidden="1"/>
    </xf>
    <xf numFmtId="1" fontId="8" fillId="9" borderId="1" xfId="1" applyNumberFormat="1" applyFont="1" applyFill="1" applyBorder="1" applyAlignment="1" applyProtection="1">
      <alignment horizontal="center" vertical="center" wrapText="1"/>
      <protection hidden="1"/>
    </xf>
    <xf numFmtId="1" fontId="8" fillId="9" borderId="2" xfId="1" applyNumberFormat="1" applyFont="1" applyFill="1" applyBorder="1" applyAlignment="1" applyProtection="1">
      <alignment horizontal="center" vertical="center" wrapText="1"/>
      <protection hidden="1"/>
    </xf>
    <xf numFmtId="170" fontId="8" fillId="9" borderId="69"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wrapText="1"/>
      <protection hidden="1"/>
    </xf>
    <xf numFmtId="170" fontId="8" fillId="9" borderId="8" xfId="0" applyNumberFormat="1" applyFont="1" applyFill="1" applyBorder="1" applyAlignment="1" applyProtection="1">
      <alignment horizontal="center" vertical="center" wrapText="1"/>
      <protection hidden="1"/>
    </xf>
    <xf numFmtId="1" fontId="8" fillId="9" borderId="8" xfId="0" applyNumberFormat="1" applyFont="1" applyFill="1" applyBorder="1" applyAlignment="1" applyProtection="1">
      <alignment horizontal="center" vertical="center"/>
      <protection hidden="1"/>
    </xf>
    <xf numFmtId="1" fontId="8" fillId="9" borderId="8" xfId="1" applyNumberFormat="1" applyFont="1" applyFill="1" applyBorder="1" applyAlignment="1" applyProtection="1">
      <alignment horizontal="center" vertical="center" wrapText="1"/>
      <protection hidden="1"/>
    </xf>
    <xf numFmtId="1" fontId="8" fillId="9" borderId="36" xfId="1" applyNumberFormat="1" applyFont="1" applyFill="1" applyBorder="1" applyAlignment="1" applyProtection="1">
      <alignment horizontal="center" vertical="center" wrapText="1"/>
      <protection hidden="1"/>
    </xf>
    <xf numFmtId="170" fontId="8" fillId="9" borderId="70"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wrapText="1"/>
      <protection hidden="1"/>
    </xf>
    <xf numFmtId="170" fontId="8" fillId="9" borderId="5" xfId="0" applyNumberFormat="1" applyFont="1" applyFill="1" applyBorder="1" applyAlignment="1" applyProtection="1">
      <alignment horizontal="center" vertical="center" wrapText="1"/>
      <protection hidden="1"/>
    </xf>
    <xf numFmtId="1" fontId="8" fillId="9" borderId="5" xfId="1" applyNumberFormat="1" applyFont="1" applyFill="1" applyBorder="1" applyAlignment="1" applyProtection="1">
      <alignment horizontal="center" vertical="center" wrapText="1"/>
      <protection hidden="1"/>
    </xf>
    <xf numFmtId="1" fontId="8" fillId="9" borderId="56" xfId="1" applyNumberFormat="1" applyFont="1" applyFill="1" applyBorder="1" applyAlignment="1" applyProtection="1">
      <alignment horizontal="center" vertical="center" wrapText="1"/>
      <protection hidden="1"/>
    </xf>
    <xf numFmtId="170" fontId="8" fillId="9" borderId="68" xfId="0" applyNumberFormat="1" applyFont="1" applyFill="1" applyBorder="1" applyAlignment="1" applyProtection="1">
      <alignment horizontal="center" vertical="center"/>
      <protection hidden="1"/>
    </xf>
    <xf numFmtId="2" fontId="44" fillId="9" borderId="9" xfId="0" applyNumberFormat="1" applyFont="1" applyFill="1" applyBorder="1" applyAlignment="1" applyProtection="1">
      <alignment horizontal="center" vertical="center"/>
      <protection hidden="1"/>
    </xf>
    <xf numFmtId="170" fontId="14" fillId="9" borderId="10" xfId="0" applyNumberFormat="1" applyFont="1" applyFill="1" applyBorder="1" applyAlignment="1" applyProtection="1">
      <alignment horizontal="center" vertical="center"/>
      <protection hidden="1"/>
    </xf>
    <xf numFmtId="170" fontId="14" fillId="9" borderId="11" xfId="0" applyNumberFormat="1" applyFont="1" applyFill="1" applyBorder="1" applyAlignment="1" applyProtection="1">
      <alignment horizontal="center" vertical="center"/>
      <protection hidden="1"/>
    </xf>
    <xf numFmtId="2" fontId="17" fillId="6" borderId="34" xfId="0" applyNumberFormat="1" applyFont="1" applyFill="1" applyBorder="1" applyAlignment="1" applyProtection="1">
      <alignment horizontal="center" vertical="center" wrapText="1"/>
      <protection hidden="1"/>
    </xf>
    <xf numFmtId="0" fontId="44" fillId="0" borderId="47" xfId="0" applyFont="1" applyBorder="1" applyAlignment="1">
      <alignment horizontal="center" vertical="center"/>
    </xf>
    <xf numFmtId="0" fontId="44" fillId="0" borderId="48" xfId="0" applyFont="1" applyBorder="1" applyAlignment="1">
      <alignment horizontal="center" vertical="center"/>
    </xf>
    <xf numFmtId="2" fontId="44" fillId="0" borderId="49" xfId="0" applyNumberFormat="1" applyFont="1" applyBorder="1" applyAlignment="1">
      <alignment horizontal="center" vertical="center"/>
    </xf>
    <xf numFmtId="0" fontId="44" fillId="0" borderId="9" xfId="0" applyFont="1" applyBorder="1" applyAlignment="1">
      <alignment horizontal="center" vertical="center"/>
    </xf>
    <xf numFmtId="0" fontId="44" fillId="21" borderId="68" xfId="0" applyFont="1" applyFill="1" applyBorder="1" applyAlignment="1">
      <alignment horizontal="center" vertical="center" wrapText="1"/>
    </xf>
    <xf numFmtId="0" fontId="44" fillId="21" borderId="70" xfId="0" applyFont="1" applyFill="1" applyBorder="1" applyAlignment="1">
      <alignment horizontal="center" vertical="center" wrapText="1"/>
    </xf>
    <xf numFmtId="171" fontId="44" fillId="7" borderId="5" xfId="0" applyNumberFormat="1" applyFont="1" applyFill="1" applyBorder="1" applyAlignment="1" applyProtection="1">
      <alignment horizontal="center" vertical="center" wrapText="1"/>
      <protection locked="0"/>
    </xf>
    <xf numFmtId="171" fontId="44" fillId="7" borderId="38" xfId="0" applyNumberFormat="1" applyFont="1" applyFill="1" applyBorder="1" applyAlignment="1" applyProtection="1">
      <alignment horizontal="center" vertical="center" wrapText="1"/>
      <protection locked="0"/>
    </xf>
    <xf numFmtId="0" fontId="26" fillId="0" borderId="39" xfId="0" applyFont="1" applyBorder="1" applyAlignment="1">
      <alignment horizontal="center" vertical="center"/>
    </xf>
    <xf numFmtId="2" fontId="15" fillId="0" borderId="0" xfId="0" applyNumberFormat="1" applyFont="1" applyProtection="1">
      <protection hidden="1"/>
    </xf>
    <xf numFmtId="0" fontId="40" fillId="6" borderId="56" xfId="0" applyFont="1" applyFill="1" applyBorder="1" applyAlignment="1" applyProtection="1">
      <alignment horizontal="center" vertical="center" wrapText="1"/>
      <protection hidden="1"/>
    </xf>
    <xf numFmtId="0" fontId="15" fillId="0" borderId="0" xfId="0" applyFont="1" applyProtection="1">
      <protection hidden="1"/>
    </xf>
    <xf numFmtId="2" fontId="15" fillId="0" borderId="0" xfId="0" applyNumberFormat="1" applyFont="1" applyAlignment="1" applyProtection="1">
      <alignment vertical="center"/>
      <protection hidden="1"/>
    </xf>
    <xf numFmtId="2" fontId="57" fillId="2" borderId="0" xfId="0" applyNumberFormat="1" applyFont="1" applyFill="1" applyAlignment="1" applyProtection="1">
      <alignment horizontal="center" vertical="center"/>
      <protection hidden="1"/>
    </xf>
    <xf numFmtId="1" fontId="57" fillId="2" borderId="0" xfId="0" applyNumberFormat="1" applyFont="1" applyFill="1" applyAlignment="1" applyProtection="1">
      <alignment horizontal="center" vertical="center"/>
      <protection hidden="1"/>
    </xf>
    <xf numFmtId="1" fontId="58" fillId="17" borderId="0" xfId="0" applyNumberFormat="1" applyFont="1" applyFill="1" applyAlignment="1" applyProtection="1">
      <alignment horizontal="center" vertical="center"/>
      <protection hidden="1"/>
    </xf>
    <xf numFmtId="2" fontId="58" fillId="17" borderId="0" xfId="0" applyNumberFormat="1" applyFont="1" applyFill="1" applyAlignment="1" applyProtection="1">
      <alignment horizontal="center" vertical="center"/>
      <protection hidden="1"/>
    </xf>
    <xf numFmtId="2" fontId="58" fillId="2" borderId="0" xfId="0" applyNumberFormat="1" applyFont="1" applyFill="1" applyAlignment="1" applyProtection="1">
      <alignment horizontal="center" vertical="center"/>
      <protection hidden="1"/>
    </xf>
    <xf numFmtId="171" fontId="57" fillId="2" borderId="0" xfId="0" applyNumberFormat="1" applyFont="1" applyFill="1" applyAlignment="1" applyProtection="1">
      <alignment horizontal="center" vertical="center"/>
      <protection hidden="1"/>
    </xf>
    <xf numFmtId="169" fontId="57" fillId="2" borderId="0" xfId="0" applyNumberFormat="1" applyFont="1" applyFill="1" applyAlignment="1" applyProtection="1">
      <alignment horizontal="center" vertical="center"/>
      <protection hidden="1"/>
    </xf>
    <xf numFmtId="1" fontId="60" fillId="17" borderId="0" xfId="0" applyNumberFormat="1" applyFont="1" applyFill="1" applyAlignment="1" applyProtection="1">
      <alignment horizontal="center" vertical="center"/>
      <protection hidden="1"/>
    </xf>
    <xf numFmtId="2" fontId="58" fillId="0" borderId="0" xfId="0" applyNumberFormat="1" applyFont="1" applyAlignment="1" applyProtection="1">
      <alignment vertical="center"/>
      <protection hidden="1"/>
    </xf>
    <xf numFmtId="2" fontId="57" fillId="0" borderId="0" xfId="0" applyNumberFormat="1" applyFont="1" applyAlignment="1" applyProtection="1">
      <alignment horizontal="center" vertical="center"/>
      <protection hidden="1"/>
    </xf>
    <xf numFmtId="0" fontId="5" fillId="0" borderId="5"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38" xfId="0" applyFont="1" applyBorder="1" applyAlignment="1">
      <alignment horizontal="center" vertical="center" wrapText="1"/>
    </xf>
    <xf numFmtId="2" fontId="5" fillId="21" borderId="10" xfId="0" applyNumberFormat="1" applyFont="1" applyFill="1" applyBorder="1" applyAlignment="1" applyProtection="1">
      <alignment horizontal="center" vertical="center" wrapText="1"/>
      <protection hidden="1"/>
    </xf>
    <xf numFmtId="2" fontId="5" fillId="21" borderId="11" xfId="0" applyNumberFormat="1" applyFont="1" applyFill="1" applyBorder="1" applyAlignment="1" applyProtection="1">
      <alignment horizontal="center" vertical="center" wrapText="1"/>
      <protection hidden="1"/>
    </xf>
    <xf numFmtId="2" fontId="6" fillId="2" borderId="20"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xf>
    <xf numFmtId="9" fontId="0" fillId="0" borderId="5" xfId="1" applyFont="1" applyBorder="1" applyAlignment="1">
      <alignment horizontal="center" vertical="center"/>
    </xf>
    <xf numFmtId="188" fontId="6" fillId="2" borderId="8"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xf>
    <xf numFmtId="0" fontId="0" fillId="0" borderId="8" xfId="0" applyBorder="1" applyAlignment="1">
      <alignment horizontal="center" vertical="center"/>
    </xf>
    <xf numFmtId="169" fontId="10" fillId="9" borderId="4" xfId="0" applyNumberFormat="1" applyFont="1" applyFill="1" applyBorder="1" applyAlignment="1" applyProtection="1">
      <alignment horizontal="center" vertical="center"/>
      <protection hidden="1"/>
    </xf>
    <xf numFmtId="2" fontId="14" fillId="9" borderId="10" xfId="0" applyNumberFormat="1" applyFont="1" applyFill="1" applyBorder="1" applyAlignment="1" applyProtection="1">
      <alignment horizontal="center" vertical="center"/>
      <protection hidden="1"/>
    </xf>
    <xf numFmtId="170" fontId="14" fillId="9" borderId="1" xfId="0" applyNumberFormat="1" applyFont="1" applyFill="1" applyBorder="1" applyAlignment="1" applyProtection="1">
      <alignment horizontal="center" vertical="center"/>
      <protection hidden="1"/>
    </xf>
    <xf numFmtId="2" fontId="16" fillId="6" borderId="46" xfId="2" applyNumberFormat="1" applyFont="1" applyFill="1" applyBorder="1" applyAlignment="1" applyProtection="1">
      <alignment horizontal="center" vertical="center" wrapText="1"/>
      <protection hidden="1"/>
    </xf>
    <xf numFmtId="0" fontId="29" fillId="0" borderId="5" xfId="0" applyFont="1" applyBorder="1" applyAlignment="1" applyProtection="1">
      <alignment horizontal="center" vertical="center"/>
      <protection hidden="1"/>
    </xf>
    <xf numFmtId="0" fontId="29" fillId="0" borderId="8" xfId="0" applyFont="1" applyBorder="1" applyAlignment="1" applyProtection="1">
      <alignment horizontal="center" vertical="center"/>
      <protection hidden="1"/>
    </xf>
    <xf numFmtId="166" fontId="10" fillId="0" borderId="0" xfId="2" applyNumberFormat="1" applyFont="1" applyFill="1" applyBorder="1" applyAlignment="1" applyProtection="1">
      <alignment horizontal="center" vertical="center"/>
      <protection hidden="1"/>
    </xf>
    <xf numFmtId="2" fontId="10" fillId="9" borderId="14" xfId="2" applyNumberFormat="1" applyFont="1" applyFill="1" applyBorder="1" applyAlignment="1" applyProtection="1">
      <alignment horizontal="right" vertical="center"/>
      <protection hidden="1"/>
    </xf>
    <xf numFmtId="1" fontId="8" fillId="9" borderId="16" xfId="0" applyNumberFormat="1" applyFont="1" applyFill="1" applyBorder="1" applyAlignment="1" applyProtection="1">
      <alignment horizontal="left" vertical="center"/>
      <protection hidden="1"/>
    </xf>
    <xf numFmtId="170" fontId="14" fillId="6" borderId="32" xfId="0" applyNumberFormat="1" applyFont="1" applyFill="1" applyBorder="1" applyAlignment="1" applyProtection="1">
      <alignment horizontal="center" vertical="center"/>
      <protection hidden="1"/>
    </xf>
    <xf numFmtId="0" fontId="28" fillId="6" borderId="34" xfId="0" applyFont="1" applyFill="1" applyBorder="1" applyAlignment="1" applyProtection="1">
      <alignment horizontal="center" vertical="center"/>
      <protection hidden="1"/>
    </xf>
    <xf numFmtId="2" fontId="25" fillId="8" borderId="57" xfId="0" applyNumberFormat="1" applyFont="1" applyFill="1" applyBorder="1" applyAlignment="1" applyProtection="1">
      <alignment horizontal="center" vertical="center"/>
      <protection hidden="1"/>
    </xf>
    <xf numFmtId="2" fontId="25" fillId="3" borderId="58" xfId="0" applyNumberFormat="1" applyFont="1" applyFill="1" applyBorder="1" applyAlignment="1" applyProtection="1">
      <alignment horizontal="center" vertical="center" wrapText="1"/>
      <protection hidden="1"/>
    </xf>
    <xf numFmtId="2" fontId="25" fillId="3" borderId="23" xfId="0" applyNumberFormat="1" applyFont="1" applyFill="1" applyBorder="1" applyAlignment="1" applyProtection="1">
      <alignment horizontal="center" vertical="center" wrapText="1"/>
      <protection hidden="1"/>
    </xf>
    <xf numFmtId="169" fontId="10" fillId="9" borderId="5" xfId="0" applyNumberFormat="1" applyFont="1" applyFill="1" applyBorder="1" applyAlignment="1" applyProtection="1">
      <alignment horizontal="center" vertical="center"/>
      <protection hidden="1"/>
    </xf>
    <xf numFmtId="0" fontId="44" fillId="0" borderId="50" xfId="0" applyFont="1" applyBorder="1" applyAlignment="1">
      <alignment horizontal="center" vertical="center"/>
    </xf>
    <xf numFmtId="0" fontId="44" fillId="0" borderId="58" xfId="0" applyFont="1" applyBorder="1" applyAlignment="1">
      <alignment horizontal="center" vertical="center"/>
    </xf>
    <xf numFmtId="171" fontId="44" fillId="22" borderId="13" xfId="0" applyNumberFormat="1" applyFont="1" applyFill="1" applyBorder="1" applyAlignment="1">
      <alignment horizontal="center" vertical="center" wrapText="1"/>
    </xf>
    <xf numFmtId="0" fontId="44" fillId="21" borderId="69" xfId="0" applyFont="1" applyFill="1" applyBorder="1" applyAlignment="1">
      <alignment horizontal="center" vertical="center" wrapText="1"/>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71" fontId="0" fillId="0" borderId="1"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9" fontId="0" fillId="0" borderId="8" xfId="1" applyFont="1" applyBorder="1" applyAlignment="1">
      <alignment horizontal="center" vertical="center"/>
    </xf>
    <xf numFmtId="2" fontId="0" fillId="0" borderId="1" xfId="0" applyNumberFormat="1" applyBorder="1" applyAlignment="1">
      <alignment horizontal="center" vertical="center"/>
    </xf>
    <xf numFmtId="2" fontId="0" fillId="0" borderId="8" xfId="0" applyNumberFormat="1" applyBorder="1" applyAlignment="1">
      <alignment horizontal="center" vertical="center"/>
    </xf>
    <xf numFmtId="171" fontId="0" fillId="0" borderId="8" xfId="0" applyNumberFormat="1" applyBorder="1" applyAlignment="1">
      <alignment horizontal="center" vertical="center"/>
    </xf>
    <xf numFmtId="0" fontId="44" fillId="21" borderId="57" xfId="0" applyFont="1" applyFill="1" applyBorder="1" applyAlignment="1">
      <alignment horizontal="center" vertical="center" wrapText="1"/>
    </xf>
    <xf numFmtId="0" fontId="44" fillId="21" borderId="50" xfId="0" applyFont="1" applyFill="1" applyBorder="1" applyAlignment="1">
      <alignment horizontal="center" vertical="center" wrapText="1"/>
    </xf>
    <xf numFmtId="0" fontId="44" fillId="21" borderId="58" xfId="0" applyFont="1" applyFill="1" applyBorder="1" applyAlignment="1">
      <alignment horizontal="center" vertical="center" wrapText="1"/>
    </xf>
    <xf numFmtId="190" fontId="0" fillId="0" borderId="1" xfId="0" applyNumberFormat="1" applyBorder="1" applyAlignment="1">
      <alignment horizontal="center" vertical="center"/>
    </xf>
    <xf numFmtId="190" fontId="0" fillId="0" borderId="5" xfId="0" applyNumberFormat="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190" fontId="0" fillId="0" borderId="8" xfId="0" applyNumberFormat="1" applyBorder="1" applyAlignment="1">
      <alignment horizontal="center" vertical="center"/>
    </xf>
    <xf numFmtId="0" fontId="0" fillId="0" borderId="12" xfId="0" applyBorder="1" applyAlignment="1">
      <alignment horizontal="center" vertical="center"/>
    </xf>
    <xf numFmtId="171" fontId="0" fillId="0" borderId="5" xfId="0" applyNumberFormat="1" applyBorder="1" applyAlignment="1">
      <alignment horizontal="center" vertical="center"/>
    </xf>
    <xf numFmtId="1" fontId="6" fillId="2" borderId="17" xfId="0" applyNumberFormat="1" applyFont="1" applyFill="1" applyBorder="1" applyAlignment="1" applyProtection="1">
      <alignment horizontal="center" vertical="center" wrapText="1"/>
      <protection hidden="1"/>
    </xf>
    <xf numFmtId="1" fontId="6" fillId="2" borderId="36" xfId="0" applyNumberFormat="1" applyFont="1" applyFill="1" applyBorder="1" applyAlignment="1" applyProtection="1">
      <alignment horizontal="center" vertical="center" wrapText="1"/>
      <protection hidden="1"/>
    </xf>
    <xf numFmtId="0" fontId="0" fillId="0" borderId="4" xfId="0" applyBorder="1" applyAlignment="1">
      <alignment horizontal="center" vertical="center"/>
    </xf>
    <xf numFmtId="0" fontId="0" fillId="0" borderId="40" xfId="0" applyBorder="1" applyAlignment="1">
      <alignment horizontal="center" vertical="center"/>
    </xf>
    <xf numFmtId="0" fontId="0" fillId="0" borderId="7" xfId="0" applyBorder="1" applyAlignment="1">
      <alignment horizontal="center" vertical="center"/>
    </xf>
    <xf numFmtId="0" fontId="46" fillId="2" borderId="0" xfId="0" applyFont="1" applyFill="1" applyAlignment="1" applyProtection="1">
      <alignment horizontal="center" vertical="center"/>
      <protection hidden="1"/>
    </xf>
    <xf numFmtId="0" fontId="46" fillId="2" borderId="0" xfId="0" applyFont="1" applyFill="1" applyAlignment="1" applyProtection="1">
      <alignment horizontal="center" vertical="center"/>
      <protection locked="0" hidden="1"/>
    </xf>
    <xf numFmtId="2" fontId="26" fillId="0" borderId="0" xfId="0" applyNumberFormat="1" applyFont="1" applyAlignment="1" applyProtection="1">
      <alignment horizontal="left" vertical="center"/>
      <protection hidden="1"/>
    </xf>
    <xf numFmtId="0" fontId="29" fillId="0" borderId="0" xfId="0" applyFont="1" applyAlignment="1" applyProtection="1">
      <alignment horizontal="center" vertical="center" wrapText="1"/>
      <protection hidden="1"/>
    </xf>
    <xf numFmtId="0" fontId="28" fillId="2" borderId="0" xfId="0" applyFont="1" applyFill="1" applyAlignment="1" applyProtection="1">
      <alignment vertical="justify" wrapText="1" readingOrder="1"/>
      <protection hidden="1"/>
    </xf>
    <xf numFmtId="168" fontId="29" fillId="2" borderId="0" xfId="0" applyNumberFormat="1" applyFont="1" applyFill="1" applyAlignment="1" applyProtection="1">
      <alignment horizontal="left" vertical="center" wrapText="1"/>
      <protection hidden="1"/>
    </xf>
    <xf numFmtId="187" fontId="29" fillId="2" borderId="0" xfId="0" applyNumberFormat="1" applyFont="1" applyFill="1" applyAlignment="1" applyProtection="1">
      <alignment horizontal="left" vertical="center" wrapText="1"/>
      <protection hidden="1"/>
    </xf>
    <xf numFmtId="186" fontId="29" fillId="2" borderId="0" xfId="0" applyNumberFormat="1" applyFont="1" applyFill="1" applyAlignment="1" applyProtection="1">
      <alignment horizontal="left" vertical="center" wrapText="1"/>
      <protection hidden="1"/>
    </xf>
    <xf numFmtId="14" fontId="29" fillId="0" borderId="0" xfId="0" applyNumberFormat="1" applyFont="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0" fontId="29" fillId="0" borderId="0" xfId="0" applyFont="1" applyAlignment="1" applyProtection="1">
      <alignment vertical="center" wrapText="1"/>
      <protection locked="0" hidden="1"/>
    </xf>
    <xf numFmtId="0" fontId="29" fillId="2" borderId="0" xfId="0" applyFont="1" applyFill="1" applyProtection="1">
      <protection hidden="1"/>
    </xf>
    <xf numFmtId="2" fontId="26" fillId="2" borderId="34" xfId="0" applyNumberFormat="1" applyFont="1" applyFill="1" applyBorder="1" applyAlignment="1" applyProtection="1">
      <alignment horizontal="center" vertical="center" wrapText="1"/>
      <protection hidden="1"/>
    </xf>
    <xf numFmtId="171" fontId="26" fillId="2" borderId="14" xfId="0" applyNumberFormat="1" applyFont="1" applyFill="1" applyBorder="1" applyAlignment="1" applyProtection="1">
      <alignment horizontal="center" vertical="center" wrapText="1"/>
      <protection hidden="1"/>
    </xf>
    <xf numFmtId="171" fontId="26" fillId="2" borderId="9" xfId="0" applyNumberFormat="1" applyFont="1" applyFill="1" applyBorder="1" applyAlignment="1" applyProtection="1">
      <alignment horizontal="center" vertical="center"/>
      <protection hidden="1"/>
    </xf>
    <xf numFmtId="171" fontId="26" fillId="2" borderId="11" xfId="0" applyNumberFormat="1" applyFont="1" applyFill="1" applyBorder="1" applyAlignment="1" applyProtection="1">
      <alignment horizontal="center" vertical="center" wrapText="1"/>
      <protection hidden="1"/>
    </xf>
    <xf numFmtId="171" fontId="26" fillId="2" borderId="21" xfId="0" applyNumberFormat="1" applyFont="1" applyFill="1" applyBorder="1" applyAlignment="1" applyProtection="1">
      <alignment horizontal="center" vertical="center" wrapText="1"/>
      <protection hidden="1"/>
    </xf>
    <xf numFmtId="171" fontId="26" fillId="2" borderId="34" xfId="0" applyNumberFormat="1" applyFont="1" applyFill="1" applyBorder="1" applyAlignment="1" applyProtection="1">
      <alignment horizontal="center" vertical="center" wrapText="1"/>
      <protection hidden="1"/>
    </xf>
    <xf numFmtId="0" fontId="26" fillId="2" borderId="0" xfId="0" applyFont="1" applyFill="1" applyAlignment="1" applyProtection="1">
      <alignment horizontal="left" vertical="center"/>
      <protection hidden="1"/>
    </xf>
    <xf numFmtId="0" fontId="40" fillId="2" borderId="0" xfId="0" applyFont="1" applyFill="1" applyAlignment="1" applyProtection="1">
      <alignment horizontal="left" vertical="center"/>
      <protection hidden="1"/>
    </xf>
    <xf numFmtId="185" fontId="9" fillId="0" borderId="16" xfId="0" applyNumberFormat="1"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2" fontId="26" fillId="0" borderId="23" xfId="0" applyNumberFormat="1"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184" fontId="29" fillId="0" borderId="5" xfId="0" applyNumberFormat="1" applyFont="1" applyBorder="1" applyAlignment="1" applyProtection="1">
      <alignment horizontal="center" vertical="center" wrapText="1"/>
      <protection hidden="1"/>
    </xf>
    <xf numFmtId="171" fontId="29" fillId="0" borderId="38" xfId="0" applyNumberFormat="1" applyFont="1" applyBorder="1" applyAlignment="1" applyProtection="1">
      <alignment horizontal="center" vertical="center" wrapText="1"/>
      <protection hidden="1"/>
    </xf>
    <xf numFmtId="184" fontId="29" fillId="0" borderId="20" xfId="0" applyNumberFormat="1" applyFont="1" applyBorder="1" applyAlignment="1" applyProtection="1">
      <alignment horizontal="center" vertical="center" wrapText="1"/>
      <protection hidden="1"/>
    </xf>
    <xf numFmtId="171" fontId="29" fillId="0" borderId="41" xfId="0" applyNumberFormat="1" applyFont="1" applyBorder="1" applyAlignment="1" applyProtection="1">
      <alignment horizontal="center" vertical="center" wrapText="1"/>
      <protection hidden="1"/>
    </xf>
    <xf numFmtId="184" fontId="29" fillId="0" borderId="1" xfId="0" applyNumberFormat="1" applyFont="1" applyBorder="1" applyAlignment="1" applyProtection="1">
      <alignment horizontal="center" vertical="center" wrapText="1"/>
      <protection hidden="1"/>
    </xf>
    <xf numFmtId="171" fontId="29" fillId="0" borderId="45" xfId="0" applyNumberFormat="1" applyFont="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171" fontId="26" fillId="2" borderId="0" xfId="0" applyNumberFormat="1" applyFont="1" applyFill="1" applyAlignment="1" applyProtection="1">
      <alignment horizontal="center" vertical="center" wrapText="1"/>
      <protection hidden="1"/>
    </xf>
    <xf numFmtId="0" fontId="29" fillId="2" borderId="0" xfId="0" applyFont="1" applyFill="1" applyAlignment="1" applyProtection="1">
      <alignment vertical="justify" wrapText="1"/>
      <protection locked="0" hidden="1"/>
    </xf>
    <xf numFmtId="0" fontId="29" fillId="0" borderId="0" xfId="0" applyFont="1" applyAlignment="1" applyProtection="1">
      <alignment horizontal="left" vertical="justify" wrapText="1"/>
      <protection hidden="1"/>
    </xf>
    <xf numFmtId="185" fontId="9" fillId="2" borderId="16" xfId="0" applyNumberFormat="1" applyFont="1" applyFill="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184" fontId="10" fillId="0" borderId="5" xfId="0" applyNumberFormat="1" applyFont="1" applyBorder="1" applyAlignment="1" applyProtection="1">
      <alignment horizontal="center" vertical="center" wrapText="1"/>
      <protection hidden="1"/>
    </xf>
    <xf numFmtId="184" fontId="10" fillId="0" borderId="38" xfId="0" applyNumberFormat="1" applyFont="1" applyBorder="1" applyAlignment="1" applyProtection="1">
      <alignment horizontal="center" vertical="center" wrapText="1"/>
      <protection hidden="1"/>
    </xf>
    <xf numFmtId="184" fontId="10" fillId="0" borderId="1" xfId="0" applyNumberFormat="1" applyFont="1" applyBorder="1" applyAlignment="1" applyProtection="1">
      <alignment horizontal="center" vertical="center" wrapText="1"/>
      <protection hidden="1"/>
    </xf>
    <xf numFmtId="184" fontId="10" fillId="0" borderId="41" xfId="0" applyNumberFormat="1" applyFont="1" applyBorder="1" applyAlignment="1" applyProtection="1">
      <alignment horizontal="center" vertical="center" wrapText="1"/>
      <protection hidden="1"/>
    </xf>
    <xf numFmtId="184" fontId="10" fillId="0" borderId="8" xfId="0" applyNumberFormat="1" applyFont="1" applyBorder="1" applyAlignment="1" applyProtection="1">
      <alignment horizontal="center" vertical="center" wrapText="1"/>
      <protection hidden="1"/>
    </xf>
    <xf numFmtId="184" fontId="10" fillId="0" borderId="12" xfId="0" applyNumberFormat="1" applyFont="1" applyBorder="1" applyAlignment="1" applyProtection="1">
      <alignment horizontal="center" vertical="center" wrapText="1"/>
      <protection hidden="1"/>
    </xf>
    <xf numFmtId="171" fontId="10" fillId="2" borderId="20" xfId="0" applyNumberFormat="1" applyFont="1" applyFill="1" applyBorder="1" applyAlignment="1" applyProtection="1">
      <alignment horizontal="center" vertical="center"/>
      <protection hidden="1"/>
    </xf>
    <xf numFmtId="164" fontId="10" fillId="2" borderId="43" xfId="0" applyNumberFormat="1" applyFont="1" applyFill="1" applyBorder="1" applyAlignment="1" applyProtection="1">
      <alignment horizontal="center" vertical="center"/>
      <protection hidden="1"/>
    </xf>
    <xf numFmtId="164" fontId="10" fillId="2" borderId="41" xfId="0" applyNumberFormat="1" applyFont="1" applyFill="1" applyBorder="1" applyAlignment="1" applyProtection="1">
      <alignment horizontal="center" vertical="center"/>
      <protection hidden="1"/>
    </xf>
    <xf numFmtId="2" fontId="10" fillId="2" borderId="41" xfId="0" applyNumberFormat="1" applyFont="1" applyFill="1" applyBorder="1" applyAlignment="1" applyProtection="1">
      <alignment horizontal="center" vertical="center"/>
      <protection hidden="1"/>
    </xf>
    <xf numFmtId="2" fontId="10" fillId="2" borderId="12" xfId="0" applyNumberFormat="1" applyFont="1" applyFill="1" applyBorder="1" applyAlignment="1" applyProtection="1">
      <alignment horizontal="center" vertical="center"/>
      <protection hidden="1"/>
    </xf>
    <xf numFmtId="1" fontId="29" fillId="0" borderId="0" xfId="0" applyNumberFormat="1" applyFont="1" applyAlignment="1" applyProtection="1">
      <alignment horizontal="center" vertical="center" wrapText="1"/>
      <protection hidden="1"/>
    </xf>
    <xf numFmtId="0" fontId="9" fillId="0" borderId="34" xfId="0" applyFont="1" applyBorder="1" applyAlignment="1" applyProtection="1">
      <alignment horizontal="center" vertical="center" wrapText="1"/>
      <protection hidden="1"/>
    </xf>
    <xf numFmtId="164" fontId="10" fillId="0" borderId="0" xfId="0" applyNumberFormat="1" applyFont="1" applyAlignment="1" applyProtection="1">
      <alignment horizontal="center" vertical="center"/>
      <protection hidden="1"/>
    </xf>
    <xf numFmtId="164" fontId="29" fillId="0" borderId="0" xfId="0" applyNumberFormat="1" applyFont="1" applyAlignment="1" applyProtection="1">
      <alignment horizontal="center" vertical="center" wrapText="1"/>
      <protection hidden="1"/>
    </xf>
    <xf numFmtId="171" fontId="29" fillId="0" borderId="0" xfId="0" applyNumberFormat="1" applyFont="1" applyAlignment="1" applyProtection="1">
      <alignment horizontal="center" vertical="center" wrapText="1"/>
      <protection hidden="1"/>
    </xf>
    <xf numFmtId="173" fontId="10" fillId="0" borderId="0" xfId="0" applyNumberFormat="1" applyFont="1" applyAlignment="1" applyProtection="1">
      <alignment horizontal="center" vertical="center"/>
      <protection hidden="1"/>
    </xf>
    <xf numFmtId="184" fontId="10" fillId="2" borderId="0" xfId="0" applyNumberFormat="1" applyFont="1" applyFill="1" applyAlignment="1" applyProtection="1">
      <alignment horizontal="center" vertical="center" wrapText="1"/>
      <protection hidden="1"/>
    </xf>
    <xf numFmtId="2" fontId="10" fillId="0" borderId="0" xfId="0" applyNumberFormat="1"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2" fontId="9" fillId="0" borderId="0" xfId="0" applyNumberFormat="1" applyFont="1" applyAlignment="1" applyProtection="1">
      <alignment vertical="center" wrapText="1"/>
      <protection hidden="1"/>
    </xf>
    <xf numFmtId="0" fontId="66" fillId="0" borderId="0" xfId="0" applyFont="1" applyAlignment="1">
      <alignment vertical="center" wrapText="1"/>
    </xf>
    <xf numFmtId="0" fontId="29" fillId="0" borderId="0" xfId="0" applyFont="1" applyAlignment="1" applyProtection="1">
      <alignment vertical="top"/>
      <protection hidden="1"/>
    </xf>
    <xf numFmtId="0" fontId="29" fillId="2" borderId="0" xfId="0" applyFont="1" applyFill="1" applyAlignment="1" applyProtection="1">
      <alignment vertical="center" wrapText="1"/>
      <protection locked="0" hidden="1"/>
    </xf>
    <xf numFmtId="0" fontId="29" fillId="20" borderId="0" xfId="0" applyFont="1" applyFill="1" applyProtection="1">
      <protection hidden="1"/>
    </xf>
    <xf numFmtId="170" fontId="29" fillId="2" borderId="0" xfId="0" applyNumberFormat="1" applyFont="1" applyFill="1" applyAlignment="1" applyProtection="1">
      <alignment horizontal="left" vertical="center" wrapText="1"/>
      <protection hidden="1"/>
    </xf>
    <xf numFmtId="0" fontId="26" fillId="0" borderId="0" xfId="0" applyFont="1" applyAlignment="1" applyProtection="1">
      <alignment vertical="center" wrapText="1"/>
      <protection hidden="1"/>
    </xf>
    <xf numFmtId="11" fontId="29" fillId="0" borderId="0" xfId="0" applyNumberFormat="1" applyFont="1" applyProtection="1">
      <protection hidden="1"/>
    </xf>
    <xf numFmtId="2" fontId="26" fillId="0" borderId="0" xfId="0" applyNumberFormat="1" applyFont="1" applyAlignment="1" applyProtection="1">
      <alignment horizontal="center" vertical="center"/>
      <protection hidden="1"/>
    </xf>
    <xf numFmtId="0" fontId="29" fillId="0" borderId="0" xfId="0" applyFont="1" applyAlignment="1" applyProtection="1">
      <alignment vertical="justify" wrapText="1"/>
      <protection hidden="1"/>
    </xf>
    <xf numFmtId="0" fontId="29" fillId="2" borderId="0" xfId="0" applyFont="1" applyFill="1" applyAlignment="1" applyProtection="1">
      <alignment horizontal="center" vertical="center" wrapText="1"/>
      <protection locked="0" hidden="1"/>
    </xf>
    <xf numFmtId="0" fontId="26" fillId="0" borderId="0" xfId="0" applyFont="1" applyProtection="1">
      <protection hidden="1"/>
    </xf>
    <xf numFmtId="0" fontId="68" fillId="2" borderId="35" xfId="0" applyFont="1" applyFill="1" applyBorder="1" applyAlignment="1" applyProtection="1">
      <alignment horizontal="justify" vertical="center" wrapText="1"/>
      <protection hidden="1"/>
    </xf>
    <xf numFmtId="168" fontId="29" fillId="0" borderId="0" xfId="0" applyNumberFormat="1" applyFont="1" applyAlignment="1" applyProtection="1">
      <alignment vertical="center"/>
      <protection hidden="1"/>
    </xf>
    <xf numFmtId="0" fontId="9" fillId="2" borderId="34" xfId="0" applyFont="1" applyFill="1" applyBorder="1" applyAlignment="1" applyProtection="1">
      <alignment horizontal="center" vertical="center" wrapText="1"/>
      <protection hidden="1"/>
    </xf>
    <xf numFmtId="164" fontId="10" fillId="0" borderId="2" xfId="1" applyNumberFormat="1" applyFont="1" applyFill="1" applyBorder="1" applyAlignment="1" applyProtection="1">
      <alignment horizontal="center" vertical="center" wrapText="1"/>
      <protection hidden="1"/>
    </xf>
    <xf numFmtId="0" fontId="10" fillId="0" borderId="75" xfId="0" applyFont="1" applyBorder="1" applyAlignment="1" applyProtection="1">
      <alignment horizontal="center" vertical="center"/>
      <protection hidden="1"/>
    </xf>
    <xf numFmtId="164" fontId="10" fillId="0" borderId="3" xfId="0" applyNumberFormat="1" applyFont="1" applyBorder="1" applyAlignment="1" applyProtection="1">
      <alignment horizontal="center" vertical="center" wrapText="1"/>
      <protection hidden="1"/>
    </xf>
    <xf numFmtId="2" fontId="10" fillId="0" borderId="2" xfId="0" applyNumberFormat="1" applyFont="1" applyBorder="1" applyAlignment="1" applyProtection="1">
      <alignment horizontal="center" vertical="center" wrapText="1"/>
      <protection hidden="1"/>
    </xf>
    <xf numFmtId="2" fontId="10" fillId="0" borderId="3" xfId="0" applyNumberFormat="1" applyFont="1" applyBorder="1" applyAlignment="1" applyProtection="1">
      <alignment horizontal="center" vertical="center" wrapText="1"/>
      <protection hidden="1"/>
    </xf>
    <xf numFmtId="2" fontId="10" fillId="0" borderId="13" xfId="0" applyNumberFormat="1" applyFont="1" applyBorder="1" applyAlignment="1" applyProtection="1">
      <alignment horizontal="center" vertical="center" wrapText="1"/>
      <protection hidden="1"/>
    </xf>
    <xf numFmtId="2" fontId="10" fillId="0" borderId="36" xfId="0" applyNumberFormat="1" applyFont="1" applyBorder="1" applyAlignment="1" applyProtection="1">
      <alignment horizontal="center" vertical="center" wrapText="1"/>
      <protection hidden="1"/>
    </xf>
    <xf numFmtId="0" fontId="66" fillId="2" borderId="0" xfId="0" applyFont="1" applyFill="1" applyAlignment="1">
      <alignment vertical="center" wrapText="1"/>
    </xf>
    <xf numFmtId="164" fontId="10" fillId="0" borderId="2" xfId="0" applyNumberFormat="1" applyFont="1" applyBorder="1" applyAlignment="1" applyProtection="1">
      <alignment horizontal="center" vertical="center" wrapText="1"/>
      <protection hidden="1"/>
    </xf>
    <xf numFmtId="169" fontId="28" fillId="0" borderId="0" xfId="0" applyNumberFormat="1" applyFont="1" applyAlignment="1" applyProtection="1">
      <alignment horizontal="center"/>
      <protection hidden="1"/>
    </xf>
    <xf numFmtId="164" fontId="14" fillId="9" borderId="38" xfId="0" applyNumberFormat="1" applyFont="1" applyFill="1" applyBorder="1" applyAlignment="1" applyProtection="1">
      <alignment horizontal="center" vertical="center"/>
      <protection hidden="1"/>
    </xf>
    <xf numFmtId="164" fontId="14" fillId="9" borderId="41" xfId="0" applyNumberFormat="1" applyFont="1" applyFill="1" applyBorder="1" applyAlignment="1" applyProtection="1">
      <alignment horizontal="center" vertical="center"/>
      <protection hidden="1"/>
    </xf>
    <xf numFmtId="164" fontId="14" fillId="9" borderId="12" xfId="0" applyNumberFormat="1" applyFont="1" applyFill="1" applyBorder="1" applyAlignment="1" applyProtection="1">
      <alignment horizontal="center" vertical="center"/>
      <protection hidden="1"/>
    </xf>
    <xf numFmtId="2" fontId="9" fillId="9" borderId="8" xfId="0" applyNumberFormat="1" applyFont="1" applyFill="1" applyBorder="1" applyAlignment="1" applyProtection="1">
      <alignment horizontal="center" vertical="center" wrapText="1"/>
      <protection hidden="1"/>
    </xf>
    <xf numFmtId="0" fontId="29" fillId="0" borderId="40"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9" fillId="0" borderId="7" xfId="0" applyFont="1" applyBorder="1" applyAlignment="1" applyProtection="1">
      <alignment horizontal="center" vertical="center" wrapText="1"/>
      <protection hidden="1"/>
    </xf>
    <xf numFmtId="2" fontId="29" fillId="0" borderId="1" xfId="0" applyNumberFormat="1" applyFont="1" applyBorder="1" applyAlignment="1" applyProtection="1">
      <alignment horizontal="center" vertical="center"/>
      <protection hidden="1"/>
    </xf>
    <xf numFmtId="169" fontId="29" fillId="0" borderId="1" xfId="0" applyNumberFormat="1" applyFont="1" applyBorder="1" applyAlignment="1" applyProtection="1">
      <alignment horizontal="center" vertical="center"/>
      <protection hidden="1"/>
    </xf>
    <xf numFmtId="0" fontId="29" fillId="0" borderId="41" xfId="0" applyFont="1" applyBorder="1" applyAlignment="1" applyProtection="1">
      <alignment horizontal="center" vertical="center"/>
      <protection hidden="1"/>
    </xf>
    <xf numFmtId="171" fontId="29" fillId="0" borderId="1" xfId="0" applyNumberFormat="1" applyFont="1" applyBorder="1" applyAlignment="1" applyProtection="1">
      <alignment horizontal="center" vertical="center"/>
      <protection hidden="1"/>
    </xf>
    <xf numFmtId="169" fontId="29" fillId="0" borderId="8" xfId="0" applyNumberFormat="1" applyFont="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164" fontId="29" fillId="0" borderId="5" xfId="0" applyNumberFormat="1" applyFont="1" applyBorder="1" applyAlignment="1" applyProtection="1">
      <alignment horizontal="center" vertical="center"/>
      <protection hidden="1"/>
    </xf>
    <xf numFmtId="0" fontId="29" fillId="0" borderId="38" xfId="0" applyFont="1" applyBorder="1" applyAlignment="1" applyProtection="1">
      <alignment horizontal="center" vertical="center"/>
      <protection hidden="1"/>
    </xf>
    <xf numFmtId="164" fontId="29" fillId="0" borderId="1" xfId="0" applyNumberFormat="1" applyFont="1" applyBorder="1" applyAlignment="1" applyProtection="1">
      <alignment horizontal="center" vertical="center"/>
      <protection hidden="1"/>
    </xf>
    <xf numFmtId="171" fontId="29" fillId="0" borderId="8" xfId="0" applyNumberFormat="1" applyFont="1" applyBorder="1" applyAlignment="1" applyProtection="1">
      <alignment horizontal="center" vertical="center"/>
      <protection hidden="1"/>
    </xf>
    <xf numFmtId="2" fontId="29" fillId="0" borderId="5" xfId="0" applyNumberFormat="1" applyFont="1" applyBorder="1" applyAlignment="1" applyProtection="1">
      <alignment horizontal="center" vertical="center"/>
      <protection hidden="1"/>
    </xf>
    <xf numFmtId="166" fontId="29" fillId="0" borderId="1" xfId="0" applyNumberFormat="1" applyFont="1" applyBorder="1" applyAlignment="1" applyProtection="1">
      <alignment horizontal="center" vertical="center"/>
      <protection hidden="1"/>
    </xf>
    <xf numFmtId="165" fontId="29" fillId="0" borderId="1" xfId="0" applyNumberFormat="1" applyFont="1" applyBorder="1" applyAlignment="1" applyProtection="1">
      <alignment horizontal="center" vertical="center"/>
      <protection hidden="1"/>
    </xf>
    <xf numFmtId="179" fontId="29" fillId="0" borderId="1" xfId="0" applyNumberFormat="1" applyFont="1" applyBorder="1" applyAlignment="1" applyProtection="1">
      <alignment horizontal="center" vertical="center"/>
      <protection hidden="1"/>
    </xf>
    <xf numFmtId="166" fontId="29" fillId="0" borderId="5" xfId="0" applyNumberFormat="1" applyFont="1" applyBorder="1" applyAlignment="1" applyProtection="1">
      <alignment horizontal="center" vertical="center"/>
      <protection hidden="1"/>
    </xf>
    <xf numFmtId="165" fontId="29" fillId="0" borderId="5" xfId="0" applyNumberFormat="1" applyFont="1" applyBorder="1" applyAlignment="1" applyProtection="1">
      <alignment horizontal="center" vertical="center"/>
      <protection hidden="1"/>
    </xf>
    <xf numFmtId="3" fontId="29" fillId="18" borderId="32" xfId="0" applyNumberFormat="1" applyFont="1" applyFill="1" applyBorder="1" applyAlignment="1">
      <alignment vertical="center" wrapText="1"/>
    </xf>
    <xf numFmtId="0" fontId="29" fillId="25" borderId="4" xfId="0" applyFont="1" applyFill="1" applyBorder="1" applyAlignment="1">
      <alignment horizontal="center" vertical="center" wrapText="1"/>
    </xf>
    <xf numFmtId="0" fontId="70" fillId="25" borderId="5" xfId="0" applyFont="1" applyFill="1" applyBorder="1" applyAlignment="1">
      <alignment horizontal="center" vertical="center" wrapText="1"/>
    </xf>
    <xf numFmtId="0" fontId="70" fillId="25" borderId="38" xfId="0" applyFont="1" applyFill="1" applyBorder="1" applyAlignment="1">
      <alignment horizontal="center" vertical="center" wrapText="1"/>
    </xf>
    <xf numFmtId="3" fontId="29" fillId="18" borderId="55" xfId="0" applyNumberFormat="1" applyFont="1" applyFill="1" applyBorder="1" applyAlignment="1">
      <alignment horizontal="center" vertical="center" wrapText="1"/>
    </xf>
    <xf numFmtId="171" fontId="29" fillId="25" borderId="40" xfId="0" applyNumberFormat="1" applyFont="1" applyFill="1" applyBorder="1" applyAlignment="1">
      <alignment horizontal="center" vertical="center" wrapText="1"/>
    </xf>
    <xf numFmtId="0" fontId="70" fillId="25" borderId="1" xfId="0" applyFont="1" applyFill="1" applyBorder="1" applyAlignment="1">
      <alignment horizontal="center" vertical="center" wrapText="1"/>
    </xf>
    <xf numFmtId="0" fontId="70" fillId="25" borderId="41" xfId="0" applyFont="1" applyFill="1" applyBorder="1" applyAlignment="1">
      <alignment horizontal="center" vertical="center" wrapText="1"/>
    </xf>
    <xf numFmtId="3" fontId="29" fillId="18" borderId="33" xfId="0" applyNumberFormat="1" applyFont="1" applyFill="1" applyBorder="1" applyAlignment="1">
      <alignment horizontal="center" wrapText="1"/>
    </xf>
    <xf numFmtId="0" fontId="29" fillId="25" borderId="7" xfId="0" applyFont="1" applyFill="1" applyBorder="1" applyAlignment="1">
      <alignment horizontal="center" vertical="center"/>
    </xf>
    <xf numFmtId="0" fontId="70" fillId="25" borderId="8" xfId="0" applyFont="1" applyFill="1" applyBorder="1" applyAlignment="1">
      <alignment vertical="center" wrapText="1"/>
    </xf>
    <xf numFmtId="0" fontId="70" fillId="25" borderId="12" xfId="0" applyFont="1" applyFill="1" applyBorder="1" applyAlignment="1">
      <alignment vertical="center" wrapText="1"/>
    </xf>
    <xf numFmtId="171" fontId="28" fillId="26" borderId="4" xfId="0" applyNumberFormat="1" applyFont="1" applyFill="1" applyBorder="1" applyAlignment="1" applyProtection="1">
      <alignment horizontal="center" vertical="center"/>
      <protection hidden="1"/>
    </xf>
    <xf numFmtId="0" fontId="28" fillId="26" borderId="5" xfId="0" applyFont="1" applyFill="1" applyBorder="1" applyAlignment="1" applyProtection="1">
      <alignment horizontal="center" vertical="center"/>
      <protection hidden="1"/>
    </xf>
    <xf numFmtId="171" fontId="28" fillId="26" borderId="5" xfId="0" applyNumberFormat="1" applyFont="1" applyFill="1" applyBorder="1" applyAlignment="1" applyProtection="1">
      <alignment horizontal="center" vertical="center"/>
      <protection hidden="1"/>
    </xf>
    <xf numFmtId="171" fontId="28" fillId="26" borderId="38" xfId="0" applyNumberFormat="1" applyFont="1" applyFill="1" applyBorder="1" applyAlignment="1" applyProtection="1">
      <alignment horizontal="center" vertical="center"/>
      <protection hidden="1"/>
    </xf>
    <xf numFmtId="0" fontId="28" fillId="26" borderId="40" xfId="0" applyFont="1" applyFill="1" applyBorder="1" applyAlignment="1" applyProtection="1">
      <alignment horizontal="center" vertical="center"/>
      <protection hidden="1"/>
    </xf>
    <xf numFmtId="0" fontId="28" fillId="26" borderId="1" xfId="0" applyFont="1" applyFill="1" applyBorder="1" applyAlignment="1" applyProtection="1">
      <alignment horizontal="center" vertical="center"/>
      <protection hidden="1"/>
    </xf>
    <xf numFmtId="171" fontId="28" fillId="26" borderId="1" xfId="0" applyNumberFormat="1" applyFont="1" applyFill="1" applyBorder="1" applyAlignment="1" applyProtection="1">
      <alignment horizontal="center" vertical="center"/>
      <protection hidden="1"/>
    </xf>
    <xf numFmtId="171" fontId="28" fillId="26" borderId="41" xfId="0" applyNumberFormat="1" applyFont="1" applyFill="1" applyBorder="1" applyAlignment="1" applyProtection="1">
      <alignment horizontal="center" vertical="center"/>
      <protection hidden="1"/>
    </xf>
    <xf numFmtId="0" fontId="28" fillId="26" borderId="7" xfId="0" applyFont="1" applyFill="1" applyBorder="1" applyAlignment="1" applyProtection="1">
      <alignment horizontal="center" vertical="center"/>
      <protection hidden="1"/>
    </xf>
    <xf numFmtId="0" fontId="28" fillId="26" borderId="8" xfId="0" applyFont="1" applyFill="1" applyBorder="1" applyAlignment="1" applyProtection="1">
      <alignment horizontal="center" vertical="center"/>
      <protection hidden="1"/>
    </xf>
    <xf numFmtId="0" fontId="28" fillId="26" borderId="12" xfId="0" applyFont="1" applyFill="1" applyBorder="1" applyAlignment="1" applyProtection="1">
      <alignment horizontal="center" vertical="center"/>
      <protection hidden="1"/>
    </xf>
    <xf numFmtId="0" fontId="28" fillId="26" borderId="4" xfId="0" applyFont="1" applyFill="1" applyBorder="1" applyAlignment="1" applyProtection="1">
      <alignment horizontal="center" vertical="center"/>
      <protection hidden="1"/>
    </xf>
    <xf numFmtId="0" fontId="28" fillId="26" borderId="38" xfId="0" applyFont="1" applyFill="1" applyBorder="1" applyAlignment="1" applyProtection="1">
      <alignment horizontal="center" vertical="center"/>
      <protection hidden="1"/>
    </xf>
    <xf numFmtId="0" fontId="28" fillId="26" borderId="41" xfId="0" applyFont="1" applyFill="1" applyBorder="1" applyAlignment="1" applyProtection="1">
      <alignment horizontal="center" vertical="center"/>
      <protection hidden="1"/>
    </xf>
    <xf numFmtId="2" fontId="28" fillId="26" borderId="5" xfId="0" applyNumberFormat="1" applyFont="1" applyFill="1" applyBorder="1" applyAlignment="1" applyProtection="1">
      <alignment horizontal="center" vertical="center"/>
      <protection hidden="1"/>
    </xf>
    <xf numFmtId="0" fontId="28" fillId="26" borderId="38" xfId="0" applyFont="1" applyFill="1" applyBorder="1" applyAlignment="1" applyProtection="1">
      <alignment horizontal="center" vertical="center" wrapText="1"/>
      <protection hidden="1"/>
    </xf>
    <xf numFmtId="2" fontId="28" fillId="26" borderId="1" xfId="0" applyNumberFormat="1" applyFont="1" applyFill="1" applyBorder="1" applyAlignment="1" applyProtection="1">
      <alignment horizontal="center" vertical="center"/>
      <protection hidden="1"/>
    </xf>
    <xf numFmtId="0" fontId="0" fillId="26" borderId="41" xfId="0" applyFill="1" applyBorder="1" applyAlignment="1" applyProtection="1">
      <alignment horizontal="center" vertical="center" wrapText="1"/>
      <protection hidden="1"/>
    </xf>
    <xf numFmtId="2" fontId="28" fillId="26" borderId="8" xfId="0" applyNumberFormat="1" applyFont="1" applyFill="1" applyBorder="1" applyAlignment="1" applyProtection="1">
      <alignment horizontal="center" vertical="center"/>
      <protection hidden="1"/>
    </xf>
    <xf numFmtId="0" fontId="0" fillId="26" borderId="12" xfId="0" applyFill="1" applyBorder="1" applyAlignment="1" applyProtection="1">
      <alignment horizontal="center" vertical="center" wrapText="1"/>
      <protection hidden="1"/>
    </xf>
    <xf numFmtId="176" fontId="28" fillId="26" borderId="5" xfId="0" applyNumberFormat="1" applyFont="1" applyFill="1" applyBorder="1" applyAlignment="1" applyProtection="1">
      <alignment horizontal="center" vertical="center" wrapText="1"/>
      <protection hidden="1"/>
    </xf>
    <xf numFmtId="176" fontId="28" fillId="26" borderId="38" xfId="0" applyNumberFormat="1" applyFont="1" applyFill="1" applyBorder="1" applyAlignment="1" applyProtection="1">
      <alignment horizontal="center" vertical="center" wrapText="1"/>
      <protection hidden="1"/>
    </xf>
    <xf numFmtId="176" fontId="28" fillId="26" borderId="1" xfId="0" applyNumberFormat="1" applyFont="1" applyFill="1" applyBorder="1" applyAlignment="1" applyProtection="1">
      <alignment horizontal="center" vertical="center" wrapText="1"/>
      <protection hidden="1"/>
    </xf>
    <xf numFmtId="176" fontId="28" fillId="26" borderId="41" xfId="0" applyNumberFormat="1" applyFont="1" applyFill="1" applyBorder="1" applyAlignment="1" applyProtection="1">
      <alignment horizontal="center" vertical="center" wrapText="1"/>
      <protection hidden="1"/>
    </xf>
    <xf numFmtId="176" fontId="28" fillId="26" borderId="8" xfId="0" applyNumberFormat="1" applyFont="1" applyFill="1" applyBorder="1" applyAlignment="1" applyProtection="1">
      <alignment horizontal="center" vertical="center" wrapText="1"/>
      <protection hidden="1"/>
    </xf>
    <xf numFmtId="176" fontId="28" fillId="26" borderId="12" xfId="0" applyNumberFormat="1" applyFont="1" applyFill="1" applyBorder="1" applyAlignment="1" applyProtection="1">
      <alignment horizontal="center" vertical="center" wrapText="1"/>
      <protection hidden="1"/>
    </xf>
    <xf numFmtId="4" fontId="28" fillId="26" borderId="5" xfId="0" applyNumberFormat="1" applyFont="1" applyFill="1" applyBorder="1" applyAlignment="1" applyProtection="1">
      <alignment horizontal="center" vertical="center" wrapText="1"/>
      <protection hidden="1"/>
    </xf>
    <xf numFmtId="177" fontId="28" fillId="26" borderId="38" xfId="0" applyNumberFormat="1" applyFont="1" applyFill="1" applyBorder="1" applyAlignment="1" applyProtection="1">
      <alignment horizontal="center" vertical="center" wrapText="1"/>
      <protection hidden="1"/>
    </xf>
    <xf numFmtId="4" fontId="28" fillId="26" borderId="1" xfId="0" applyNumberFormat="1" applyFont="1" applyFill="1" applyBorder="1" applyAlignment="1" applyProtection="1">
      <alignment horizontal="center" vertical="center" wrapText="1"/>
      <protection hidden="1"/>
    </xf>
    <xf numFmtId="4" fontId="28" fillId="26" borderId="8" xfId="0" applyNumberFormat="1" applyFont="1" applyFill="1" applyBorder="1" applyAlignment="1" applyProtection="1">
      <alignment horizontal="center" vertical="center" wrapText="1"/>
      <protection hidden="1"/>
    </xf>
    <xf numFmtId="0" fontId="28" fillId="26" borderId="58" xfId="0" applyFont="1" applyFill="1" applyBorder="1" applyAlignment="1" applyProtection="1">
      <alignment horizontal="center" vertical="center"/>
      <protection hidden="1"/>
    </xf>
    <xf numFmtId="0" fontId="28" fillId="26" borderId="20" xfId="0" applyFont="1" applyFill="1" applyBorder="1" applyAlignment="1" applyProtection="1">
      <alignment horizontal="center" vertical="center"/>
      <protection hidden="1"/>
    </xf>
    <xf numFmtId="171" fontId="28" fillId="26" borderId="20" xfId="0" applyNumberFormat="1" applyFont="1" applyFill="1" applyBorder="1" applyAlignment="1" applyProtection="1">
      <alignment horizontal="center" vertical="center"/>
      <protection hidden="1"/>
    </xf>
    <xf numFmtId="171" fontId="28" fillId="26" borderId="7" xfId="0" applyNumberFormat="1" applyFont="1" applyFill="1" applyBorder="1" applyAlignment="1" applyProtection="1">
      <alignment horizontal="center" vertical="center"/>
      <protection hidden="1"/>
    </xf>
    <xf numFmtId="0" fontId="28" fillId="26" borderId="48" xfId="0" applyFont="1" applyFill="1" applyBorder="1" applyAlignment="1" applyProtection="1">
      <alignment horizontal="center" vertical="center"/>
      <protection hidden="1"/>
    </xf>
    <xf numFmtId="171" fontId="28" fillId="26" borderId="48" xfId="0" applyNumberFormat="1" applyFont="1" applyFill="1" applyBorder="1" applyAlignment="1" applyProtection="1">
      <alignment horizontal="center" vertical="center"/>
      <protection hidden="1"/>
    </xf>
    <xf numFmtId="171" fontId="28" fillId="26" borderId="40" xfId="0" applyNumberFormat="1" applyFont="1" applyFill="1" applyBorder="1" applyAlignment="1" applyProtection="1">
      <alignment horizontal="center" vertical="center"/>
      <protection hidden="1"/>
    </xf>
    <xf numFmtId="164" fontId="28" fillId="26" borderId="5" xfId="0" applyNumberFormat="1" applyFont="1" applyFill="1" applyBorder="1" applyAlignment="1" applyProtection="1">
      <alignment horizontal="center" vertical="center"/>
      <protection hidden="1"/>
    </xf>
    <xf numFmtId="171" fontId="28" fillId="26" borderId="38" xfId="0" applyNumberFormat="1" applyFont="1" applyFill="1" applyBorder="1" applyAlignment="1" applyProtection="1">
      <alignment horizontal="center" vertical="center" wrapText="1"/>
      <protection hidden="1"/>
    </xf>
    <xf numFmtId="171" fontId="28" fillId="26" borderId="41" xfId="0" applyNumberFormat="1" applyFont="1" applyFill="1" applyBorder="1" applyAlignment="1" applyProtection="1">
      <alignment horizontal="center" vertical="center" wrapText="1"/>
      <protection hidden="1"/>
    </xf>
    <xf numFmtId="171" fontId="28" fillId="26" borderId="8" xfId="0" applyNumberFormat="1" applyFont="1" applyFill="1" applyBorder="1" applyAlignment="1" applyProtection="1">
      <alignment horizontal="center" vertical="center"/>
      <protection hidden="1"/>
    </xf>
    <xf numFmtId="171" fontId="0" fillId="26" borderId="12" xfId="0" applyNumberFormat="1" applyFill="1" applyBorder="1" applyAlignment="1" applyProtection="1">
      <alignment horizontal="center" vertical="center" wrapText="1"/>
      <protection hidden="1"/>
    </xf>
    <xf numFmtId="171" fontId="28" fillId="26" borderId="12" xfId="0" applyNumberFormat="1" applyFont="1" applyFill="1" applyBorder="1" applyAlignment="1" applyProtection="1">
      <alignment horizontal="center" vertical="center" wrapText="1"/>
      <protection hidden="1"/>
    </xf>
    <xf numFmtId="0" fontId="28" fillId="26" borderId="41" xfId="0" applyFont="1" applyFill="1" applyBorder="1" applyAlignment="1" applyProtection="1">
      <alignment horizontal="center" vertical="center" wrapText="1"/>
      <protection hidden="1"/>
    </xf>
    <xf numFmtId="0" fontId="28" fillId="26" borderId="12" xfId="0" applyFont="1" applyFill="1" applyBorder="1" applyAlignment="1" applyProtection="1">
      <alignment horizontal="center" vertical="center" wrapText="1"/>
      <protection hidden="1"/>
    </xf>
    <xf numFmtId="0" fontId="29" fillId="0" borderId="1" xfId="0" applyFont="1" applyBorder="1" applyAlignment="1" applyProtection="1">
      <alignment horizontal="center" vertical="center" wrapText="1"/>
      <protection hidden="1"/>
    </xf>
    <xf numFmtId="164" fontId="8" fillId="9" borderId="17" xfId="0" applyNumberFormat="1" applyFont="1" applyFill="1" applyBorder="1" applyAlignment="1" applyProtection="1">
      <alignment horizontal="centerContinuous" vertical="center" wrapText="1"/>
      <protection hidden="1"/>
    </xf>
    <xf numFmtId="0" fontId="28" fillId="26" borderId="1" xfId="0" applyFont="1" applyFill="1" applyBorder="1" applyAlignment="1" applyProtection="1">
      <alignment horizontal="center" vertical="center" wrapText="1"/>
      <protection locked="0" hidden="1"/>
    </xf>
    <xf numFmtId="0" fontId="28" fillId="26" borderId="1" xfId="0" applyFont="1" applyFill="1" applyBorder="1" applyAlignment="1" applyProtection="1">
      <alignment horizontal="center" vertical="center"/>
      <protection locked="0" hidden="1"/>
    </xf>
    <xf numFmtId="168" fontId="28" fillId="26" borderId="1" xfId="0" applyNumberFormat="1" applyFont="1" applyFill="1" applyBorder="1" applyAlignment="1" applyProtection="1">
      <alignment horizontal="center" vertical="center"/>
      <protection locked="0" hidden="1"/>
    </xf>
    <xf numFmtId="14" fontId="28" fillId="26" borderId="1" xfId="0" applyNumberFormat="1" applyFont="1" applyFill="1" applyBorder="1" applyAlignment="1" applyProtection="1">
      <alignment horizontal="center" vertical="center" wrapText="1"/>
      <protection locked="0" hidden="1"/>
    </xf>
    <xf numFmtId="3" fontId="29" fillId="26" borderId="4" xfId="0" applyNumberFormat="1" applyFont="1" applyFill="1" applyBorder="1" applyAlignment="1" applyProtection="1">
      <alignment horizontal="center" vertical="center"/>
      <protection hidden="1"/>
    </xf>
    <xf numFmtId="0" fontId="29" fillId="26" borderId="5" xfId="0" applyFont="1" applyFill="1" applyBorder="1" applyAlignment="1" applyProtection="1">
      <alignment horizontal="center" vertical="center"/>
      <protection hidden="1"/>
    </xf>
    <xf numFmtId="3" fontId="29" fillId="26" borderId="5" xfId="0" applyNumberFormat="1" applyFont="1" applyFill="1" applyBorder="1" applyAlignment="1" applyProtection="1">
      <alignment horizontal="center" vertical="center" wrapText="1"/>
      <protection hidden="1"/>
    </xf>
    <xf numFmtId="3" fontId="29" fillId="26" borderId="40" xfId="0" applyNumberFormat="1" applyFont="1" applyFill="1" applyBorder="1" applyAlignment="1" applyProtection="1">
      <alignment horizontal="center" vertical="center"/>
      <protection hidden="1"/>
    </xf>
    <xf numFmtId="0" fontId="29" fillId="26" borderId="1" xfId="0" applyFont="1" applyFill="1" applyBorder="1" applyAlignment="1" applyProtection="1">
      <alignment horizontal="center" vertical="center"/>
      <protection hidden="1"/>
    </xf>
    <xf numFmtId="3" fontId="29" fillId="26" borderId="1" xfId="0" applyNumberFormat="1" applyFont="1" applyFill="1" applyBorder="1" applyAlignment="1" applyProtection="1">
      <alignment horizontal="center" vertical="center" wrapText="1"/>
      <protection hidden="1"/>
    </xf>
    <xf numFmtId="2" fontId="29" fillId="26" borderId="1" xfId="0" applyNumberFormat="1" applyFont="1" applyFill="1" applyBorder="1" applyAlignment="1" applyProtection="1">
      <alignment horizontal="center" vertical="center" wrapText="1"/>
      <protection hidden="1"/>
    </xf>
    <xf numFmtId="3" fontId="29" fillId="26" borderId="7" xfId="0" applyNumberFormat="1" applyFont="1" applyFill="1" applyBorder="1" applyAlignment="1" applyProtection="1">
      <alignment horizontal="center" vertical="center"/>
      <protection hidden="1"/>
    </xf>
    <xf numFmtId="0" fontId="29" fillId="26" borderId="8" xfId="0" applyFont="1" applyFill="1" applyBorder="1" applyAlignment="1" applyProtection="1">
      <alignment horizontal="center" vertical="center"/>
      <protection hidden="1"/>
    </xf>
    <xf numFmtId="3" fontId="29" fillId="26" borderId="8" xfId="0" applyNumberFormat="1" applyFont="1" applyFill="1" applyBorder="1" applyAlignment="1" applyProtection="1">
      <alignment horizontal="center" vertical="center"/>
      <protection hidden="1"/>
    </xf>
    <xf numFmtId="0" fontId="39" fillId="12" borderId="9" xfId="0" applyFont="1" applyFill="1" applyBorder="1" applyAlignment="1">
      <alignment horizontal="center" vertical="center" wrapText="1"/>
    </xf>
    <xf numFmtId="0" fontId="39" fillId="12" borderId="10" xfId="0" applyFont="1" applyFill="1" applyBorder="1" applyAlignment="1">
      <alignment horizontal="center" vertical="center" wrapText="1"/>
    </xf>
    <xf numFmtId="0" fontId="39" fillId="12" borderId="11" xfId="0" applyFont="1" applyFill="1" applyBorder="1" applyAlignment="1">
      <alignment horizontal="center" vertical="center" wrapText="1"/>
    </xf>
    <xf numFmtId="0" fontId="29" fillId="0" borderId="26" xfId="0" applyFont="1" applyBorder="1" applyAlignment="1" applyProtection="1">
      <alignment horizontal="center" vertical="center"/>
      <protection hidden="1"/>
    </xf>
    <xf numFmtId="0" fontId="29" fillId="0" borderId="26" xfId="0" applyFont="1" applyBorder="1" applyProtection="1">
      <protection hidden="1"/>
    </xf>
    <xf numFmtId="0" fontId="39" fillId="12" borderId="9" xfId="0" applyFont="1" applyFill="1" applyBorder="1" applyAlignment="1" applyProtection="1">
      <alignment horizontal="center" vertical="center"/>
      <protection hidden="1"/>
    </xf>
    <xf numFmtId="0" fontId="39" fillId="12" borderId="10" xfId="0" applyFont="1" applyFill="1" applyBorder="1" applyAlignment="1" applyProtection="1">
      <alignment horizontal="center" vertical="center"/>
      <protection hidden="1"/>
    </xf>
    <xf numFmtId="0" fontId="39" fillId="12" borderId="10" xfId="0" applyFont="1" applyFill="1" applyBorder="1" applyAlignment="1" applyProtection="1">
      <alignment horizontal="center" vertical="center" wrapText="1"/>
      <protection hidden="1"/>
    </xf>
    <xf numFmtId="0" fontId="29" fillId="26" borderId="5" xfId="0" applyFont="1" applyFill="1" applyBorder="1" applyAlignment="1" applyProtection="1">
      <alignment horizontal="center" vertical="center" wrapText="1"/>
      <protection hidden="1"/>
    </xf>
    <xf numFmtId="0" fontId="29" fillId="26" borderId="1" xfId="0" applyFont="1" applyFill="1" applyBorder="1" applyAlignment="1" applyProtection="1">
      <alignment horizontal="center" vertical="center" wrapText="1"/>
      <protection hidden="1"/>
    </xf>
    <xf numFmtId="0" fontId="29" fillId="26" borderId="8" xfId="0" applyFont="1" applyFill="1" applyBorder="1" applyAlignment="1" applyProtection="1">
      <alignment horizontal="center" vertical="center" wrapText="1"/>
      <protection hidden="1"/>
    </xf>
    <xf numFmtId="171" fontId="29" fillId="26" borderId="5" xfId="0" applyNumberFormat="1" applyFont="1" applyFill="1" applyBorder="1" applyAlignment="1" applyProtection="1">
      <alignment horizontal="center" vertical="center" wrapText="1"/>
      <protection hidden="1"/>
    </xf>
    <xf numFmtId="171" fontId="29" fillId="26" borderId="1" xfId="0" applyNumberFormat="1" applyFont="1" applyFill="1" applyBorder="1" applyAlignment="1" applyProtection="1">
      <alignment horizontal="center" vertical="center" wrapText="1"/>
      <protection hidden="1"/>
    </xf>
    <xf numFmtId="171" fontId="29" fillId="26" borderId="8" xfId="0" applyNumberFormat="1" applyFont="1" applyFill="1" applyBorder="1" applyAlignment="1" applyProtection="1">
      <alignment horizontal="center" vertical="center" wrapText="1"/>
      <protection hidden="1"/>
    </xf>
    <xf numFmtId="164" fontId="29" fillId="26" borderId="5" xfId="0" applyNumberFormat="1" applyFont="1" applyFill="1" applyBorder="1" applyAlignment="1" applyProtection="1">
      <alignment horizontal="center" vertical="center"/>
      <protection hidden="1"/>
    </xf>
    <xf numFmtId="164" fontId="29" fillId="26" borderId="1" xfId="0" applyNumberFormat="1" applyFont="1" applyFill="1" applyBorder="1" applyAlignment="1" applyProtection="1">
      <alignment horizontal="center" vertical="center"/>
      <protection hidden="1"/>
    </xf>
    <xf numFmtId="164" fontId="29" fillId="26" borderId="8" xfId="0" applyNumberFormat="1" applyFont="1" applyFill="1" applyBorder="1" applyAlignment="1" applyProtection="1">
      <alignment horizontal="center" vertical="center"/>
      <protection hidden="1"/>
    </xf>
    <xf numFmtId="164" fontId="29" fillId="26" borderId="5" xfId="0" applyNumberFormat="1" applyFont="1" applyFill="1" applyBorder="1" applyAlignment="1">
      <alignment horizontal="center" vertical="center" wrapText="1"/>
    </xf>
    <xf numFmtId="164" fontId="29" fillId="26" borderId="1" xfId="0" applyNumberFormat="1" applyFont="1" applyFill="1" applyBorder="1" applyAlignment="1">
      <alignment horizontal="center" vertical="center" wrapText="1"/>
    </xf>
    <xf numFmtId="164" fontId="29" fillId="26" borderId="8" xfId="0" applyNumberFormat="1" applyFont="1" applyFill="1" applyBorder="1" applyAlignment="1">
      <alignment horizontal="center" vertical="center" wrapText="1"/>
    </xf>
    <xf numFmtId="164" fontId="29" fillId="26" borderId="1" xfId="0" applyNumberFormat="1" applyFont="1" applyFill="1" applyBorder="1" applyAlignment="1">
      <alignment horizontal="center" vertical="center"/>
    </xf>
    <xf numFmtId="164" fontId="29" fillId="26" borderId="38" xfId="0" applyNumberFormat="1" applyFont="1" applyFill="1" applyBorder="1" applyAlignment="1">
      <alignment horizontal="center" vertical="center" wrapText="1"/>
    </xf>
    <xf numFmtId="164" fontId="29" fillId="26" borderId="41" xfId="0" applyNumberFormat="1" applyFont="1" applyFill="1" applyBorder="1" applyAlignment="1">
      <alignment horizontal="center" vertical="center" wrapText="1"/>
    </xf>
    <xf numFmtId="164" fontId="29" fillId="26" borderId="41" xfId="0" applyNumberFormat="1" applyFont="1" applyFill="1" applyBorder="1" applyAlignment="1">
      <alignment horizontal="center" vertical="center"/>
    </xf>
    <xf numFmtId="164" fontId="29" fillId="26" borderId="12" xfId="0" applyNumberFormat="1" applyFont="1" applyFill="1" applyBorder="1" applyAlignment="1">
      <alignment horizontal="center" vertical="center" wrapText="1"/>
    </xf>
    <xf numFmtId="0" fontId="29" fillId="0" borderId="52" xfId="0" applyFont="1" applyBorder="1" applyAlignment="1" applyProtection="1">
      <alignment horizontal="center" vertical="center"/>
      <protection hidden="1"/>
    </xf>
    <xf numFmtId="0" fontId="29" fillId="0" borderId="51" xfId="0" applyFont="1" applyBorder="1" applyAlignment="1" applyProtection="1">
      <alignment horizontal="center" vertical="center"/>
      <protection hidden="1"/>
    </xf>
    <xf numFmtId="168" fontId="29" fillId="26" borderId="1" xfId="0" applyNumberFormat="1" applyFont="1" applyFill="1" applyBorder="1" applyAlignment="1" applyProtection="1">
      <alignment horizontal="center" vertical="center"/>
      <protection hidden="1"/>
    </xf>
    <xf numFmtId="168" fontId="29" fillId="26" borderId="5" xfId="0" applyNumberFormat="1" applyFont="1" applyFill="1" applyBorder="1" applyAlignment="1" applyProtection="1">
      <alignment horizontal="center" vertical="center"/>
      <protection hidden="1"/>
    </xf>
    <xf numFmtId="168" fontId="29" fillId="26" borderId="8" xfId="0" applyNumberFormat="1" applyFont="1" applyFill="1" applyBorder="1" applyAlignment="1" applyProtection="1">
      <alignment horizontal="center" vertical="center"/>
      <protection hidden="1"/>
    </xf>
    <xf numFmtId="165" fontId="29" fillId="26" borderId="1" xfId="0" applyNumberFormat="1" applyFont="1" applyFill="1" applyBorder="1" applyAlignment="1" applyProtection="1">
      <alignment horizontal="center" vertical="center"/>
      <protection hidden="1"/>
    </xf>
    <xf numFmtId="0" fontId="29" fillId="0" borderId="20" xfId="0" applyFont="1" applyBorder="1" applyAlignment="1" applyProtection="1">
      <alignment horizontal="center" vertical="center"/>
      <protection hidden="1"/>
    </xf>
    <xf numFmtId="0" fontId="29" fillId="26" borderId="20" xfId="0" applyFont="1" applyFill="1" applyBorder="1" applyAlignment="1" applyProtection="1">
      <alignment horizontal="center" vertical="center"/>
      <protection hidden="1"/>
    </xf>
    <xf numFmtId="168" fontId="29" fillId="26" borderId="20" xfId="0" applyNumberFormat="1" applyFont="1" applyFill="1" applyBorder="1" applyAlignment="1" applyProtection="1">
      <alignment horizontal="center" vertical="center"/>
      <protection hidden="1"/>
    </xf>
    <xf numFmtId="169" fontId="29" fillId="0" borderId="20" xfId="0" applyNumberFormat="1" applyFont="1" applyBorder="1" applyAlignment="1" applyProtection="1">
      <alignment horizontal="center" vertical="center"/>
      <protection hidden="1"/>
    </xf>
    <xf numFmtId="0" fontId="30" fillId="0" borderId="1" xfId="0" applyFont="1" applyBorder="1" applyAlignment="1" applyProtection="1">
      <alignment horizontal="center" vertical="center"/>
      <protection hidden="1"/>
    </xf>
    <xf numFmtId="0" fontId="29" fillId="0" borderId="3" xfId="0" applyFont="1" applyBorder="1" applyAlignment="1" applyProtection="1">
      <alignment horizontal="center" vertical="center"/>
      <protection hidden="1"/>
    </xf>
    <xf numFmtId="0" fontId="29" fillId="0" borderId="20" xfId="0" applyFont="1" applyBorder="1" applyAlignment="1" applyProtection="1">
      <alignment horizontal="center" vertical="center" wrapText="1"/>
      <protection hidden="1"/>
    </xf>
    <xf numFmtId="0" fontId="30" fillId="0" borderId="20" xfId="0" applyFont="1" applyBorder="1" applyAlignment="1" applyProtection="1">
      <alignment horizontal="center" vertical="center"/>
      <protection hidden="1"/>
    </xf>
    <xf numFmtId="179" fontId="29" fillId="0" borderId="8" xfId="0" applyNumberFormat="1" applyFont="1" applyBorder="1" applyAlignment="1" applyProtection="1">
      <alignment horizontal="center" vertical="center"/>
      <protection hidden="1"/>
    </xf>
    <xf numFmtId="0" fontId="29" fillId="0" borderId="31" xfId="0" applyFont="1" applyBorder="1" applyAlignment="1" applyProtection="1">
      <alignment horizontal="center" vertical="center"/>
      <protection hidden="1"/>
    </xf>
    <xf numFmtId="0" fontId="29" fillId="26" borderId="31" xfId="0" applyFont="1" applyFill="1" applyBorder="1" applyAlignment="1" applyProtection="1">
      <alignment horizontal="center" vertical="center"/>
      <protection hidden="1"/>
    </xf>
    <xf numFmtId="180" fontId="29" fillId="0" borderId="3" xfId="0" applyNumberFormat="1" applyFont="1" applyBorder="1" applyAlignment="1" applyProtection="1">
      <alignment horizontal="center" vertical="center"/>
      <protection hidden="1"/>
    </xf>
    <xf numFmtId="0" fontId="30" fillId="0" borderId="31" xfId="0" applyFont="1" applyBorder="1" applyAlignment="1" applyProtection="1">
      <alignment horizontal="center" vertical="center"/>
      <protection hidden="1"/>
    </xf>
    <xf numFmtId="166" fontId="29" fillId="0" borderId="20" xfId="0" applyNumberFormat="1" applyFont="1" applyBorder="1" applyAlignment="1" applyProtection="1">
      <alignment horizontal="center" vertical="center"/>
      <protection hidden="1"/>
    </xf>
    <xf numFmtId="166" fontId="29" fillId="0" borderId="31" xfId="0" applyNumberFormat="1" applyFont="1" applyBorder="1" applyAlignment="1" applyProtection="1">
      <alignment horizontal="center" vertical="center"/>
      <protection hidden="1"/>
    </xf>
    <xf numFmtId="166" fontId="29" fillId="0" borderId="8" xfId="0" applyNumberFormat="1" applyFont="1" applyBorder="1" applyAlignment="1" applyProtection="1">
      <alignment horizontal="center" vertical="center"/>
      <protection hidden="1"/>
    </xf>
    <xf numFmtId="2" fontId="29" fillId="26" borderId="5" xfId="0" applyNumberFormat="1" applyFont="1" applyFill="1" applyBorder="1" applyAlignment="1" applyProtection="1">
      <alignment horizontal="center" vertical="center"/>
      <protection hidden="1"/>
    </xf>
    <xf numFmtId="2" fontId="29" fillId="26" borderId="1" xfId="0" applyNumberFormat="1" applyFont="1" applyFill="1" applyBorder="1" applyAlignment="1" applyProtection="1">
      <alignment horizontal="center" vertical="center"/>
      <protection hidden="1"/>
    </xf>
    <xf numFmtId="1" fontId="29" fillId="0" borderId="1" xfId="0" applyNumberFormat="1" applyFont="1" applyBorder="1" applyAlignment="1">
      <alignment horizontal="center" vertical="center"/>
    </xf>
    <xf numFmtId="171" fontId="29" fillId="0" borderId="1" xfId="0" applyNumberFormat="1" applyFont="1" applyBorder="1" applyAlignment="1">
      <alignment horizontal="center" vertical="center"/>
    </xf>
    <xf numFmtId="180" fontId="29" fillId="0" borderId="38" xfId="0" applyNumberFormat="1" applyFont="1" applyBorder="1" applyAlignment="1" applyProtection="1">
      <alignment horizontal="center" vertical="center"/>
      <protection hidden="1"/>
    </xf>
    <xf numFmtId="180" fontId="29" fillId="0" borderId="12" xfId="0" applyNumberFormat="1" applyFont="1" applyBorder="1" applyAlignment="1" applyProtection="1">
      <alignment horizontal="center" vertical="center"/>
      <protection hidden="1"/>
    </xf>
    <xf numFmtId="171" fontId="29" fillId="0" borderId="8" xfId="0" applyNumberFormat="1" applyFont="1" applyBorder="1" applyAlignment="1">
      <alignment horizontal="center" vertical="center"/>
    </xf>
    <xf numFmtId="0" fontId="29" fillId="0" borderId="40" xfId="0" applyFont="1" applyBorder="1" applyAlignment="1" applyProtection="1">
      <alignment horizontal="center" vertical="center"/>
      <protection hidden="1"/>
    </xf>
    <xf numFmtId="0" fontId="29" fillId="0" borderId="56" xfId="0" applyFont="1" applyBorder="1" applyAlignment="1" applyProtection="1">
      <alignment horizontal="center" vertical="center"/>
      <protection hidden="1"/>
    </xf>
    <xf numFmtId="0" fontId="29" fillId="0" borderId="2"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165" fontId="29" fillId="26" borderId="5" xfId="0" applyNumberFormat="1" applyFont="1" applyFill="1" applyBorder="1" applyAlignment="1" applyProtection="1">
      <alignment horizontal="center" vertical="center"/>
      <protection hidden="1"/>
    </xf>
    <xf numFmtId="165" fontId="29" fillId="26" borderId="8" xfId="0" applyNumberFormat="1"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165" fontId="29" fillId="26" borderId="20" xfId="0" applyNumberFormat="1" applyFont="1" applyFill="1" applyBorder="1" applyAlignment="1" applyProtection="1">
      <alignment horizontal="center" vertical="center"/>
      <protection hidden="1"/>
    </xf>
    <xf numFmtId="169" fontId="29" fillId="26" borderId="5" xfId="0" applyNumberFormat="1" applyFont="1" applyFill="1" applyBorder="1" applyAlignment="1" applyProtection="1">
      <alignment horizontal="center" vertical="center"/>
      <protection hidden="1"/>
    </xf>
    <xf numFmtId="169" fontId="29" fillId="26" borderId="1" xfId="0" applyNumberFormat="1" applyFont="1" applyFill="1" applyBorder="1" applyAlignment="1" applyProtection="1">
      <alignment horizontal="center" vertical="center"/>
      <protection hidden="1"/>
    </xf>
    <xf numFmtId="169" fontId="29" fillId="26" borderId="8" xfId="0" applyNumberFormat="1" applyFont="1" applyFill="1" applyBorder="1" applyAlignment="1" applyProtection="1">
      <alignment horizontal="center" vertical="center"/>
      <protection hidden="1"/>
    </xf>
    <xf numFmtId="11" fontId="29" fillId="26" borderId="20" xfId="0" applyNumberFormat="1" applyFont="1" applyFill="1" applyBorder="1" applyAlignment="1" applyProtection="1">
      <alignment horizontal="center" vertical="center"/>
      <protection hidden="1"/>
    </xf>
    <xf numFmtId="169" fontId="29" fillId="26" borderId="31" xfId="0" applyNumberFormat="1" applyFont="1" applyFill="1" applyBorder="1" applyAlignment="1" applyProtection="1">
      <alignment horizontal="center" vertical="center"/>
      <protection hidden="1"/>
    </xf>
    <xf numFmtId="169" fontId="29" fillId="26" borderId="1" xfId="0" applyNumberFormat="1" applyFont="1" applyFill="1" applyBorder="1" applyAlignment="1">
      <alignment horizontal="center" vertical="center"/>
    </xf>
    <xf numFmtId="169" fontId="29" fillId="26" borderId="8" xfId="0" applyNumberFormat="1" applyFont="1" applyFill="1" applyBorder="1" applyAlignment="1">
      <alignment horizontal="center" vertical="center"/>
    </xf>
    <xf numFmtId="0" fontId="30" fillId="26" borderId="34" xfId="0" applyFont="1" applyFill="1" applyBorder="1" applyAlignment="1" applyProtection="1">
      <alignment horizontal="center" vertical="center"/>
      <protection hidden="1"/>
    </xf>
    <xf numFmtId="168" fontId="29" fillId="26" borderId="8" xfId="0" quotePrefix="1" applyNumberFormat="1" applyFont="1" applyFill="1" applyBorder="1" applyAlignment="1" applyProtection="1">
      <alignment horizontal="center" vertical="center"/>
      <protection hidden="1"/>
    </xf>
    <xf numFmtId="0" fontId="29" fillId="26" borderId="1" xfId="0" quotePrefix="1" applyFont="1" applyFill="1" applyBorder="1" applyAlignment="1" applyProtection="1">
      <alignment horizontal="center" vertical="center"/>
      <protection hidden="1"/>
    </xf>
    <xf numFmtId="0" fontId="29" fillId="26" borderId="8" xfId="0" quotePrefix="1" applyFont="1" applyFill="1" applyBorder="1" applyAlignment="1" applyProtection="1">
      <alignment horizontal="center" vertical="center"/>
      <protection hidden="1"/>
    </xf>
    <xf numFmtId="0" fontId="29" fillId="0" borderId="1" xfId="0" quotePrefix="1" applyFont="1" applyBorder="1" applyAlignment="1" applyProtection="1">
      <alignment horizontal="center" vertical="center"/>
      <protection hidden="1"/>
    </xf>
    <xf numFmtId="0" fontId="29" fillId="0" borderId="8" xfId="0" quotePrefix="1" applyFont="1" applyBorder="1" applyAlignment="1" applyProtection="1">
      <alignment horizontal="center" vertical="center"/>
      <protection hidden="1"/>
    </xf>
    <xf numFmtId="165" fontId="29" fillId="26" borderId="50" xfId="0" applyNumberFormat="1" applyFont="1" applyFill="1" applyBorder="1" applyAlignment="1" applyProtection="1">
      <alignment horizontal="center" vertical="center"/>
      <protection hidden="1"/>
    </xf>
    <xf numFmtId="180" fontId="29" fillId="0" borderId="31" xfId="0" applyNumberFormat="1" applyFont="1" applyBorder="1" applyAlignment="1" applyProtection="1">
      <alignment horizontal="center" vertical="center"/>
      <protection hidden="1"/>
    </xf>
    <xf numFmtId="0" fontId="29" fillId="0" borderId="31" xfId="0" applyFont="1" applyBorder="1" applyAlignment="1" applyProtection="1">
      <alignment horizontal="center"/>
      <protection hidden="1"/>
    </xf>
    <xf numFmtId="168" fontId="29" fillId="26" borderId="1" xfId="0" quotePrefix="1" applyNumberFormat="1" applyFont="1" applyFill="1" applyBorder="1" applyAlignment="1" applyProtection="1">
      <alignment horizontal="center" vertical="center"/>
      <protection hidden="1"/>
    </xf>
    <xf numFmtId="0" fontId="29" fillId="0" borderId="1" xfId="0" applyFont="1" applyBorder="1" applyProtection="1">
      <protection hidden="1"/>
    </xf>
    <xf numFmtId="0" fontId="47" fillId="6" borderId="8" xfId="0" applyFont="1" applyFill="1" applyBorder="1" applyAlignment="1" applyProtection="1">
      <alignment horizontal="center" vertical="center" wrapText="1"/>
      <protection hidden="1"/>
    </xf>
    <xf numFmtId="0" fontId="29" fillId="0" borderId="5" xfId="0" applyFont="1" applyBorder="1" applyProtection="1">
      <protection hidden="1"/>
    </xf>
    <xf numFmtId="0" fontId="29" fillId="0" borderId="38" xfId="0" applyFont="1" applyBorder="1" applyProtection="1">
      <protection hidden="1"/>
    </xf>
    <xf numFmtId="0" fontId="29" fillId="0" borderId="41" xfId="4" applyFont="1" applyFill="1" applyBorder="1" applyProtection="1">
      <alignment horizontal="center" vertical="center"/>
      <protection hidden="1"/>
    </xf>
    <xf numFmtId="180" fontId="29" fillId="0" borderId="41" xfId="0" applyNumberFormat="1" applyFont="1" applyBorder="1" applyAlignment="1" applyProtection="1">
      <alignment horizontal="center" vertical="center"/>
      <protection hidden="1"/>
    </xf>
    <xf numFmtId="180" fontId="29" fillId="0" borderId="63" xfId="0" applyNumberFormat="1" applyFont="1" applyBorder="1" applyAlignment="1" applyProtection="1">
      <alignment horizontal="center" vertical="center"/>
      <protection hidden="1"/>
    </xf>
    <xf numFmtId="180" fontId="29" fillId="0" borderId="13" xfId="0" applyNumberFormat="1" applyFont="1" applyBorder="1" applyAlignment="1" applyProtection="1">
      <alignment horizontal="center" vertical="center"/>
      <protection hidden="1"/>
    </xf>
    <xf numFmtId="0" fontId="29" fillId="0" borderId="13" xfId="0" applyFont="1" applyBorder="1" applyAlignment="1" applyProtection="1">
      <alignment horizontal="center" vertical="center"/>
      <protection hidden="1"/>
    </xf>
    <xf numFmtId="0" fontId="30" fillId="0" borderId="50" xfId="0" applyFont="1" applyBorder="1" applyAlignment="1" applyProtection="1">
      <alignment horizontal="center" vertical="center"/>
      <protection hidden="1"/>
    </xf>
    <xf numFmtId="0" fontId="26" fillId="26" borderId="68" xfId="0" applyFont="1" applyFill="1" applyBorder="1" applyAlignment="1" applyProtection="1">
      <alignment horizontal="center" vertical="center"/>
      <protection hidden="1"/>
    </xf>
    <xf numFmtId="0" fontId="30" fillId="26" borderId="69" xfId="0" applyFont="1" applyFill="1" applyBorder="1" applyAlignment="1" applyProtection="1">
      <alignment horizontal="center" vertical="center"/>
      <protection hidden="1"/>
    </xf>
    <xf numFmtId="0" fontId="30" fillId="0" borderId="38" xfId="0" applyFont="1" applyBorder="1" applyAlignment="1" applyProtection="1">
      <alignment horizontal="center" vertical="center"/>
      <protection hidden="1"/>
    </xf>
    <xf numFmtId="0" fontId="30" fillId="0" borderId="41" xfId="0" applyFont="1" applyBorder="1" applyAlignment="1" applyProtection="1">
      <alignment horizontal="center" vertical="center"/>
      <protection hidden="1"/>
    </xf>
    <xf numFmtId="0" fontId="30" fillId="0" borderId="12" xfId="0" applyFont="1" applyBorder="1" applyAlignment="1" applyProtection="1">
      <alignment horizontal="center" vertical="center"/>
      <protection hidden="1"/>
    </xf>
    <xf numFmtId="171" fontId="9" fillId="9" borderId="47" xfId="0" applyNumberFormat="1" applyFont="1" applyFill="1" applyBorder="1" applyAlignment="1" applyProtection="1">
      <alignment horizontal="center" vertical="center"/>
      <protection hidden="1"/>
    </xf>
    <xf numFmtId="171" fontId="9" fillId="9" borderId="48" xfId="0" applyNumberFormat="1" applyFont="1" applyFill="1" applyBorder="1" applyAlignment="1" applyProtection="1">
      <alignment horizontal="center" vertical="center"/>
      <protection hidden="1"/>
    </xf>
    <xf numFmtId="164" fontId="9" fillId="9" borderId="48" xfId="0" applyNumberFormat="1" applyFont="1" applyFill="1" applyBorder="1" applyAlignment="1" applyProtection="1">
      <alignment horizontal="center" vertical="center"/>
      <protection hidden="1"/>
    </xf>
    <xf numFmtId="2" fontId="10" fillId="9" borderId="49" xfId="0" applyNumberFormat="1" applyFont="1" applyFill="1" applyBorder="1" applyAlignment="1" applyProtection="1">
      <alignment horizontal="center" vertical="center"/>
      <protection hidden="1"/>
    </xf>
    <xf numFmtId="167" fontId="9" fillId="9" borderId="47" xfId="0" applyNumberFormat="1" applyFont="1" applyFill="1" applyBorder="1" applyAlignment="1" applyProtection="1">
      <alignment horizontal="center" vertical="center"/>
      <protection hidden="1"/>
    </xf>
    <xf numFmtId="167" fontId="9" fillId="9" borderId="48" xfId="0" applyNumberFormat="1" applyFont="1" applyFill="1" applyBorder="1" applyAlignment="1" applyProtection="1">
      <alignment horizontal="center" vertical="center"/>
      <protection hidden="1"/>
    </xf>
    <xf numFmtId="165" fontId="9" fillId="9" borderId="49" xfId="0" applyNumberFormat="1" applyFont="1" applyFill="1" applyBorder="1" applyAlignment="1" applyProtection="1">
      <alignment horizontal="center" vertical="center"/>
      <protection hidden="1"/>
    </xf>
    <xf numFmtId="9" fontId="8" fillId="9" borderId="33" xfId="1" applyFont="1" applyFill="1" applyBorder="1" applyAlignment="1" applyProtection="1">
      <alignment horizontal="center" vertical="center"/>
      <protection hidden="1"/>
    </xf>
    <xf numFmtId="2" fontId="15" fillId="0" borderId="0" xfId="0" applyNumberFormat="1" applyFont="1" applyAlignment="1" applyProtection="1">
      <alignment horizontal="center" vertical="center"/>
      <protection hidden="1"/>
    </xf>
    <xf numFmtId="9" fontId="14" fillId="9" borderId="9" xfId="1" applyFont="1" applyFill="1" applyBorder="1" applyAlignment="1" applyProtection="1">
      <alignment horizontal="center" vertical="center"/>
      <protection hidden="1"/>
    </xf>
    <xf numFmtId="2" fontId="14" fillId="9" borderId="9" xfId="0" applyNumberFormat="1" applyFont="1" applyFill="1" applyBorder="1" applyAlignment="1" applyProtection="1">
      <alignment horizontal="center" vertical="center"/>
      <protection hidden="1"/>
    </xf>
    <xf numFmtId="2" fontId="14" fillId="9" borderId="11" xfId="0" applyNumberFormat="1" applyFont="1" applyFill="1" applyBorder="1" applyAlignment="1" applyProtection="1">
      <alignment horizontal="center" vertical="center"/>
      <protection hidden="1"/>
    </xf>
    <xf numFmtId="9" fontId="14" fillId="9" borderId="34" xfId="1" applyFont="1" applyFill="1" applyBorder="1" applyAlignment="1" applyProtection="1">
      <alignment horizontal="center" vertical="center"/>
      <protection hidden="1"/>
    </xf>
    <xf numFmtId="171" fontId="9" fillId="9" borderId="13" xfId="0" applyNumberFormat="1" applyFont="1" applyFill="1" applyBorder="1" applyAlignment="1" applyProtection="1">
      <alignment horizontal="center" vertical="center" wrapText="1"/>
      <protection hidden="1"/>
    </xf>
    <xf numFmtId="1" fontId="8" fillId="9" borderId="44" xfId="0" applyNumberFormat="1" applyFont="1" applyFill="1" applyBorder="1" applyAlignment="1" applyProtection="1">
      <alignment horizontal="center" vertical="center"/>
      <protection hidden="1"/>
    </xf>
    <xf numFmtId="1" fontId="8" fillId="9" borderId="45" xfId="0" applyNumberFormat="1" applyFont="1" applyFill="1" applyBorder="1" applyAlignment="1" applyProtection="1">
      <alignment horizontal="center" vertical="center"/>
      <protection hidden="1"/>
    </xf>
    <xf numFmtId="2" fontId="23" fillId="6" borderId="34" xfId="0" applyNumberFormat="1" applyFont="1" applyFill="1" applyBorder="1" applyAlignment="1" applyProtection="1">
      <alignment horizontal="center" vertical="center" wrapText="1"/>
      <protection hidden="1"/>
    </xf>
    <xf numFmtId="0" fontId="6" fillId="9" borderId="9" xfId="0" applyFont="1" applyFill="1" applyBorder="1" applyAlignment="1" applyProtection="1">
      <alignment horizontal="center" vertical="center" wrapText="1"/>
      <protection hidden="1"/>
    </xf>
    <xf numFmtId="0" fontId="6" fillId="9" borderId="11" xfId="0" applyFont="1" applyFill="1" applyBorder="1" applyAlignment="1" applyProtection="1">
      <alignment horizontal="center" vertical="center" wrapText="1"/>
      <protection hidden="1"/>
    </xf>
    <xf numFmtId="2" fontId="19" fillId="8" borderId="34" xfId="0" applyNumberFormat="1" applyFont="1" applyFill="1" applyBorder="1" applyAlignment="1" applyProtection="1">
      <alignment horizontal="center" vertical="center"/>
      <protection hidden="1"/>
    </xf>
    <xf numFmtId="171" fontId="40" fillId="6" borderId="36" xfId="0" applyNumberFormat="1" applyFont="1" applyFill="1" applyBorder="1" applyAlignment="1" applyProtection="1">
      <alignment horizontal="center" vertical="center" wrapText="1"/>
      <protection hidden="1"/>
    </xf>
    <xf numFmtId="164" fontId="10" fillId="0" borderId="63" xfId="0" applyNumberFormat="1" applyFont="1" applyBorder="1" applyAlignment="1" applyProtection="1">
      <alignment horizontal="center" vertical="center" wrapText="1"/>
      <protection hidden="1"/>
    </xf>
    <xf numFmtId="164" fontId="10" fillId="0" borderId="56" xfId="1" applyNumberFormat="1" applyFont="1" applyFill="1" applyBorder="1" applyAlignment="1" applyProtection="1">
      <alignment horizontal="center" vertical="center" wrapText="1"/>
      <protection hidden="1"/>
    </xf>
    <xf numFmtId="0" fontId="10" fillId="0" borderId="68" xfId="0" applyFont="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44" fillId="0" borderId="40" xfId="0" applyFont="1" applyBorder="1" applyAlignment="1" applyProtection="1">
      <alignment horizontal="center" vertical="center"/>
      <protection hidden="1"/>
    </xf>
    <xf numFmtId="0" fontId="44" fillId="0" borderId="41" xfId="0" applyFont="1" applyBorder="1" applyAlignment="1" applyProtection="1">
      <alignment horizontal="center" vertical="center"/>
      <protection hidden="1"/>
    </xf>
    <xf numFmtId="0" fontId="44" fillId="0" borderId="7" xfId="0" applyFont="1" applyBorder="1" applyAlignment="1" applyProtection="1">
      <alignment horizontal="center" vertical="center"/>
      <protection hidden="1"/>
    </xf>
    <xf numFmtId="0" fontId="44" fillId="0" borderId="12" xfId="0" applyFont="1" applyBorder="1" applyAlignment="1" applyProtection="1">
      <alignment horizontal="center" vertical="center"/>
      <protection hidden="1"/>
    </xf>
    <xf numFmtId="2" fontId="9" fillId="2" borderId="34" xfId="0" applyNumberFormat="1" applyFont="1" applyFill="1" applyBorder="1" applyAlignment="1" applyProtection="1">
      <alignment horizontal="center"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Alignment="1" applyProtection="1">
      <alignment horizontal="justify" vertical="center" wrapText="1"/>
      <protection locked="0" hidden="1"/>
    </xf>
    <xf numFmtId="0" fontId="26" fillId="2" borderId="0" xfId="0" applyFont="1" applyFill="1" applyAlignment="1" applyProtection="1">
      <alignment horizontal="left"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2" borderId="0" xfId="0" applyFont="1" applyFill="1" applyAlignment="1">
      <alignment horizontal="justify" vertical="center" wrapText="1"/>
    </xf>
    <xf numFmtId="0" fontId="29" fillId="0" borderId="0" xfId="0" applyFont="1" applyAlignment="1" applyProtection="1">
      <alignment horizontal="center"/>
      <protection hidden="1"/>
    </xf>
    <xf numFmtId="14" fontId="29" fillId="2" borderId="0" xfId="0" applyNumberFormat="1" applyFont="1" applyFill="1" applyAlignment="1" applyProtection="1">
      <alignment horizontal="left"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2" borderId="0" xfId="0" applyFont="1" applyFill="1" applyAlignment="1" applyProtection="1">
      <alignment horizontal="right" vertical="center" wrapText="1"/>
      <protection hidden="1"/>
    </xf>
    <xf numFmtId="0" fontId="29" fillId="0" borderId="0" xfId="0" applyFont="1" applyAlignment="1" applyProtection="1">
      <alignment horizontal="left" vertical="center" wrapText="1"/>
      <protection hidden="1"/>
    </xf>
    <xf numFmtId="0" fontId="29" fillId="0" borderId="0" xfId="0" applyFont="1" applyAlignment="1" applyProtection="1">
      <alignment horizontal="center" vertical="justify" wrapText="1"/>
      <protection hidden="1"/>
    </xf>
    <xf numFmtId="0" fontId="28" fillId="0" borderId="57" xfId="0" applyFont="1" applyBorder="1" applyProtection="1">
      <protection hidden="1"/>
    </xf>
    <xf numFmtId="0" fontId="28" fillId="0" borderId="50" xfId="0" applyFont="1" applyBorder="1" applyProtection="1">
      <protection hidden="1"/>
    </xf>
    <xf numFmtId="0" fontId="28" fillId="0" borderId="58" xfId="0" applyFont="1" applyBorder="1" applyProtection="1">
      <protection hidden="1"/>
    </xf>
    <xf numFmtId="0" fontId="29" fillId="6" borderId="4" xfId="0" applyFont="1" applyFill="1" applyBorder="1" applyAlignment="1" applyProtection="1">
      <alignment horizontal="center" vertical="center"/>
      <protection hidden="1"/>
    </xf>
    <xf numFmtId="0" fontId="29" fillId="6" borderId="7" xfId="0" applyFont="1" applyFill="1" applyBorder="1" applyAlignment="1" applyProtection="1">
      <alignment horizontal="center" vertical="center"/>
      <protection hidden="1"/>
    </xf>
    <xf numFmtId="171" fontId="29" fillId="26" borderId="5" xfId="0" applyNumberFormat="1" applyFont="1" applyFill="1" applyBorder="1" applyAlignment="1" applyProtection="1">
      <alignment horizontal="center" vertical="center" wrapText="1"/>
      <protection locked="0" hidden="1"/>
    </xf>
    <xf numFmtId="0" fontId="29" fillId="0" borderId="44" xfId="0" applyFont="1" applyBorder="1" applyAlignment="1" applyProtection="1">
      <alignment horizontal="center" vertical="center" wrapText="1"/>
      <protection hidden="1"/>
    </xf>
    <xf numFmtId="168" fontId="29" fillId="26" borderId="31" xfId="0" applyNumberFormat="1" applyFont="1" applyFill="1" applyBorder="1" applyAlignment="1" applyProtection="1">
      <alignment horizontal="center" vertical="center"/>
      <protection hidden="1"/>
    </xf>
    <xf numFmtId="164" fontId="29" fillId="0" borderId="31" xfId="0" applyNumberFormat="1" applyFont="1" applyBorder="1" applyAlignment="1" applyProtection="1">
      <alignment horizontal="center" vertical="center"/>
      <protection hidden="1"/>
    </xf>
    <xf numFmtId="165" fontId="29" fillId="26" borderId="31" xfId="0" applyNumberFormat="1" applyFont="1" applyFill="1" applyBorder="1" applyAlignment="1" applyProtection="1">
      <alignment horizontal="center" vertical="center"/>
      <protection hidden="1"/>
    </xf>
    <xf numFmtId="0" fontId="29" fillId="0" borderId="25" xfId="0" applyFont="1" applyBorder="1" applyAlignment="1" applyProtection="1">
      <alignment horizontal="center" vertical="center"/>
      <protection hidden="1"/>
    </xf>
    <xf numFmtId="0" fontId="29" fillId="0" borderId="40" xfId="0" applyFont="1" applyBorder="1" applyProtection="1">
      <protection hidden="1"/>
    </xf>
    <xf numFmtId="180" fontId="29" fillId="0" borderId="76" xfId="0" applyNumberFormat="1" applyFont="1" applyBorder="1" applyAlignment="1" applyProtection="1">
      <alignment horizontal="center" vertical="center"/>
      <protection hidden="1"/>
    </xf>
    <xf numFmtId="180" fontId="29" fillId="0" borderId="45" xfId="0" applyNumberFormat="1" applyFont="1" applyBorder="1" applyAlignment="1" applyProtection="1">
      <alignment horizontal="center" vertical="center"/>
      <protection hidden="1"/>
    </xf>
    <xf numFmtId="180" fontId="29" fillId="0" borderId="4" xfId="0" applyNumberFormat="1" applyFont="1" applyBorder="1" applyAlignment="1" applyProtection="1">
      <alignment horizontal="center" vertical="center"/>
      <protection hidden="1"/>
    </xf>
    <xf numFmtId="180" fontId="29" fillId="0" borderId="40" xfId="0" applyNumberFormat="1" applyFont="1" applyBorder="1" applyAlignment="1" applyProtection="1">
      <alignment horizontal="center" vertical="center"/>
      <protection hidden="1"/>
    </xf>
    <xf numFmtId="0" fontId="29" fillId="0" borderId="42" xfId="0" applyFont="1" applyBorder="1" applyAlignment="1" applyProtection="1">
      <alignment horizontal="center" vertical="center"/>
      <protection hidden="1"/>
    </xf>
    <xf numFmtId="171" fontId="29" fillId="0" borderId="20" xfId="0" applyNumberFormat="1" applyFont="1" applyBorder="1" applyAlignment="1">
      <alignment horizontal="center" vertical="center"/>
    </xf>
    <xf numFmtId="169" fontId="29" fillId="26" borderId="20" xfId="0" applyNumberFormat="1" applyFont="1" applyFill="1" applyBorder="1" applyAlignment="1">
      <alignment horizontal="center" vertical="center"/>
    </xf>
    <xf numFmtId="0" fontId="29" fillId="0" borderId="17" xfId="0" applyFont="1" applyBorder="1" applyAlignment="1" applyProtection="1">
      <alignment horizontal="center" vertical="center"/>
      <protection hidden="1"/>
    </xf>
    <xf numFmtId="0" fontId="29" fillId="26" borderId="71" xfId="0" applyFont="1" applyFill="1" applyBorder="1" applyAlignment="1" applyProtection="1">
      <alignment horizontal="center" vertical="center"/>
      <protection hidden="1"/>
    </xf>
    <xf numFmtId="0" fontId="29" fillId="26" borderId="19" xfId="0" applyFont="1" applyFill="1" applyBorder="1" applyAlignment="1" applyProtection="1">
      <alignment horizontal="center" vertical="center"/>
      <protection hidden="1"/>
    </xf>
    <xf numFmtId="180" fontId="29" fillId="0" borderId="18" xfId="0" applyNumberFormat="1" applyFont="1" applyBorder="1" applyAlignment="1" applyProtection="1">
      <alignment horizontal="center" vertical="center"/>
      <protection hidden="1"/>
    </xf>
    <xf numFmtId="180" fontId="29" fillId="0" borderId="43" xfId="0" applyNumberFormat="1" applyFont="1" applyBorder="1" applyAlignment="1" applyProtection="1">
      <alignment horizontal="center" vertical="center"/>
      <protection hidden="1"/>
    </xf>
    <xf numFmtId="180" fontId="29" fillId="0" borderId="7" xfId="0" applyNumberFormat="1" applyFont="1" applyBorder="1" applyAlignment="1" applyProtection="1">
      <alignment horizontal="center" vertical="center"/>
      <protection hidden="1"/>
    </xf>
    <xf numFmtId="180" fontId="29" fillId="0" borderId="0" xfId="0" applyNumberFormat="1" applyFont="1" applyAlignment="1" applyProtection="1">
      <alignment horizontal="center" vertical="center" wrapText="1"/>
      <protection hidden="1"/>
    </xf>
    <xf numFmtId="2" fontId="29" fillId="13" borderId="0" xfId="3" applyFont="1" applyBorder="1" applyAlignment="1">
      <alignment horizontal="center" vertical="center" wrapText="1"/>
      <protection locked="0"/>
    </xf>
    <xf numFmtId="0" fontId="5" fillId="0" borderId="75" xfId="0" applyFont="1" applyBorder="1" applyAlignment="1">
      <alignment vertical="center" wrapText="1"/>
    </xf>
    <xf numFmtId="0" fontId="5" fillId="0" borderId="67" xfId="0" applyFont="1" applyBorder="1" applyAlignment="1">
      <alignment vertical="center" wrapText="1"/>
    </xf>
    <xf numFmtId="0" fontId="29" fillId="0" borderId="44" xfId="0" applyFont="1" applyBorder="1" applyAlignment="1" applyProtection="1">
      <alignment horizontal="center" vertical="center"/>
      <protection hidden="1"/>
    </xf>
    <xf numFmtId="0" fontId="71" fillId="0" borderId="31" xfId="0" applyFont="1" applyBorder="1" applyAlignment="1" applyProtection="1">
      <alignment horizontal="center" vertical="center"/>
      <protection hidden="1"/>
    </xf>
    <xf numFmtId="171" fontId="29" fillId="0" borderId="31" xfId="0" applyNumberFormat="1" applyFont="1" applyBorder="1" applyAlignment="1">
      <alignment horizontal="center" vertical="center"/>
    </xf>
    <xf numFmtId="169" fontId="29" fillId="26" borderId="31" xfId="0" applyNumberFormat="1" applyFont="1" applyFill="1" applyBorder="1" applyAlignment="1">
      <alignment horizontal="center" vertical="center"/>
    </xf>
    <xf numFmtId="0" fontId="30" fillId="26" borderId="77" xfId="0" applyFont="1" applyFill="1" applyBorder="1" applyAlignment="1" applyProtection="1">
      <alignment horizontal="center" vertical="center"/>
      <protection hidden="1"/>
    </xf>
    <xf numFmtId="171" fontId="44" fillId="22" borderId="18" xfId="0" applyNumberFormat="1" applyFont="1" applyFill="1" applyBorder="1" applyAlignment="1">
      <alignment horizontal="center" vertical="center"/>
    </xf>
    <xf numFmtId="171" fontId="44" fillId="22" borderId="20" xfId="0" applyNumberFormat="1" applyFont="1" applyFill="1" applyBorder="1" applyAlignment="1">
      <alignment horizontal="center" vertical="center"/>
    </xf>
    <xf numFmtId="171" fontId="44" fillId="22" borderId="43" xfId="0" applyNumberFormat="1" applyFont="1" applyFill="1" applyBorder="1" applyAlignment="1">
      <alignment horizontal="center" vertical="center"/>
    </xf>
    <xf numFmtId="171" fontId="44" fillId="7" borderId="4" xfId="0" applyNumberFormat="1" applyFont="1" applyFill="1" applyBorder="1" applyAlignment="1" applyProtection="1">
      <alignment horizontal="center" vertical="center" wrapText="1"/>
      <protection locked="0"/>
    </xf>
    <xf numFmtId="171" fontId="44" fillId="7" borderId="7" xfId="0" applyNumberFormat="1" applyFont="1" applyFill="1" applyBorder="1" applyAlignment="1" applyProtection="1">
      <alignment horizontal="center" vertical="center" wrapText="1"/>
      <protection locked="0"/>
    </xf>
    <xf numFmtId="171" fontId="44" fillId="7" borderId="8" xfId="0" applyNumberFormat="1" applyFont="1" applyFill="1" applyBorder="1" applyAlignment="1" applyProtection="1">
      <alignment horizontal="center" vertical="center" wrapText="1"/>
      <protection locked="0"/>
    </xf>
    <xf numFmtId="171" fontId="44" fillId="7" borderId="12" xfId="0" applyNumberFormat="1" applyFont="1" applyFill="1" applyBorder="1" applyAlignment="1" applyProtection="1">
      <alignment horizontal="center" vertical="center" wrapText="1"/>
      <protection locked="0"/>
    </xf>
    <xf numFmtId="0" fontId="29" fillId="2" borderId="0" xfId="0" applyFont="1" applyFill="1" applyAlignment="1" applyProtection="1">
      <alignment vertical="center" wrapText="1"/>
      <protection hidden="1"/>
    </xf>
    <xf numFmtId="171" fontId="8" fillId="7" borderId="3" xfId="0" applyNumberFormat="1" applyFont="1" applyFill="1" applyBorder="1" applyAlignment="1" applyProtection="1">
      <alignment horizontal="center" vertical="center"/>
      <protection locked="0" hidden="1"/>
    </xf>
    <xf numFmtId="171" fontId="8" fillId="7" borderId="1" xfId="0" applyNumberFormat="1" applyFont="1" applyFill="1" applyBorder="1" applyAlignment="1" applyProtection="1">
      <alignment horizontal="center" vertical="center"/>
      <protection locked="0" hidden="1"/>
    </xf>
    <xf numFmtId="171" fontId="8" fillId="7" borderId="41" xfId="0" applyNumberFormat="1" applyFont="1" applyFill="1" applyBorder="1" applyAlignment="1" applyProtection="1">
      <alignment horizontal="center" vertical="center"/>
      <protection locked="0" hidden="1"/>
    </xf>
    <xf numFmtId="171" fontId="8" fillId="7" borderId="38" xfId="0" applyNumberFormat="1" applyFont="1" applyFill="1" applyBorder="1" applyAlignment="1" applyProtection="1">
      <alignment horizontal="center" vertical="center"/>
      <protection locked="0" hidden="1"/>
    </xf>
    <xf numFmtId="171" fontId="8" fillId="7" borderId="40" xfId="0" applyNumberFormat="1" applyFont="1" applyFill="1" applyBorder="1" applyAlignment="1" applyProtection="1">
      <alignment horizontal="center" vertical="center"/>
      <protection locked="0" hidden="1"/>
    </xf>
    <xf numFmtId="171" fontId="8" fillId="7" borderId="44" xfId="0" applyNumberFormat="1" applyFont="1" applyFill="1" applyBorder="1" applyAlignment="1" applyProtection="1">
      <alignment horizontal="center" vertical="center"/>
      <protection locked="0" hidden="1"/>
    </xf>
    <xf numFmtId="171" fontId="8" fillId="7" borderId="31" xfId="0" applyNumberFormat="1" applyFont="1" applyFill="1" applyBorder="1" applyAlignment="1" applyProtection="1">
      <alignment horizontal="center" vertical="center"/>
      <protection locked="0" hidden="1"/>
    </xf>
    <xf numFmtId="171" fontId="8" fillId="7" borderId="8" xfId="0" applyNumberFormat="1" applyFont="1" applyFill="1" applyBorder="1" applyAlignment="1" applyProtection="1">
      <alignment horizontal="center" vertical="center"/>
      <protection locked="0" hidden="1"/>
    </xf>
    <xf numFmtId="171" fontId="8" fillId="7" borderId="12" xfId="0" applyNumberFormat="1" applyFont="1" applyFill="1" applyBorder="1" applyAlignment="1" applyProtection="1">
      <alignment horizontal="center" vertical="center"/>
      <protection locked="0" hidden="1"/>
    </xf>
    <xf numFmtId="171" fontId="8" fillId="7" borderId="7" xfId="0" applyNumberFormat="1" applyFont="1" applyFill="1" applyBorder="1" applyAlignment="1" applyProtection="1">
      <alignment horizontal="center" vertical="center"/>
      <protection locked="0" hidden="1"/>
    </xf>
    <xf numFmtId="0" fontId="29" fillId="6" borderId="1" xfId="0" applyFont="1" applyFill="1" applyBorder="1" applyAlignment="1" applyProtection="1">
      <alignment horizontal="center" vertical="center"/>
      <protection hidden="1"/>
    </xf>
    <xf numFmtId="0" fontId="28" fillId="0" borderId="4" xfId="0" applyFont="1" applyBorder="1" applyProtection="1">
      <protection hidden="1"/>
    </xf>
    <xf numFmtId="0" fontId="28" fillId="0" borderId="5" xfId="0" applyFont="1" applyBorder="1" applyProtection="1">
      <protection hidden="1"/>
    </xf>
    <xf numFmtId="20" fontId="8" fillId="4" borderId="10" xfId="0" applyNumberFormat="1" applyFont="1" applyFill="1" applyBorder="1" applyAlignment="1" applyProtection="1">
      <alignment horizontal="center" vertical="center"/>
      <protection locked="0" hidden="1"/>
    </xf>
    <xf numFmtId="20" fontId="44" fillId="0" borderId="48" xfId="0" applyNumberFormat="1" applyFont="1" applyBorder="1" applyAlignment="1">
      <alignment horizontal="center" vertical="center"/>
    </xf>
    <xf numFmtId="174" fontId="28" fillId="0" borderId="4" xfId="0" applyNumberFormat="1"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174" fontId="28" fillId="0" borderId="5" xfId="0" applyNumberFormat="1" applyFont="1" applyBorder="1" applyAlignment="1" applyProtection="1">
      <alignment horizontal="center" vertical="center"/>
      <protection hidden="1"/>
    </xf>
    <xf numFmtId="178" fontId="28" fillId="0" borderId="7" xfId="0" applyNumberFormat="1"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170" fontId="28" fillId="0" borderId="8" xfId="0" applyNumberFormat="1"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2" fontId="16" fillId="0" borderId="50" xfId="0" applyNumberFormat="1" applyFont="1" applyBorder="1" applyAlignment="1" applyProtection="1">
      <alignment horizontal="center" vertical="center" wrapText="1"/>
      <protection hidden="1"/>
    </xf>
    <xf numFmtId="2" fontId="16" fillId="0" borderId="58" xfId="0" applyNumberFormat="1" applyFont="1" applyBorder="1" applyAlignment="1" applyProtection="1">
      <alignment horizontal="center" vertical="center" wrapText="1"/>
      <protection hidden="1"/>
    </xf>
    <xf numFmtId="2" fontId="28" fillId="0" borderId="5" xfId="0" applyNumberFormat="1" applyFont="1" applyBorder="1" applyAlignment="1" applyProtection="1">
      <alignment horizontal="center" vertical="center" wrapText="1"/>
      <protection hidden="1"/>
    </xf>
    <xf numFmtId="1" fontId="28" fillId="0" borderId="38" xfId="0" applyNumberFormat="1" applyFont="1" applyBorder="1" applyAlignment="1" applyProtection="1">
      <alignment horizontal="center" vertical="center" wrapText="1"/>
      <protection hidden="1"/>
    </xf>
    <xf numFmtId="188" fontId="28" fillId="0" borderId="8" xfId="0" applyNumberFormat="1" applyFont="1" applyBorder="1" applyAlignment="1" applyProtection="1">
      <alignment horizontal="center" vertical="center" wrapText="1"/>
      <protection hidden="1"/>
    </xf>
    <xf numFmtId="1" fontId="28" fillId="0" borderId="12" xfId="0" applyNumberFormat="1" applyFont="1" applyBorder="1" applyAlignment="1" applyProtection="1">
      <alignment horizontal="center" vertical="center" wrapText="1"/>
      <protection hidden="1"/>
    </xf>
    <xf numFmtId="2" fontId="29" fillId="13" borderId="0" xfId="3" applyFont="1" applyBorder="1" applyAlignment="1">
      <alignment horizontal="center" vertical="center"/>
      <protection locked="0"/>
    </xf>
    <xf numFmtId="191" fontId="29" fillId="2" borderId="0" xfId="0" applyNumberFormat="1" applyFont="1" applyFill="1" applyAlignment="1" applyProtection="1">
      <alignment horizontal="left" vertical="center" wrapText="1"/>
      <protection hidden="1"/>
    </xf>
    <xf numFmtId="1" fontId="8" fillId="9" borderId="54" xfId="0" applyNumberFormat="1" applyFont="1" applyFill="1" applyBorder="1" applyAlignment="1" applyProtection="1">
      <alignment horizontal="centerContinuous" vertical="center" wrapText="1"/>
      <protection hidden="1"/>
    </xf>
    <xf numFmtId="164" fontId="8" fillId="9" borderId="67" xfId="0" applyNumberFormat="1" applyFont="1" applyFill="1" applyBorder="1" applyAlignment="1" applyProtection="1">
      <alignment horizontal="centerContinuous" vertical="center" wrapText="1"/>
      <protection hidden="1"/>
    </xf>
    <xf numFmtId="0" fontId="46" fillId="12" borderId="4" xfId="0" applyFont="1" applyFill="1" applyBorder="1" applyAlignment="1" applyProtection="1">
      <alignment horizontal="center" vertical="center" wrapText="1"/>
      <protection hidden="1"/>
    </xf>
    <xf numFmtId="0" fontId="46" fillId="12" borderId="5" xfId="0" applyFont="1" applyFill="1" applyBorder="1" applyAlignment="1" applyProtection="1">
      <alignment horizontal="center" vertical="center" wrapText="1"/>
      <protection hidden="1"/>
    </xf>
    <xf numFmtId="0" fontId="46" fillId="12" borderId="38" xfId="0" applyFont="1" applyFill="1" applyBorder="1" applyAlignment="1" applyProtection="1">
      <alignment horizontal="center" vertical="center" wrapText="1"/>
      <protection hidden="1"/>
    </xf>
    <xf numFmtId="169" fontId="33" fillId="12" borderId="10" xfId="0" applyNumberFormat="1" applyFont="1" applyFill="1" applyBorder="1" applyAlignment="1" applyProtection="1">
      <alignment horizontal="center" vertical="center" wrapText="1"/>
      <protection hidden="1"/>
    </xf>
    <xf numFmtId="2" fontId="33" fillId="12" borderId="10" xfId="0" applyNumberFormat="1" applyFont="1" applyFill="1" applyBorder="1" applyAlignment="1" applyProtection="1">
      <alignment horizontal="center" vertical="center" wrapText="1"/>
      <protection hidden="1"/>
    </xf>
    <xf numFmtId="2" fontId="33" fillId="12" borderId="11" xfId="0" applyNumberFormat="1" applyFont="1" applyFill="1" applyBorder="1" applyAlignment="1" applyProtection="1">
      <alignment horizontal="center" vertical="center" wrapText="1"/>
      <protection hidden="1"/>
    </xf>
    <xf numFmtId="169" fontId="29" fillId="26" borderId="20" xfId="0" applyNumberFormat="1" applyFont="1" applyFill="1" applyBorder="1" applyAlignment="1" applyProtection="1">
      <alignment horizontal="center" vertical="center" wrapText="1"/>
      <protection hidden="1"/>
    </xf>
    <xf numFmtId="2" fontId="29" fillId="26" borderId="20" xfId="0" applyNumberFormat="1" applyFont="1" applyFill="1" applyBorder="1" applyAlignment="1" applyProtection="1">
      <alignment horizontal="center" vertical="center" wrapText="1"/>
      <protection hidden="1"/>
    </xf>
    <xf numFmtId="188" fontId="29" fillId="26" borderId="43" xfId="0" applyNumberFormat="1" applyFont="1" applyFill="1" applyBorder="1" applyAlignment="1" applyProtection="1">
      <alignment horizontal="center" vertical="center" wrapText="1"/>
      <protection hidden="1"/>
    </xf>
    <xf numFmtId="169" fontId="29" fillId="26" borderId="8" xfId="0" applyNumberFormat="1" applyFont="1" applyFill="1" applyBorder="1" applyAlignment="1" applyProtection="1">
      <alignment horizontal="center" vertical="center" wrapText="1"/>
      <protection hidden="1"/>
    </xf>
    <xf numFmtId="0" fontId="29" fillId="26" borderId="12" xfId="0" applyFont="1" applyFill="1" applyBorder="1" applyAlignment="1" applyProtection="1">
      <alignment horizontal="center" vertical="center" wrapText="1"/>
      <protection hidden="1"/>
    </xf>
    <xf numFmtId="0" fontId="29" fillId="26" borderId="42" xfId="0" applyFont="1" applyFill="1" applyBorder="1" applyAlignment="1" applyProtection="1">
      <alignment horizontal="center" vertical="center"/>
      <protection hidden="1"/>
    </xf>
    <xf numFmtId="0" fontId="29" fillId="26" borderId="7" xfId="0" applyFont="1" applyFill="1" applyBorder="1" applyAlignment="1" applyProtection="1">
      <alignment horizontal="center" vertical="center"/>
      <protection hidden="1"/>
    </xf>
    <xf numFmtId="0" fontId="29" fillId="26" borderId="40" xfId="0" applyFont="1" applyFill="1" applyBorder="1" applyAlignment="1" applyProtection="1">
      <alignment horizontal="center" vertical="center" wrapText="1"/>
      <protection hidden="1"/>
    </xf>
    <xf numFmtId="0" fontId="29" fillId="26" borderId="41" xfId="0" applyFont="1" applyFill="1" applyBorder="1" applyAlignment="1" applyProtection="1">
      <alignment horizontal="center" vertical="center" wrapText="1"/>
      <protection hidden="1"/>
    </xf>
    <xf numFmtId="0" fontId="29" fillId="26" borderId="7" xfId="0" applyFont="1" applyFill="1" applyBorder="1" applyAlignment="1" applyProtection="1">
      <alignment horizontal="center" vertical="center" wrapText="1"/>
      <protection hidden="1"/>
    </xf>
    <xf numFmtId="0" fontId="29" fillId="0" borderId="22" xfId="0" applyFont="1" applyBorder="1" applyProtection="1">
      <protection hidden="1"/>
    </xf>
    <xf numFmtId="0" fontId="29" fillId="0" borderId="30" xfId="0" applyFont="1" applyBorder="1" applyProtection="1">
      <protection hidden="1"/>
    </xf>
    <xf numFmtId="0" fontId="29" fillId="0" borderId="23" xfId="0" applyFont="1" applyBorder="1" applyProtection="1">
      <protection hidden="1"/>
    </xf>
    <xf numFmtId="0" fontId="29" fillId="0" borderId="24" xfId="0" applyFont="1" applyBorder="1" applyProtection="1">
      <protection hidden="1"/>
    </xf>
    <xf numFmtId="0" fontId="29" fillId="0" borderId="37" xfId="0" applyFont="1" applyBorder="1" applyProtection="1">
      <protection hidden="1"/>
    </xf>
    <xf numFmtId="0" fontId="29" fillId="0" borderId="37" xfId="0" applyFont="1" applyBorder="1" applyAlignment="1" applyProtection="1">
      <alignment horizontal="center" vertical="center"/>
      <protection hidden="1"/>
    </xf>
    <xf numFmtId="0" fontId="29" fillId="0" borderId="21" xfId="0" applyFont="1" applyBorder="1" applyProtection="1">
      <protection hidden="1"/>
    </xf>
    <xf numFmtId="0" fontId="29" fillId="0" borderId="39" xfId="0" applyFont="1" applyBorder="1" applyProtection="1">
      <protection hidden="1"/>
    </xf>
    <xf numFmtId="0" fontId="29" fillId="0" borderId="6" xfId="0" applyFont="1" applyBorder="1" applyProtection="1">
      <protection hidden="1"/>
    </xf>
    <xf numFmtId="0" fontId="39" fillId="12" borderId="9" xfId="0" applyFont="1" applyFill="1" applyBorder="1" applyAlignment="1" applyProtection="1">
      <alignment horizontal="center" vertical="center" wrapText="1"/>
      <protection hidden="1"/>
    </xf>
    <xf numFmtId="0" fontId="55" fillId="8" borderId="0" xfId="0" applyFont="1" applyFill="1" applyAlignment="1">
      <alignment vertical="center" wrapText="1"/>
    </xf>
    <xf numFmtId="0" fontId="26" fillId="0" borderId="33" xfId="0" applyFont="1" applyBorder="1" applyAlignment="1">
      <alignment horizontal="center" vertical="center"/>
    </xf>
    <xf numFmtId="1" fontId="9" fillId="9" borderId="9" xfId="0" applyNumberFormat="1" applyFont="1" applyFill="1" applyBorder="1" applyAlignment="1" applyProtection="1">
      <alignment horizontal="center" vertical="center"/>
      <protection hidden="1"/>
    </xf>
    <xf numFmtId="168" fontId="29" fillId="0" borderId="0" xfId="0" applyNumberFormat="1" applyFont="1" applyAlignment="1" applyProtection="1">
      <alignment horizontal="left" vertical="center" wrapText="1"/>
      <protection hidden="1"/>
    </xf>
    <xf numFmtId="168" fontId="29" fillId="0" borderId="0" xfId="0" applyNumberFormat="1" applyFont="1" applyAlignment="1" applyProtection="1">
      <alignment horizontal="left" vertical="center"/>
      <protection hidden="1"/>
    </xf>
    <xf numFmtId="0" fontId="46" fillId="2" borderId="0" xfId="0" applyFont="1" applyFill="1" applyAlignment="1" applyProtection="1">
      <alignment horizontal="center" vertical="center" wrapText="1"/>
      <protection locked="0" hidden="1"/>
    </xf>
    <xf numFmtId="0" fontId="46" fillId="2" borderId="0" xfId="0" applyFont="1" applyFill="1" applyAlignment="1" applyProtection="1">
      <alignment horizontal="center" vertical="center" wrapText="1"/>
      <protection hidden="1"/>
    </xf>
    <xf numFmtId="2" fontId="29" fillId="26" borderId="5" xfId="0" applyNumberFormat="1" applyFont="1" applyFill="1" applyBorder="1" applyAlignment="1" applyProtection="1">
      <alignment horizontal="center" vertical="center" wrapText="1"/>
      <protection locked="0" hidden="1"/>
    </xf>
    <xf numFmtId="2" fontId="29" fillId="26" borderId="5" xfId="0" applyNumberFormat="1" applyFont="1" applyFill="1" applyBorder="1" applyAlignment="1" applyProtection="1">
      <alignment horizontal="center" vertical="center" wrapText="1"/>
      <protection hidden="1"/>
    </xf>
    <xf numFmtId="2" fontId="29" fillId="26" borderId="38" xfId="0" applyNumberFormat="1" applyFont="1" applyFill="1" applyBorder="1" applyAlignment="1" applyProtection="1">
      <alignment horizontal="center" vertical="center" wrapText="1"/>
      <protection hidden="1"/>
    </xf>
    <xf numFmtId="2" fontId="29" fillId="26" borderId="41" xfId="0" applyNumberFormat="1" applyFont="1" applyFill="1" applyBorder="1" applyAlignment="1" applyProtection="1">
      <alignment horizontal="center" vertical="center"/>
      <protection hidden="1"/>
    </xf>
    <xf numFmtId="2" fontId="29" fillId="26" borderId="8" xfId="0" applyNumberFormat="1" applyFont="1" applyFill="1" applyBorder="1" applyAlignment="1" applyProtection="1">
      <alignment horizontal="center" vertical="center"/>
      <protection hidden="1"/>
    </xf>
    <xf numFmtId="2" fontId="29" fillId="26" borderId="8" xfId="0" applyNumberFormat="1" applyFont="1" applyFill="1" applyBorder="1" applyAlignment="1" applyProtection="1">
      <alignment horizontal="center" vertical="center" wrapText="1"/>
      <protection hidden="1"/>
    </xf>
    <xf numFmtId="2" fontId="29" fillId="26" borderId="12" xfId="0" applyNumberFormat="1" applyFont="1" applyFill="1" applyBorder="1" applyAlignment="1" applyProtection="1">
      <alignment horizontal="center" vertical="center"/>
      <protection hidden="1"/>
    </xf>
    <xf numFmtId="2" fontId="10" fillId="13" borderId="16" xfId="3" applyFont="1" applyBorder="1" applyAlignment="1" applyProtection="1">
      <alignment horizontal="center" vertical="center" wrapText="1"/>
      <protection locked="0" hidden="1"/>
    </xf>
    <xf numFmtId="2" fontId="10" fillId="13" borderId="16" xfId="3" applyFont="1" applyBorder="1" applyAlignment="1" applyProtection="1">
      <alignment horizontal="center" vertical="center"/>
      <protection locked="0" hidden="1"/>
    </xf>
    <xf numFmtId="1" fontId="14" fillId="13" borderId="32" xfId="3" applyNumberFormat="1" applyFont="1" applyBorder="1" applyAlignment="1" applyProtection="1">
      <alignment horizontal="center" vertical="center"/>
      <protection locked="0" hidden="1"/>
    </xf>
    <xf numFmtId="1" fontId="14" fillId="13" borderId="22" xfId="3" applyNumberFormat="1" applyFont="1" applyBorder="1" applyAlignment="1" applyProtection="1">
      <alignment horizontal="center" vertical="center"/>
      <protection locked="0" hidden="1"/>
    </xf>
    <xf numFmtId="2" fontId="8" fillId="9" borderId="4" xfId="0" applyNumberFormat="1" applyFont="1" applyFill="1" applyBorder="1" applyAlignment="1" applyProtection="1">
      <alignment horizontal="center" vertical="center"/>
      <protection hidden="1"/>
    </xf>
    <xf numFmtId="2" fontId="8" fillId="23" borderId="40" xfId="3" applyFont="1" applyFill="1" applyBorder="1" applyAlignment="1" applyProtection="1">
      <alignment horizontal="center" vertical="center"/>
      <protection locked="0" hidden="1"/>
    </xf>
    <xf numFmtId="2" fontId="8" fillId="23" borderId="7" xfId="3" applyFont="1" applyFill="1" applyBorder="1" applyAlignment="1" applyProtection="1">
      <alignment horizontal="center" vertical="center"/>
      <protection locked="0" hidden="1"/>
    </xf>
    <xf numFmtId="2" fontId="29" fillId="0" borderId="5" xfId="0" applyNumberFormat="1" applyFont="1" applyBorder="1" applyProtection="1">
      <protection hidden="1"/>
    </xf>
    <xf numFmtId="2" fontId="29" fillId="0" borderId="8" xfId="0" applyNumberFormat="1" applyFont="1" applyBorder="1" applyAlignment="1" applyProtection="1">
      <alignment horizontal="center" vertical="center"/>
      <protection hidden="1"/>
    </xf>
    <xf numFmtId="2" fontId="29" fillId="0" borderId="20" xfId="0" applyNumberFormat="1" applyFont="1" applyBorder="1" applyAlignment="1" applyProtection="1">
      <alignment horizontal="center" vertical="center"/>
      <protection hidden="1"/>
    </xf>
    <xf numFmtId="2" fontId="29" fillId="26" borderId="20" xfId="0" applyNumberFormat="1" applyFont="1" applyFill="1" applyBorder="1" applyAlignment="1" applyProtection="1">
      <alignment horizontal="center" vertical="center"/>
      <protection hidden="1"/>
    </xf>
    <xf numFmtId="2" fontId="29" fillId="0" borderId="31" xfId="0" applyNumberFormat="1" applyFont="1" applyBorder="1" applyAlignment="1" applyProtection="1">
      <alignment horizontal="center" vertical="center"/>
      <protection hidden="1"/>
    </xf>
    <xf numFmtId="2" fontId="29" fillId="26" borderId="31" xfId="0" applyNumberFormat="1" applyFont="1" applyFill="1" applyBorder="1" applyAlignment="1" applyProtection="1">
      <alignment horizontal="center" vertical="center"/>
      <protection hidden="1"/>
    </xf>
    <xf numFmtId="2" fontId="29" fillId="26" borderId="1" xfId="0" quotePrefix="1" applyNumberFormat="1" applyFont="1" applyFill="1" applyBorder="1" applyAlignment="1" applyProtection="1">
      <alignment horizontal="center" vertical="center"/>
      <protection hidden="1"/>
    </xf>
    <xf numFmtId="2" fontId="29" fillId="0" borderId="1" xfId="0" quotePrefix="1" applyNumberFormat="1" applyFont="1" applyBorder="1" applyAlignment="1" applyProtection="1">
      <alignment horizontal="center" vertical="center"/>
      <protection hidden="1"/>
    </xf>
    <xf numFmtId="2" fontId="29" fillId="0" borderId="8" xfId="0" quotePrefix="1" applyNumberFormat="1" applyFont="1" applyBorder="1" applyAlignment="1" applyProtection="1">
      <alignment horizontal="center" vertical="center"/>
      <protection hidden="1"/>
    </xf>
    <xf numFmtId="2" fontId="29" fillId="26" borderId="8" xfId="0" quotePrefix="1" applyNumberFormat="1" applyFont="1" applyFill="1" applyBorder="1" applyAlignment="1" applyProtection="1">
      <alignment horizontal="center" vertical="center"/>
      <protection hidden="1"/>
    </xf>
    <xf numFmtId="1" fontId="29" fillId="26" borderId="5" xfId="0" applyNumberFormat="1" applyFont="1" applyFill="1" applyBorder="1" applyAlignment="1" applyProtection="1">
      <alignment horizontal="center" vertical="center" wrapText="1"/>
      <protection locked="0" hidden="1"/>
    </xf>
    <xf numFmtId="0" fontId="1" fillId="0" borderId="4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2" fontId="1" fillId="6" borderId="16" xfId="0" applyNumberFormat="1" applyFont="1" applyFill="1" applyBorder="1" applyAlignment="1" applyProtection="1">
      <alignment horizontal="center" vertical="center" wrapText="1"/>
      <protection hidden="1"/>
    </xf>
    <xf numFmtId="0" fontId="1" fillId="0" borderId="0" xfId="0" applyFont="1"/>
    <xf numFmtId="0" fontId="1" fillId="0" borderId="0" xfId="0" applyFont="1" applyAlignment="1">
      <alignment vertical="center"/>
    </xf>
    <xf numFmtId="22" fontId="1" fillId="0" borderId="0" xfId="0" applyNumberFormat="1" applyFont="1" applyAlignment="1">
      <alignment vertical="center" wrapText="1"/>
    </xf>
    <xf numFmtId="0" fontId="1" fillId="0" borderId="0" xfId="0" applyFont="1" applyAlignment="1">
      <alignment horizontal="center" vertical="center" wrapText="1"/>
    </xf>
    <xf numFmtId="2" fontId="9" fillId="9" borderId="5" xfId="0" applyNumberFormat="1" applyFont="1" applyFill="1" applyBorder="1" applyAlignment="1" applyProtection="1">
      <alignment horizontal="center" vertical="center" wrapText="1"/>
      <protection hidden="1"/>
    </xf>
    <xf numFmtId="2" fontId="9" fillId="9" borderId="1" xfId="0" applyNumberFormat="1" applyFont="1" applyFill="1" applyBorder="1" applyAlignment="1" applyProtection="1">
      <alignment horizontal="center" vertical="center" wrapText="1"/>
      <protection hidden="1"/>
    </xf>
    <xf numFmtId="0" fontId="75" fillId="0" borderId="0" xfId="0" applyFont="1"/>
    <xf numFmtId="0" fontId="75" fillId="0" borderId="40" xfId="0" applyFont="1" applyBorder="1" applyAlignment="1">
      <alignment horizontal="center"/>
    </xf>
    <xf numFmtId="164" fontId="75" fillId="0" borderId="1" xfId="0" applyNumberFormat="1" applyFont="1" applyBorder="1" applyAlignment="1">
      <alignment horizontal="center"/>
    </xf>
    <xf numFmtId="170" fontId="75" fillId="0" borderId="1" xfId="0" applyNumberFormat="1" applyFont="1" applyBorder="1" applyAlignment="1">
      <alignment horizontal="center"/>
    </xf>
    <xf numFmtId="170" fontId="75" fillId="0" borderId="41" xfId="0" applyNumberFormat="1" applyFont="1" applyBorder="1" applyAlignment="1">
      <alignment horizontal="center"/>
    </xf>
    <xf numFmtId="2" fontId="75" fillId="0" borderId="1" xfId="0" applyNumberFormat="1" applyFont="1" applyBorder="1" applyAlignment="1">
      <alignment horizontal="center"/>
    </xf>
    <xf numFmtId="2" fontId="75" fillId="0" borderId="8" xfId="0" applyNumberFormat="1" applyFont="1" applyBorder="1" applyAlignment="1">
      <alignment horizontal="center"/>
    </xf>
    <xf numFmtId="170" fontId="75" fillId="21" borderId="8" xfId="0" applyNumberFormat="1" applyFont="1" applyFill="1" applyBorder="1" applyAlignment="1">
      <alignment horizontal="center"/>
    </xf>
    <xf numFmtId="170" fontId="75" fillId="0" borderId="12" xfId="0" applyNumberFormat="1" applyFont="1" applyBorder="1" applyAlignment="1">
      <alignment horizontal="center"/>
    </xf>
    <xf numFmtId="0" fontId="75" fillId="0" borderId="0" xfId="0" applyFont="1" applyAlignment="1">
      <alignment horizontal="center"/>
    </xf>
    <xf numFmtId="11" fontId="75" fillId="0" borderId="0" xfId="0" applyNumberFormat="1" applyFont="1"/>
    <xf numFmtId="0" fontId="5" fillId="0" borderId="24" xfId="0" applyFont="1" applyBorder="1"/>
    <xf numFmtId="0" fontId="5" fillId="0" borderId="37" xfId="0" applyFont="1" applyBorder="1"/>
    <xf numFmtId="170" fontId="5" fillId="0" borderId="9" xfId="0" applyNumberFormat="1" applyFont="1" applyBorder="1" applyAlignment="1">
      <alignment horizontal="center" vertical="center"/>
    </xf>
    <xf numFmtId="170" fontId="75" fillId="0" borderId="0" xfId="0" applyNumberFormat="1" applyFont="1"/>
    <xf numFmtId="170" fontId="75" fillId="21" borderId="34" xfId="0" applyNumberFormat="1" applyFont="1" applyFill="1" applyBorder="1" applyAlignment="1">
      <alignment horizontal="center"/>
    </xf>
    <xf numFmtId="0" fontId="75" fillId="0" borderId="34" xfId="0" applyFont="1" applyBorder="1"/>
    <xf numFmtId="11" fontId="5" fillId="0" borderId="9" xfId="0" applyNumberFormat="1" applyFont="1" applyBorder="1" applyAlignment="1">
      <alignment horizontal="center" vertical="center"/>
    </xf>
    <xf numFmtId="0" fontId="75" fillId="0" borderId="32" xfId="0" applyFont="1" applyBorder="1" applyAlignment="1">
      <alignment horizontal="center" vertical="center"/>
    </xf>
    <xf numFmtId="0" fontId="5" fillId="0" borderId="56" xfId="0" applyFont="1" applyBorder="1" applyAlignment="1">
      <alignment horizontal="center" vertical="center" wrapText="1"/>
    </xf>
    <xf numFmtId="0" fontId="5" fillId="2" borderId="40" xfId="0" applyFont="1" applyFill="1" applyBorder="1" applyAlignment="1">
      <alignment horizontal="center" vertical="center"/>
    </xf>
    <xf numFmtId="171" fontId="5" fillId="2" borderId="2" xfId="0" applyNumberFormat="1" applyFont="1" applyFill="1" applyBorder="1" applyAlignment="1">
      <alignment horizontal="center" vertical="center"/>
    </xf>
    <xf numFmtId="180" fontId="5" fillId="2" borderId="40" xfId="0" applyNumberFormat="1" applyFont="1" applyFill="1" applyBorder="1" applyAlignment="1">
      <alignment horizontal="center" vertical="center"/>
    </xf>
    <xf numFmtId="0" fontId="5" fillId="2" borderId="2" xfId="0" applyFont="1" applyFill="1" applyBorder="1" applyAlignment="1">
      <alignment horizontal="center" vertical="center"/>
    </xf>
    <xf numFmtId="180" fontId="5" fillId="2" borderId="7" xfId="0" applyNumberFormat="1" applyFont="1" applyFill="1" applyBorder="1" applyAlignment="1">
      <alignment horizontal="center" vertical="center"/>
    </xf>
    <xf numFmtId="0" fontId="5" fillId="2" borderId="36" xfId="0" applyFont="1" applyFill="1" applyBorder="1" applyAlignment="1">
      <alignment horizontal="center" vertical="center"/>
    </xf>
    <xf numFmtId="180" fontId="75" fillId="0" borderId="9" xfId="0" applyNumberFormat="1" applyFont="1" applyBorder="1" applyAlignment="1">
      <alignment horizontal="center" vertical="center"/>
    </xf>
    <xf numFmtId="0" fontId="75" fillId="0" borderId="46" xfId="0" applyFont="1" applyBorder="1" applyAlignment="1">
      <alignment horizontal="center" vertical="center"/>
    </xf>
    <xf numFmtId="170" fontId="75" fillId="0" borderId="34" xfId="0" applyNumberFormat="1" applyFont="1" applyBorder="1" applyAlignment="1">
      <alignment horizontal="center" vertical="center"/>
    </xf>
    <xf numFmtId="171" fontId="5" fillId="0" borderId="2" xfId="0" applyNumberFormat="1" applyFont="1" applyBorder="1" applyAlignment="1">
      <alignment horizontal="center" vertical="center"/>
    </xf>
    <xf numFmtId="0" fontId="5" fillId="0" borderId="36" xfId="0" applyFont="1" applyBorder="1" applyAlignment="1">
      <alignment horizontal="center" vertical="center"/>
    </xf>
    <xf numFmtId="2" fontId="75" fillId="0" borderId="46" xfId="0" applyNumberFormat="1" applyFont="1" applyBorder="1" applyAlignment="1">
      <alignment horizontal="center" vertical="center"/>
    </xf>
    <xf numFmtId="0" fontId="5" fillId="21" borderId="11" xfId="0" applyNumberFormat="1" applyFont="1" applyFill="1" applyBorder="1" applyAlignment="1">
      <alignment horizontal="center" vertical="center"/>
    </xf>
    <xf numFmtId="0" fontId="29" fillId="2" borderId="1" xfId="0" applyFont="1" applyFill="1" applyBorder="1" applyAlignment="1" applyProtection="1">
      <alignment horizontal="center" vertical="center"/>
      <protection hidden="1"/>
    </xf>
    <xf numFmtId="168" fontId="29" fillId="2" borderId="1" xfId="0" applyNumberFormat="1" applyFont="1" applyFill="1" applyBorder="1" applyAlignment="1" applyProtection="1">
      <alignment horizontal="center" vertical="center"/>
      <protection hidden="1"/>
    </xf>
    <xf numFmtId="2" fontId="29" fillId="2" borderId="1" xfId="0" applyNumberFormat="1" applyFont="1" applyFill="1" applyBorder="1" applyAlignment="1" applyProtection="1">
      <alignment horizontal="center" vertical="center"/>
      <protection hidden="1"/>
    </xf>
    <xf numFmtId="169" fontId="29" fillId="2" borderId="1" xfId="0" applyNumberFormat="1" applyFont="1" applyFill="1" applyBorder="1" applyAlignment="1" applyProtection="1">
      <alignment horizontal="center" vertical="center"/>
      <protection hidden="1"/>
    </xf>
    <xf numFmtId="165" fontId="29" fillId="2" borderId="1" xfId="0" applyNumberFormat="1" applyFont="1" applyFill="1" applyBorder="1" applyAlignment="1" applyProtection="1">
      <alignment horizontal="center" vertical="center"/>
      <protection hidden="1"/>
    </xf>
    <xf numFmtId="0" fontId="29" fillId="2" borderId="20" xfId="0" applyFont="1" applyFill="1" applyBorder="1" applyAlignment="1" applyProtection="1">
      <alignment horizontal="center" vertical="center"/>
      <protection hidden="1"/>
    </xf>
    <xf numFmtId="168" fontId="29" fillId="2" borderId="20" xfId="0" applyNumberFormat="1" applyFont="1" applyFill="1" applyBorder="1" applyAlignment="1" applyProtection="1">
      <alignment horizontal="center" vertical="center"/>
      <protection hidden="1"/>
    </xf>
    <xf numFmtId="2" fontId="29" fillId="2" borderId="20" xfId="0" applyNumberFormat="1" applyFont="1" applyFill="1" applyBorder="1" applyAlignment="1" applyProtection="1">
      <alignment horizontal="center" vertical="center"/>
      <protection hidden="1"/>
    </xf>
    <xf numFmtId="169" fontId="29" fillId="2" borderId="20" xfId="0" applyNumberFormat="1" applyFont="1" applyFill="1" applyBorder="1" applyAlignment="1" applyProtection="1">
      <alignment horizontal="center" vertical="center"/>
      <protection hidden="1"/>
    </xf>
    <xf numFmtId="165" fontId="29" fillId="2" borderId="20" xfId="0" applyNumberFormat="1" applyFont="1" applyFill="1" applyBorder="1" applyAlignment="1" applyProtection="1">
      <alignment horizontal="center" vertical="center"/>
      <protection hidden="1"/>
    </xf>
    <xf numFmtId="0" fontId="29" fillId="0" borderId="8" xfId="0" applyFont="1" applyBorder="1" applyAlignment="1" applyProtection="1">
      <alignment horizontal="center" vertical="center" wrapText="1"/>
      <protection hidden="1"/>
    </xf>
    <xf numFmtId="0" fontId="29" fillId="26" borderId="48" xfId="0" applyFont="1" applyFill="1" applyBorder="1" applyAlignment="1" applyProtection="1">
      <alignment horizontal="center" vertical="center"/>
      <protection hidden="1"/>
    </xf>
    <xf numFmtId="168" fontId="29" fillId="26" borderId="48" xfId="0" applyNumberFormat="1" applyFont="1" applyFill="1" applyBorder="1" applyAlignment="1" applyProtection="1">
      <alignment horizontal="center" vertical="center"/>
      <protection hidden="1"/>
    </xf>
    <xf numFmtId="168" fontId="29" fillId="0" borderId="48" xfId="0" applyNumberFormat="1" applyFont="1" applyBorder="1" applyAlignment="1" applyProtection="1">
      <alignment horizontal="center" vertical="center"/>
      <protection hidden="1"/>
    </xf>
    <xf numFmtId="0" fontId="29" fillId="2" borderId="31" xfId="0" applyFont="1" applyFill="1" applyBorder="1" applyAlignment="1" applyProtection="1">
      <alignment horizontal="center" vertical="center"/>
      <protection hidden="1"/>
    </xf>
    <xf numFmtId="168" fontId="29" fillId="2" borderId="31" xfId="0" applyNumberFormat="1" applyFont="1" applyFill="1" applyBorder="1" applyAlignment="1" applyProtection="1">
      <alignment horizontal="center" vertical="center"/>
      <protection hidden="1"/>
    </xf>
    <xf numFmtId="2" fontId="29" fillId="2" borderId="31" xfId="0" applyNumberFormat="1" applyFont="1" applyFill="1" applyBorder="1" applyAlignment="1" applyProtection="1">
      <alignment horizontal="center" vertical="center"/>
      <protection hidden="1"/>
    </xf>
    <xf numFmtId="169" fontId="29" fillId="2" borderId="31" xfId="0" applyNumberFormat="1" applyFont="1" applyFill="1" applyBorder="1" applyAlignment="1" applyProtection="1">
      <alignment horizontal="center" vertical="center"/>
      <protection hidden="1"/>
    </xf>
    <xf numFmtId="165" fontId="29" fillId="2" borderId="31" xfId="0" applyNumberFormat="1" applyFont="1" applyFill="1" applyBorder="1" applyAlignment="1" applyProtection="1">
      <alignment horizontal="center" vertical="center"/>
      <protection hidden="1"/>
    </xf>
    <xf numFmtId="0" fontId="29" fillId="0" borderId="5" xfId="0" quotePrefix="1" applyFont="1" applyBorder="1" applyAlignment="1" applyProtection="1">
      <alignment horizontal="center" vertical="center"/>
      <protection hidden="1"/>
    </xf>
    <xf numFmtId="168" fontId="29" fillId="26" borderId="5" xfId="0" quotePrefix="1" applyNumberFormat="1" applyFont="1" applyFill="1" applyBorder="1" applyAlignment="1" applyProtection="1">
      <alignment horizontal="center" vertical="center"/>
      <protection hidden="1"/>
    </xf>
    <xf numFmtId="2" fontId="29" fillId="26" borderId="5" xfId="0" quotePrefix="1" applyNumberFormat="1" applyFont="1" applyFill="1" applyBorder="1" applyAlignment="1" applyProtection="1">
      <alignment horizontal="center" vertical="center"/>
      <protection hidden="1"/>
    </xf>
    <xf numFmtId="1" fontId="29" fillId="0" borderId="5" xfId="0" applyNumberFormat="1" applyFont="1" applyBorder="1" applyAlignment="1">
      <alignment horizontal="center" vertical="center"/>
    </xf>
    <xf numFmtId="169" fontId="29" fillId="26" borderId="5" xfId="0" applyNumberFormat="1" applyFont="1" applyFill="1" applyBorder="1" applyAlignment="1">
      <alignment horizontal="center" vertical="center"/>
    </xf>
    <xf numFmtId="0" fontId="29" fillId="2" borderId="3" xfId="0" applyFont="1" applyFill="1" applyBorder="1" applyAlignment="1" applyProtection="1">
      <alignment horizontal="center" vertical="center" wrapText="1"/>
      <protection hidden="1"/>
    </xf>
    <xf numFmtId="0" fontId="29" fillId="2" borderId="76" xfId="0" applyFont="1" applyFill="1" applyBorder="1" applyAlignment="1" applyProtection="1">
      <alignment horizontal="center" vertical="center" wrapText="1"/>
      <protection hidden="1"/>
    </xf>
    <xf numFmtId="0" fontId="29" fillId="0" borderId="63" xfId="0" applyFont="1" applyBorder="1" applyAlignment="1" applyProtection="1">
      <alignment horizontal="center" vertical="center"/>
      <protection hidden="1"/>
    </xf>
    <xf numFmtId="0" fontId="29" fillId="0" borderId="3" xfId="0" quotePrefix="1" applyFont="1" applyBorder="1" applyAlignment="1" applyProtection="1">
      <alignment horizontal="center" vertical="center"/>
      <protection hidden="1"/>
    </xf>
    <xf numFmtId="0" fontId="29" fillId="0" borderId="13" xfId="0" quotePrefix="1" applyFont="1" applyBorder="1" applyAlignment="1" applyProtection="1">
      <alignment horizontal="center" vertical="center"/>
      <protection hidden="1"/>
    </xf>
    <xf numFmtId="0" fontId="29" fillId="0" borderId="63" xfId="0" applyFont="1" applyBorder="1" applyAlignment="1" applyProtection="1">
      <alignment horizontal="center" vertical="center" wrapText="1"/>
      <protection hidden="1"/>
    </xf>
    <xf numFmtId="0" fontId="29" fillId="0" borderId="3" xfId="0" applyFont="1" applyBorder="1" applyAlignment="1" applyProtection="1">
      <alignment horizontal="center" vertical="center" wrapText="1"/>
      <protection hidden="1"/>
    </xf>
    <xf numFmtId="0" fontId="29" fillId="0" borderId="13" xfId="0" applyFont="1" applyBorder="1" applyAlignment="1" applyProtection="1">
      <alignment horizontal="center" vertical="center" wrapText="1"/>
      <protection hidden="1"/>
    </xf>
    <xf numFmtId="0" fontId="29" fillId="2" borderId="18" xfId="0"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71" fontId="9" fillId="9" borderId="63" xfId="0" applyNumberFormat="1" applyFont="1" applyFill="1" applyBorder="1" applyAlignment="1" applyProtection="1">
      <alignment horizontal="center" vertical="center" wrapText="1"/>
      <protection hidden="1"/>
    </xf>
    <xf numFmtId="171" fontId="9" fillId="9" borderId="3" xfId="0" applyNumberFormat="1" applyFont="1" applyFill="1" applyBorder="1" applyAlignment="1" applyProtection="1">
      <alignment horizontal="center" vertical="center" wrapText="1"/>
      <protection hidden="1"/>
    </xf>
    <xf numFmtId="171" fontId="8" fillId="9" borderId="34" xfId="0" applyNumberFormat="1" applyFont="1" applyFill="1" applyBorder="1" applyAlignment="1" applyProtection="1">
      <alignment horizontal="center" vertical="center"/>
      <protection hidden="1"/>
    </xf>
    <xf numFmtId="2" fontId="27" fillId="8" borderId="34" xfId="0" applyNumberFormat="1" applyFont="1" applyFill="1" applyBorder="1" applyAlignment="1" applyProtection="1">
      <alignment horizontal="center" vertical="center"/>
      <protection hidden="1"/>
    </xf>
    <xf numFmtId="2" fontId="8" fillId="0" borderId="21" xfId="0" applyNumberFormat="1" applyFont="1" applyBorder="1" applyProtection="1">
      <protection hidden="1"/>
    </xf>
    <xf numFmtId="2" fontId="14" fillId="6" borderId="33" xfId="0" applyNumberFormat="1" applyFont="1" applyFill="1" applyBorder="1" applyAlignment="1" applyProtection="1">
      <alignment horizontal="center" vertical="top"/>
      <protection hidden="1"/>
    </xf>
    <xf numFmtId="1" fontId="14" fillId="9" borderId="9" xfId="0" applyNumberFormat="1" applyFont="1" applyFill="1" applyBorder="1" applyAlignment="1" applyProtection="1">
      <alignment horizontal="center" vertical="center"/>
      <protection hidden="1"/>
    </xf>
    <xf numFmtId="1" fontId="14" fillId="9" borderId="10" xfId="0" applyNumberFormat="1" applyFont="1" applyFill="1" applyBorder="1" applyAlignment="1" applyProtection="1">
      <alignment horizontal="center" vertical="center"/>
      <protection hidden="1"/>
    </xf>
    <xf numFmtId="1" fontId="14" fillId="9" borderId="11" xfId="0" applyNumberFormat="1" applyFont="1" applyFill="1" applyBorder="1" applyAlignment="1" applyProtection="1">
      <alignment horizontal="center" vertical="center"/>
      <protection hidden="1"/>
    </xf>
    <xf numFmtId="169" fontId="10" fillId="9" borderId="38" xfId="0" applyNumberFormat="1" applyFont="1" applyFill="1" applyBorder="1" applyAlignment="1" applyProtection="1">
      <alignment horizontal="center" vertical="center"/>
      <protection hidden="1"/>
    </xf>
    <xf numFmtId="169" fontId="10" fillId="9" borderId="41" xfId="0" applyNumberFormat="1" applyFont="1" applyFill="1" applyBorder="1" applyAlignment="1" applyProtection="1">
      <alignment horizontal="center" vertical="center"/>
      <protection hidden="1"/>
    </xf>
    <xf numFmtId="169" fontId="10" fillId="9" borderId="12" xfId="0" applyNumberFormat="1" applyFont="1" applyFill="1" applyBorder="1" applyAlignment="1" applyProtection="1">
      <alignment horizontal="center" vertical="center"/>
      <protection hidden="1"/>
    </xf>
    <xf numFmtId="2" fontId="10" fillId="9" borderId="4" xfId="0" applyNumberFormat="1" applyFont="1" applyFill="1" applyBorder="1" applyAlignment="1" applyProtection="1">
      <alignment horizontal="center" vertical="center"/>
      <protection hidden="1"/>
    </xf>
    <xf numFmtId="2" fontId="10" fillId="9" borderId="40" xfId="0" applyNumberFormat="1" applyFont="1" applyFill="1" applyBorder="1" applyAlignment="1" applyProtection="1">
      <alignment horizontal="center" vertical="center"/>
      <protection hidden="1"/>
    </xf>
    <xf numFmtId="2" fontId="10" fillId="9" borderId="7" xfId="0" applyNumberFormat="1" applyFont="1" applyFill="1" applyBorder="1" applyAlignment="1" applyProtection="1">
      <alignment horizontal="center" vertical="center"/>
      <protection hidden="1"/>
    </xf>
    <xf numFmtId="192" fontId="29" fillId="2" borderId="14" xfId="0" applyNumberFormat="1" applyFont="1" applyFill="1" applyBorder="1" applyAlignment="1" applyProtection="1">
      <alignment horizontal="left" vertical="center" wrapText="1"/>
      <protection hidden="1"/>
    </xf>
    <xf numFmtId="193" fontId="29" fillId="2" borderId="16" xfId="0" applyNumberFormat="1" applyFont="1" applyFill="1" applyBorder="1" applyAlignment="1" applyProtection="1">
      <alignment horizontal="left" vertical="center" wrapText="1"/>
      <protection hidden="1"/>
    </xf>
    <xf numFmtId="0" fontId="29" fillId="0" borderId="32" xfId="0" applyFont="1" applyBorder="1" applyAlignment="1" applyProtection="1">
      <alignment horizontal="center"/>
      <protection hidden="1"/>
    </xf>
    <xf numFmtId="0" fontId="29" fillId="0" borderId="55" xfId="0" applyFont="1" applyBorder="1" applyAlignment="1" applyProtection="1">
      <alignment horizontal="center"/>
      <protection hidden="1"/>
    </xf>
    <xf numFmtId="0" fontId="29" fillId="0" borderId="33" xfId="0" applyFont="1" applyBorder="1" applyAlignment="1" applyProtection="1">
      <alignment horizontal="center"/>
      <protection hidden="1"/>
    </xf>
    <xf numFmtId="0" fontId="74" fillId="0" borderId="32" xfId="0" applyFont="1" applyBorder="1" applyAlignment="1" applyProtection="1">
      <alignment horizontal="center" vertical="center" wrapText="1"/>
      <protection hidden="1"/>
    </xf>
    <xf numFmtId="0" fontId="74" fillId="0" borderId="55" xfId="0" applyFont="1" applyBorder="1" applyAlignment="1" applyProtection="1">
      <alignment horizontal="center" vertical="center" wrapText="1"/>
      <protection hidden="1"/>
    </xf>
    <xf numFmtId="0" fontId="74" fillId="0" borderId="33" xfId="0" applyFont="1" applyBorder="1" applyAlignment="1" applyProtection="1">
      <alignment horizontal="center" vertical="center" wrapText="1"/>
      <protection hidden="1"/>
    </xf>
    <xf numFmtId="0" fontId="73" fillId="12" borderId="14" xfId="0" applyFont="1" applyFill="1" applyBorder="1" applyAlignment="1" applyProtection="1">
      <alignment horizontal="center" vertical="center"/>
      <protection hidden="1"/>
    </xf>
    <xf numFmtId="0" fontId="73" fillId="12" borderId="15" xfId="0" applyFont="1" applyFill="1" applyBorder="1" applyAlignment="1" applyProtection="1">
      <alignment horizontal="center" vertical="center"/>
      <protection hidden="1"/>
    </xf>
    <xf numFmtId="0" fontId="73" fillId="12" borderId="16" xfId="0" applyFont="1" applyFill="1" applyBorder="1" applyAlignment="1" applyProtection="1">
      <alignment horizontal="center" vertical="center"/>
      <protection hidden="1"/>
    </xf>
    <xf numFmtId="0" fontId="29" fillId="19" borderId="32" xfId="0" applyFont="1" applyFill="1" applyBorder="1" applyAlignment="1" applyProtection="1">
      <alignment horizontal="center" vertical="center" wrapText="1"/>
      <protection hidden="1"/>
    </xf>
    <xf numFmtId="0" fontId="29" fillId="19" borderId="55" xfId="0" applyFont="1" applyFill="1" applyBorder="1" applyAlignment="1" applyProtection="1">
      <alignment horizontal="center" vertical="center" wrapText="1"/>
      <protection hidden="1"/>
    </xf>
    <xf numFmtId="0" fontId="29" fillId="19" borderId="33" xfId="0" applyFont="1" applyFill="1" applyBorder="1" applyAlignment="1" applyProtection="1">
      <alignment horizontal="center" vertical="center" wrapText="1"/>
      <protection hidden="1"/>
    </xf>
    <xf numFmtId="0" fontId="29" fillId="19" borderId="32" xfId="0" applyFont="1" applyFill="1" applyBorder="1" applyAlignment="1" applyProtection="1">
      <alignment horizontal="center" vertical="center" textRotation="90" wrapText="1"/>
      <protection hidden="1"/>
    </xf>
    <xf numFmtId="0" fontId="29" fillId="19" borderId="55" xfId="0" applyFont="1" applyFill="1" applyBorder="1" applyAlignment="1" applyProtection="1">
      <alignment horizontal="center" vertical="center" textRotation="90" wrapText="1"/>
      <protection hidden="1"/>
    </xf>
    <xf numFmtId="0" fontId="29" fillId="19" borderId="33" xfId="0" applyFont="1" applyFill="1" applyBorder="1" applyAlignment="1" applyProtection="1">
      <alignment horizontal="center" vertical="center" textRotation="90" wrapText="1"/>
      <protection hidden="1"/>
    </xf>
    <xf numFmtId="0" fontId="30" fillId="26" borderId="22" xfId="0" applyFont="1" applyFill="1" applyBorder="1" applyAlignment="1" applyProtection="1">
      <alignment horizontal="center" vertical="center"/>
      <protection hidden="1"/>
    </xf>
    <xf numFmtId="0" fontId="30" fillId="26" borderId="24" xfId="0" applyFont="1" applyFill="1" applyBorder="1" applyAlignment="1" applyProtection="1">
      <alignment horizontal="center" vertical="center"/>
      <protection hidden="1"/>
    </xf>
    <xf numFmtId="0" fontId="30" fillId="26" borderId="39" xfId="0" applyFont="1" applyFill="1" applyBorder="1" applyAlignment="1" applyProtection="1">
      <alignment horizontal="center" vertical="center"/>
      <protection hidden="1"/>
    </xf>
    <xf numFmtId="0" fontId="26" fillId="6" borderId="22" xfId="0" applyFont="1" applyFill="1" applyBorder="1" applyAlignment="1">
      <alignment horizontal="center" vertical="center" wrapText="1"/>
    </xf>
    <xf numFmtId="0" fontId="26" fillId="6" borderId="30"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6" borderId="39"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26" borderId="71" xfId="0" applyFont="1" applyFill="1" applyBorder="1" applyAlignment="1" applyProtection="1">
      <alignment horizontal="center" vertical="center"/>
      <protection hidden="1"/>
    </xf>
    <xf numFmtId="0" fontId="26" fillId="26" borderId="19" xfId="0" applyFont="1" applyFill="1" applyBorder="1" applyAlignment="1" applyProtection="1">
      <alignment horizontal="center" vertical="center"/>
      <protection hidden="1"/>
    </xf>
    <xf numFmtId="0" fontId="26" fillId="26" borderId="59" xfId="0" applyFont="1" applyFill="1" applyBorder="1" applyAlignment="1" applyProtection="1">
      <alignment horizontal="center" vertical="center"/>
      <protection hidden="1"/>
    </xf>
    <xf numFmtId="0" fontId="29" fillId="16" borderId="57" xfId="0" applyFont="1" applyFill="1" applyBorder="1" applyAlignment="1">
      <alignment horizontal="center" vertical="center" wrapText="1"/>
    </xf>
    <xf numFmtId="0" fontId="29" fillId="16" borderId="52" xfId="0" applyFont="1" applyFill="1" applyBorder="1" applyAlignment="1">
      <alignment horizontal="center" vertical="center" wrapText="1"/>
    </xf>
    <xf numFmtId="0" fontId="29" fillId="16" borderId="47" xfId="0" applyFont="1" applyFill="1" applyBorder="1" applyAlignment="1">
      <alignment horizontal="center" vertical="center" wrapText="1"/>
    </xf>
    <xf numFmtId="0" fontId="26" fillId="16" borderId="22" xfId="0" applyFont="1" applyFill="1" applyBorder="1" applyAlignment="1">
      <alignment horizontal="center" vertical="center"/>
    </xf>
    <xf numFmtId="0" fontId="26" fillId="16" borderId="23" xfId="0" applyFont="1" applyFill="1" applyBorder="1" applyAlignment="1">
      <alignment horizontal="center" vertical="center"/>
    </xf>
    <xf numFmtId="0" fontId="26" fillId="16" borderId="24" xfId="0" applyFont="1" applyFill="1" applyBorder="1" applyAlignment="1">
      <alignment horizontal="center" vertical="center"/>
    </xf>
    <xf numFmtId="0" fontId="26" fillId="16" borderId="37" xfId="0" applyFont="1" applyFill="1" applyBorder="1" applyAlignment="1">
      <alignment horizontal="center" vertical="center"/>
    </xf>
    <xf numFmtId="0" fontId="26" fillId="16" borderId="21" xfId="0" applyFont="1" applyFill="1" applyBorder="1" applyAlignment="1">
      <alignment horizontal="center" vertical="center"/>
    </xf>
    <xf numFmtId="0" fontId="26" fillId="16" borderId="6" xfId="0" applyFont="1" applyFill="1" applyBorder="1" applyAlignment="1">
      <alignment horizontal="center" vertical="center"/>
    </xf>
    <xf numFmtId="0" fontId="28" fillId="26" borderId="63" xfId="0" applyFont="1" applyFill="1" applyBorder="1" applyAlignment="1" applyProtection="1">
      <alignment horizontal="center" vertical="center" wrapText="1"/>
      <protection hidden="1"/>
    </xf>
    <xf numFmtId="0" fontId="0" fillId="26" borderId="3" xfId="0" applyFill="1" applyBorder="1" applyAlignment="1" applyProtection="1">
      <alignment horizontal="center" vertical="center" wrapText="1"/>
      <protection hidden="1"/>
    </xf>
    <xf numFmtId="0" fontId="0" fillId="26" borderId="13" xfId="0" applyFill="1" applyBorder="1" applyAlignment="1" applyProtection="1">
      <alignment horizontal="center" vertical="center" wrapText="1"/>
      <protection hidden="1"/>
    </xf>
    <xf numFmtId="168" fontId="28" fillId="26" borderId="5" xfId="0" applyNumberFormat="1" applyFont="1" applyFill="1" applyBorder="1" applyAlignment="1" applyProtection="1">
      <alignment horizontal="center" vertical="center" wrapText="1"/>
      <protection hidden="1"/>
    </xf>
    <xf numFmtId="0" fontId="0" fillId="26" borderId="1" xfId="0" applyFill="1" applyBorder="1" applyAlignment="1" applyProtection="1">
      <alignment horizontal="center" vertical="center" wrapText="1"/>
      <protection hidden="1"/>
    </xf>
    <xf numFmtId="0" fontId="0" fillId="26" borderId="8" xfId="0" applyFill="1" applyBorder="1" applyAlignment="1" applyProtection="1">
      <alignment horizontal="center" vertical="center" wrapText="1"/>
      <protection hidden="1"/>
    </xf>
    <xf numFmtId="0" fontId="28" fillId="26" borderId="38" xfId="0" applyFont="1" applyFill="1" applyBorder="1" applyAlignment="1" applyProtection="1">
      <alignment horizontal="center" vertical="center" wrapText="1"/>
      <protection hidden="1"/>
    </xf>
    <xf numFmtId="0" fontId="0" fillId="26" borderId="41" xfId="0" applyFill="1" applyBorder="1" applyAlignment="1" applyProtection="1">
      <alignment horizontal="center" vertical="center" wrapText="1"/>
      <protection hidden="1"/>
    </xf>
    <xf numFmtId="0" fontId="0" fillId="26" borderId="12" xfId="0" applyFill="1" applyBorder="1" applyAlignment="1" applyProtection="1">
      <alignment horizontal="center" vertical="center" wrapText="1"/>
      <protection hidden="1"/>
    </xf>
    <xf numFmtId="168" fontId="28" fillId="26" borderId="38" xfId="0" applyNumberFormat="1" applyFont="1" applyFill="1" applyBorder="1" applyAlignment="1" applyProtection="1">
      <alignment horizontal="center" vertical="center" wrapText="1"/>
      <protection hidden="1"/>
    </xf>
    <xf numFmtId="0" fontId="26" fillId="16" borderId="22" xfId="0" applyFont="1" applyFill="1" applyBorder="1" applyAlignment="1">
      <alignment horizontal="center" vertical="center" wrapText="1"/>
    </xf>
    <xf numFmtId="0" fontId="26" fillId="16" borderId="23" xfId="0" applyFont="1" applyFill="1" applyBorder="1" applyAlignment="1">
      <alignment horizontal="center" vertical="center" wrapText="1"/>
    </xf>
    <xf numFmtId="0" fontId="26" fillId="16" borderId="24" xfId="0" applyFont="1" applyFill="1" applyBorder="1" applyAlignment="1">
      <alignment horizontal="center" vertical="center" wrapText="1"/>
    </xf>
    <xf numFmtId="0" fontId="26" fillId="16" borderId="37" xfId="0" applyFont="1" applyFill="1" applyBorder="1" applyAlignment="1">
      <alignment horizontal="center" vertical="center" wrapText="1"/>
    </xf>
    <xf numFmtId="0" fontId="26" fillId="16" borderId="21" xfId="0" applyFont="1" applyFill="1" applyBorder="1" applyAlignment="1">
      <alignment horizontal="center" vertical="center" wrapText="1"/>
    </xf>
    <xf numFmtId="0" fontId="26" fillId="16" borderId="6" xfId="0" applyFont="1" applyFill="1" applyBorder="1" applyAlignment="1">
      <alignment horizontal="center" vertical="center" wrapText="1"/>
    </xf>
    <xf numFmtId="0" fontId="29" fillId="16" borderId="50" xfId="0" applyFont="1" applyFill="1" applyBorder="1" applyAlignment="1">
      <alignment horizontal="center" vertical="center" wrapText="1"/>
    </xf>
    <xf numFmtId="0" fontId="70" fillId="0" borderId="26" xfId="0" applyFont="1" applyBorder="1" applyAlignment="1">
      <alignment horizontal="center" vertical="center" wrapText="1"/>
    </xf>
    <xf numFmtId="0" fontId="70" fillId="0" borderId="48" xfId="0" applyFont="1" applyBorder="1" applyAlignment="1">
      <alignment horizontal="center" vertical="center" wrapText="1"/>
    </xf>
    <xf numFmtId="2" fontId="25" fillId="13" borderId="22" xfId="3" applyFont="1" applyBorder="1" applyAlignment="1">
      <alignment horizontal="center" vertical="center" wrapText="1"/>
      <protection locked="0"/>
    </xf>
    <xf numFmtId="2" fontId="25" fillId="13" borderId="23" xfId="3" applyFont="1" applyBorder="1" applyAlignment="1">
      <alignment horizontal="center" vertical="center" wrapText="1"/>
      <protection locked="0"/>
    </xf>
    <xf numFmtId="2" fontId="25" fillId="13" borderId="24" xfId="3" applyFont="1" applyBorder="1" applyAlignment="1">
      <alignment horizontal="center" vertical="center" wrapText="1"/>
      <protection locked="0"/>
    </xf>
    <xf numFmtId="2" fontId="25" fillId="13" borderId="37" xfId="3" applyFont="1" applyBorder="1" applyAlignment="1">
      <alignment horizontal="center" vertical="center" wrapText="1"/>
      <protection locked="0"/>
    </xf>
    <xf numFmtId="0" fontId="29" fillId="19" borderId="22"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0" fontId="27" fillId="12" borderId="14" xfId="0" applyFont="1" applyFill="1" applyBorder="1" applyAlignment="1" applyProtection="1">
      <alignment horizontal="center" vertical="center"/>
      <protection hidden="1"/>
    </xf>
    <xf numFmtId="0" fontId="27" fillId="12" borderId="15" xfId="0" applyFont="1" applyFill="1" applyBorder="1" applyAlignment="1" applyProtection="1">
      <alignment horizontal="center" vertical="center"/>
      <protection hidden="1"/>
    </xf>
    <xf numFmtId="0" fontId="27" fillId="12" borderId="16" xfId="0" applyFont="1" applyFill="1" applyBorder="1" applyAlignment="1" applyProtection="1">
      <alignment horizontal="center" vertical="center"/>
      <protection hidden="1"/>
    </xf>
    <xf numFmtId="0" fontId="26" fillId="6" borderId="1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70" fillId="0" borderId="52" xfId="0" applyFont="1" applyBorder="1" applyAlignment="1">
      <alignment horizontal="center" vertical="center" wrapText="1"/>
    </xf>
    <xf numFmtId="0" fontId="70" fillId="0" borderId="47" xfId="0" applyFont="1" applyBorder="1" applyAlignment="1">
      <alignment horizontal="center" vertical="center" wrapText="1"/>
    </xf>
    <xf numFmtId="0" fontId="30" fillId="26" borderId="68" xfId="0" applyFont="1" applyFill="1" applyBorder="1" applyAlignment="1" applyProtection="1">
      <alignment horizontal="center" vertical="center"/>
      <protection hidden="1"/>
    </xf>
    <xf numFmtId="0" fontId="30" fillId="26" borderId="69" xfId="0" applyFont="1" applyFill="1" applyBorder="1" applyAlignment="1" applyProtection="1">
      <alignment horizontal="center" vertical="center"/>
      <protection hidden="1"/>
    </xf>
    <xf numFmtId="0" fontId="30" fillId="26" borderId="70" xfId="0" applyFont="1" applyFill="1" applyBorder="1" applyAlignment="1" applyProtection="1">
      <alignment horizontal="center" vertical="center"/>
      <protection hidden="1"/>
    </xf>
    <xf numFmtId="0" fontId="28" fillId="24" borderId="68" xfId="0" applyFont="1" applyFill="1" applyBorder="1" applyAlignment="1" applyProtection="1">
      <alignment horizontal="center" vertical="center"/>
      <protection hidden="1"/>
    </xf>
    <xf numFmtId="0" fontId="28" fillId="24" borderId="70" xfId="0" applyFont="1" applyFill="1" applyBorder="1" applyAlignment="1" applyProtection="1">
      <alignment horizontal="center" vertical="center"/>
      <protection hidden="1"/>
    </xf>
    <xf numFmtId="1" fontId="28" fillId="26" borderId="63" xfId="0" applyNumberFormat="1" applyFont="1" applyFill="1" applyBorder="1" applyAlignment="1" applyProtection="1">
      <alignment horizontal="center" vertical="center" wrapText="1"/>
      <protection hidden="1"/>
    </xf>
    <xf numFmtId="1" fontId="0" fillId="26" borderId="3" xfId="0" applyNumberFormat="1" applyFill="1" applyBorder="1" applyAlignment="1" applyProtection="1">
      <alignment horizontal="center" vertical="center" wrapText="1"/>
      <protection hidden="1"/>
    </xf>
    <xf numFmtId="1" fontId="0" fillId="26" borderId="13" xfId="0" applyNumberFormat="1" applyFill="1" applyBorder="1" applyAlignment="1" applyProtection="1">
      <alignment horizontal="center" vertical="center" wrapText="1"/>
      <protection hidden="1"/>
    </xf>
    <xf numFmtId="0" fontId="29" fillId="16" borderId="50" xfId="0" applyFont="1" applyFill="1" applyBorder="1" applyAlignment="1">
      <alignment horizontal="center" vertical="center"/>
    </xf>
    <xf numFmtId="0" fontId="29" fillId="16" borderId="26" xfId="0" applyFont="1" applyFill="1" applyBorder="1" applyAlignment="1">
      <alignment horizontal="center" vertical="center"/>
    </xf>
    <xf numFmtId="0" fontId="29" fillId="16" borderId="48" xfId="0" applyFont="1" applyFill="1" applyBorder="1" applyAlignment="1">
      <alignment horizontal="center" vertical="center"/>
    </xf>
    <xf numFmtId="3" fontId="29" fillId="16" borderId="53" xfId="0" applyNumberFormat="1" applyFont="1" applyFill="1" applyBorder="1" applyAlignment="1">
      <alignment horizontal="center" vertical="center" wrapText="1"/>
    </xf>
    <xf numFmtId="0" fontId="70" fillId="0" borderId="29" xfId="0" applyFont="1" applyBorder="1" applyAlignment="1">
      <alignment horizontal="center" vertical="center" wrapText="1"/>
    </xf>
    <xf numFmtId="0" fontId="70" fillId="0" borderId="54" xfId="0" applyFont="1" applyBorder="1" applyAlignment="1">
      <alignment horizontal="center" vertical="center" wrapText="1"/>
    </xf>
    <xf numFmtId="49" fontId="29" fillId="16" borderId="58" xfId="0" applyNumberFormat="1" applyFont="1" applyFill="1" applyBorder="1" applyAlignment="1">
      <alignment horizontal="center" vertical="center" wrapText="1"/>
    </xf>
    <xf numFmtId="0" fontId="70" fillId="0" borderId="51" xfId="0" applyFont="1" applyBorder="1" applyAlignment="1">
      <alignment horizontal="center" vertical="center" wrapText="1"/>
    </xf>
    <xf numFmtId="0" fontId="70" fillId="0" borderId="49" xfId="0" applyFont="1" applyBorder="1" applyAlignment="1">
      <alignment horizontal="center" vertical="center" wrapText="1"/>
    </xf>
    <xf numFmtId="3" fontId="28" fillId="26" borderId="63" xfId="0" applyNumberFormat="1" applyFont="1" applyFill="1" applyBorder="1" applyAlignment="1" applyProtection="1">
      <alignment horizontal="center" vertical="center" wrapText="1"/>
      <protection hidden="1"/>
    </xf>
    <xf numFmtId="14" fontId="28" fillId="26" borderId="38" xfId="0" applyNumberFormat="1" applyFont="1" applyFill="1" applyBorder="1" applyAlignment="1" applyProtection="1">
      <alignment horizontal="center" vertical="center" wrapText="1"/>
      <protection hidden="1"/>
    </xf>
    <xf numFmtId="3" fontId="29" fillId="16" borderId="58" xfId="0" applyNumberFormat="1" applyFont="1" applyFill="1" applyBorder="1" applyAlignment="1">
      <alignment horizontal="center" vertical="center"/>
    </xf>
    <xf numFmtId="3" fontId="29" fillId="16" borderId="51" xfId="0" applyNumberFormat="1" applyFont="1" applyFill="1" applyBorder="1" applyAlignment="1">
      <alignment horizontal="center" vertical="center"/>
    </xf>
    <xf numFmtId="3" fontId="29" fillId="16" borderId="49" xfId="0" applyNumberFormat="1" applyFont="1" applyFill="1" applyBorder="1" applyAlignment="1">
      <alignment horizontal="center" vertical="center"/>
    </xf>
    <xf numFmtId="3" fontId="29" fillId="16" borderId="58" xfId="0" applyNumberFormat="1"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5" fillId="12" borderId="22" xfId="0" applyFont="1" applyFill="1" applyBorder="1" applyAlignment="1" applyProtection="1">
      <alignment horizontal="center" vertical="center" wrapText="1"/>
      <protection hidden="1"/>
    </xf>
    <xf numFmtId="0" fontId="25" fillId="12" borderId="30" xfId="0" applyFont="1" applyFill="1" applyBorder="1" applyAlignment="1" applyProtection="1">
      <alignment horizontal="center" vertical="center" wrapText="1"/>
      <protection hidden="1"/>
    </xf>
    <xf numFmtId="0" fontId="25" fillId="12" borderId="24" xfId="0" applyFont="1" applyFill="1" applyBorder="1" applyAlignment="1" applyProtection="1">
      <alignment horizontal="center" vertical="center" wrapText="1"/>
      <protection hidden="1"/>
    </xf>
    <xf numFmtId="0" fontId="25" fillId="12" borderId="0" xfId="0" applyFont="1" applyFill="1" applyAlignment="1" applyProtection="1">
      <alignment horizontal="center" vertical="center" wrapText="1"/>
      <protection hidden="1"/>
    </xf>
    <xf numFmtId="0" fontId="26" fillId="6" borderId="5"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32" xfId="0" applyFont="1" applyFill="1" applyBorder="1" applyAlignment="1">
      <alignment horizontal="center" vertical="center"/>
    </xf>
    <xf numFmtId="0" fontId="26" fillId="6" borderId="33" xfId="0" applyFont="1" applyFill="1" applyBorder="1" applyAlignment="1">
      <alignment horizontal="center" vertical="center"/>
    </xf>
    <xf numFmtId="14" fontId="28" fillId="26" borderId="58" xfId="0" applyNumberFormat="1" applyFont="1" applyFill="1" applyBorder="1" applyAlignment="1" applyProtection="1">
      <alignment horizontal="center" vertical="center"/>
      <protection hidden="1"/>
    </xf>
    <xf numFmtId="14" fontId="28" fillId="26" borderId="51" xfId="0" applyNumberFormat="1" applyFont="1" applyFill="1" applyBorder="1" applyAlignment="1" applyProtection="1">
      <alignment horizontal="center" vertical="center"/>
      <protection hidden="1"/>
    </xf>
    <xf numFmtId="14" fontId="28" fillId="26" borderId="49" xfId="0" applyNumberFormat="1" applyFont="1" applyFill="1" applyBorder="1" applyAlignment="1" applyProtection="1">
      <alignment horizontal="center" vertical="center"/>
      <protection hidden="1"/>
    </xf>
    <xf numFmtId="0" fontId="28" fillId="26" borderId="58" xfId="0" applyFont="1" applyFill="1" applyBorder="1" applyAlignment="1" applyProtection="1">
      <alignment horizontal="center" vertical="center"/>
      <protection hidden="1"/>
    </xf>
    <xf numFmtId="0" fontId="28" fillId="26" borderId="51" xfId="0" applyFont="1" applyFill="1" applyBorder="1" applyAlignment="1" applyProtection="1">
      <alignment horizontal="center" vertical="center"/>
      <protection hidden="1"/>
    </xf>
    <xf numFmtId="0" fontId="28" fillId="26" borderId="49" xfId="0" applyFont="1" applyFill="1" applyBorder="1" applyAlignment="1" applyProtection="1">
      <alignment horizontal="center" vertical="center"/>
      <protection hidden="1"/>
    </xf>
    <xf numFmtId="168" fontId="28" fillId="26" borderId="50" xfId="0" applyNumberFormat="1" applyFont="1" applyFill="1" applyBorder="1" applyAlignment="1" applyProtection="1">
      <alignment horizontal="center" vertical="center"/>
      <protection hidden="1"/>
    </xf>
    <xf numFmtId="168" fontId="28" fillId="26" borderId="26" xfId="0" applyNumberFormat="1" applyFont="1" applyFill="1" applyBorder="1" applyAlignment="1" applyProtection="1">
      <alignment horizontal="center" vertical="center"/>
      <protection hidden="1"/>
    </xf>
    <xf numFmtId="168" fontId="28" fillId="26" borderId="48" xfId="0" applyNumberFormat="1" applyFont="1" applyFill="1" applyBorder="1" applyAlignment="1" applyProtection="1">
      <alignment horizontal="center" vertical="center"/>
      <protection hidden="1"/>
    </xf>
    <xf numFmtId="0" fontId="28" fillId="26" borderId="73" xfId="0" applyFont="1" applyFill="1" applyBorder="1" applyAlignment="1" applyProtection="1">
      <alignment horizontal="center" vertical="center"/>
      <protection hidden="1"/>
    </xf>
    <xf numFmtId="0" fontId="28" fillId="26" borderId="28" xfId="0" applyFont="1" applyFill="1" applyBorder="1" applyAlignment="1" applyProtection="1">
      <alignment horizontal="center" vertical="center"/>
      <protection hidden="1"/>
    </xf>
    <xf numFmtId="0" fontId="28" fillId="26" borderId="74" xfId="0" applyFont="1" applyFill="1" applyBorder="1" applyAlignment="1" applyProtection="1">
      <alignment horizontal="center" vertical="center"/>
      <protection hidden="1"/>
    </xf>
    <xf numFmtId="0" fontId="26" fillId="18" borderId="22" xfId="0" applyFont="1" applyFill="1" applyBorder="1" applyAlignment="1">
      <alignment horizontal="center" vertical="center"/>
    </xf>
    <xf numFmtId="0" fontId="26" fillId="18" borderId="23" xfId="0" applyFont="1" applyFill="1" applyBorder="1" applyAlignment="1">
      <alignment horizontal="center" vertical="center"/>
    </xf>
    <xf numFmtId="0" fontId="26" fillId="18" borderId="24" xfId="0" applyFont="1" applyFill="1" applyBorder="1" applyAlignment="1">
      <alignment horizontal="center" vertical="center"/>
    </xf>
    <xf numFmtId="0" fontId="26" fillId="18" borderId="37" xfId="0" applyFont="1" applyFill="1" applyBorder="1" applyAlignment="1">
      <alignment horizontal="center" vertical="center"/>
    </xf>
    <xf numFmtId="0" fontId="26" fillId="18" borderId="21" xfId="0" applyFont="1" applyFill="1" applyBorder="1" applyAlignment="1">
      <alignment horizontal="center" vertical="center"/>
    </xf>
    <xf numFmtId="0" fontId="26" fillId="18" borderId="6" xfId="0" applyFont="1" applyFill="1" applyBorder="1" applyAlignment="1">
      <alignment horizontal="center" vertical="center"/>
    </xf>
    <xf numFmtId="0" fontId="25" fillId="12" borderId="23" xfId="0" applyFont="1" applyFill="1" applyBorder="1" applyAlignment="1" applyProtection="1">
      <alignment horizontal="center" vertical="center" wrapText="1"/>
      <protection hidden="1"/>
    </xf>
    <xf numFmtId="0" fontId="25" fillId="12" borderId="21" xfId="0" applyFont="1" applyFill="1" applyBorder="1" applyAlignment="1" applyProtection="1">
      <alignment horizontal="center" vertical="center" wrapText="1"/>
      <protection hidden="1"/>
    </xf>
    <xf numFmtId="0" fontId="25" fillId="12" borderId="39" xfId="0" applyFont="1" applyFill="1" applyBorder="1" applyAlignment="1" applyProtection="1">
      <alignment horizontal="center" vertical="center" wrapText="1"/>
      <protection hidden="1"/>
    </xf>
    <xf numFmtId="0" fontId="25" fillId="12" borderId="6" xfId="0" applyFont="1" applyFill="1" applyBorder="1" applyAlignment="1" applyProtection="1">
      <alignment horizontal="center" vertical="center" wrapText="1"/>
      <protection hidden="1"/>
    </xf>
    <xf numFmtId="49" fontId="26" fillId="6" borderId="5" xfId="2" applyNumberFormat="1" applyFont="1" applyFill="1" applyBorder="1" applyAlignment="1" applyProtection="1">
      <alignment horizontal="center" vertical="center" wrapText="1"/>
      <protection hidden="1"/>
    </xf>
    <xf numFmtId="49" fontId="26" fillId="6" borderId="31" xfId="2" applyNumberFormat="1" applyFont="1" applyFill="1" applyBorder="1" applyAlignment="1" applyProtection="1">
      <alignment horizontal="center" vertical="center" wrapText="1"/>
      <protection hidden="1"/>
    </xf>
    <xf numFmtId="0" fontId="44" fillId="6" borderId="38" xfId="0" applyFont="1" applyFill="1" applyBorder="1" applyAlignment="1" applyProtection="1">
      <alignment horizontal="center" vertical="center" wrapText="1"/>
      <protection hidden="1"/>
    </xf>
    <xf numFmtId="0" fontId="44" fillId="6" borderId="45" xfId="0" applyFont="1" applyFill="1" applyBorder="1" applyAlignment="1" applyProtection="1">
      <alignment horizontal="center" vertical="center" wrapText="1"/>
      <protection hidden="1"/>
    </xf>
    <xf numFmtId="0" fontId="26" fillId="6" borderId="5" xfId="0" applyFont="1" applyFill="1" applyBorder="1" applyAlignment="1" applyProtection="1">
      <alignment horizontal="center" vertical="center"/>
      <protection hidden="1"/>
    </xf>
    <xf numFmtId="0" fontId="26" fillId="6" borderId="8" xfId="0"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0" fontId="26" fillId="6" borderId="8"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protection hidden="1"/>
    </xf>
    <xf numFmtId="0" fontId="26" fillId="6" borderId="7" xfId="0" applyFont="1" applyFill="1" applyBorder="1" applyAlignment="1" applyProtection="1">
      <alignment horizontal="center" vertical="center"/>
      <protection hidden="1"/>
    </xf>
    <xf numFmtId="0" fontId="26" fillId="19" borderId="5" xfId="0" applyFont="1" applyFill="1" applyBorder="1" applyAlignment="1" applyProtection="1">
      <alignment horizontal="center" vertical="center" wrapText="1"/>
      <protection hidden="1"/>
    </xf>
    <xf numFmtId="0" fontId="26" fillId="19" borderId="8" xfId="0" applyFont="1" applyFill="1" applyBorder="1" applyAlignment="1" applyProtection="1">
      <alignment horizontal="center" vertical="center" wrapText="1"/>
      <protection hidden="1"/>
    </xf>
    <xf numFmtId="2" fontId="26" fillId="13" borderId="5" xfId="3" applyFont="1" applyBorder="1" applyAlignment="1">
      <alignment horizontal="center" vertical="center" wrapText="1"/>
      <protection locked="0"/>
    </xf>
    <xf numFmtId="2" fontId="26" fillId="13" borderId="8" xfId="3" applyFont="1" applyBorder="1" applyAlignment="1">
      <alignment horizontal="center" vertical="center" wrapText="1"/>
      <protection locked="0"/>
    </xf>
    <xf numFmtId="2" fontId="26" fillId="13" borderId="38" xfId="3" applyFont="1" applyBorder="1" applyAlignment="1">
      <alignment horizontal="center" vertical="center" wrapText="1"/>
      <protection locked="0"/>
    </xf>
    <xf numFmtId="2" fontId="26" fillId="13" borderId="12" xfId="3" applyFont="1" applyBorder="1" applyAlignment="1">
      <alignment horizontal="center" vertical="center" wrapText="1"/>
      <protection locked="0"/>
    </xf>
    <xf numFmtId="49" fontId="26" fillId="6" borderId="4" xfId="2" applyNumberFormat="1" applyFont="1" applyFill="1" applyBorder="1" applyAlignment="1" applyProtection="1">
      <alignment horizontal="center" vertical="center" wrapText="1"/>
      <protection hidden="1"/>
    </xf>
    <xf numFmtId="49" fontId="26" fillId="6" borderId="44" xfId="2" applyNumberFormat="1" applyFont="1" applyFill="1" applyBorder="1" applyAlignment="1" applyProtection="1">
      <alignment horizontal="center" vertical="center" wrapText="1"/>
      <protection hidden="1"/>
    </xf>
    <xf numFmtId="49" fontId="26" fillId="6" borderId="43" xfId="0" applyNumberFormat="1" applyFont="1" applyFill="1" applyBorder="1" applyAlignment="1" applyProtection="1">
      <alignment horizontal="center" vertical="center" wrapText="1"/>
      <protection hidden="1"/>
    </xf>
    <xf numFmtId="49" fontId="26" fillId="6" borderId="12" xfId="0" applyNumberFormat="1" applyFont="1" applyFill="1" applyBorder="1" applyAlignment="1" applyProtection="1">
      <alignment horizontal="center" vertical="center" wrapText="1"/>
      <protection hidden="1"/>
    </xf>
    <xf numFmtId="2" fontId="1" fillId="0" borderId="1" xfId="0" applyNumberFormat="1" applyFont="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26" fillId="6" borderId="4" xfId="0" applyFont="1" applyFill="1" applyBorder="1" applyAlignment="1" applyProtection="1">
      <alignment horizontal="center" vertical="center" wrapText="1"/>
      <protection hidden="1"/>
    </xf>
    <xf numFmtId="0" fontId="26" fillId="6" borderId="44" xfId="0" applyFont="1" applyFill="1" applyBorder="1" applyAlignment="1" applyProtection="1">
      <alignment horizontal="center" vertical="center" wrapText="1"/>
      <protection hidden="1"/>
    </xf>
    <xf numFmtId="0" fontId="26" fillId="6" borderId="38" xfId="0" applyFont="1" applyFill="1" applyBorder="1" applyAlignment="1" applyProtection="1">
      <alignment horizontal="center" vertical="center" wrapText="1"/>
      <protection hidden="1"/>
    </xf>
    <xf numFmtId="0" fontId="26" fillId="6" borderId="45" xfId="0" applyFont="1" applyFill="1" applyBorder="1" applyAlignment="1" applyProtection="1">
      <alignment horizontal="center" vertical="center" wrapText="1"/>
      <protection hidden="1"/>
    </xf>
    <xf numFmtId="49" fontId="26" fillId="6" borderId="42" xfId="0" applyNumberFormat="1" applyFont="1" applyFill="1" applyBorder="1" applyAlignment="1" applyProtection="1">
      <alignment horizontal="center" vertical="center"/>
      <protection hidden="1"/>
    </xf>
    <xf numFmtId="49" fontId="26" fillId="6" borderId="7" xfId="0" applyNumberFormat="1" applyFont="1" applyFill="1" applyBorder="1" applyAlignment="1" applyProtection="1">
      <alignment horizontal="center" vertical="center"/>
      <protection hidden="1"/>
    </xf>
    <xf numFmtId="49" fontId="26" fillId="6" borderId="20" xfId="0" applyNumberFormat="1" applyFont="1" applyFill="1" applyBorder="1" applyAlignment="1" applyProtection="1">
      <alignment horizontal="center" vertical="center" wrapText="1"/>
      <protection hidden="1"/>
    </xf>
    <xf numFmtId="49" fontId="26" fillId="6" borderId="8" xfId="0" applyNumberFormat="1" applyFont="1" applyFill="1" applyBorder="1" applyAlignment="1" applyProtection="1">
      <alignment horizontal="center" vertical="center" wrapText="1"/>
      <protection hidden="1"/>
    </xf>
    <xf numFmtId="49" fontId="26" fillId="6" borderId="26" xfId="2" applyNumberFormat="1" applyFont="1" applyFill="1" applyBorder="1" applyAlignment="1" applyProtection="1">
      <alignment horizontal="center" vertical="center"/>
      <protection hidden="1"/>
    </xf>
    <xf numFmtId="49" fontId="26" fillId="6" borderId="48" xfId="2" applyNumberFormat="1" applyFont="1" applyFill="1" applyBorder="1" applyAlignment="1" applyProtection="1">
      <alignment horizontal="center" vertical="center"/>
      <protection hidden="1"/>
    </xf>
    <xf numFmtId="49" fontId="26" fillId="6" borderId="20" xfId="2" applyNumberFormat="1" applyFont="1" applyFill="1" applyBorder="1" applyAlignment="1" applyProtection="1">
      <alignment horizontal="center" vertical="center" wrapText="1"/>
      <protection hidden="1"/>
    </xf>
    <xf numFmtId="49" fontId="26" fillId="6" borderId="8" xfId="2" applyNumberFormat="1" applyFont="1" applyFill="1" applyBorder="1" applyAlignment="1" applyProtection="1">
      <alignment horizontal="center" vertical="center" wrapText="1"/>
      <protection hidden="1"/>
    </xf>
    <xf numFmtId="2" fontId="1" fillId="0" borderId="8" xfId="0" applyNumberFormat="1" applyFont="1" applyBorder="1" applyAlignment="1" applyProtection="1">
      <alignment horizontal="center" vertical="center"/>
      <protection hidden="1"/>
    </xf>
    <xf numFmtId="2" fontId="1" fillId="0" borderId="8" xfId="0" applyNumberFormat="1" applyFont="1" applyBorder="1" applyAlignment="1" applyProtection="1">
      <alignment horizontal="center" vertical="center" wrapText="1"/>
      <protection hidden="1"/>
    </xf>
    <xf numFmtId="0" fontId="16" fillId="6" borderId="14" xfId="0" applyFont="1" applyFill="1" applyBorder="1" applyAlignment="1" applyProtection="1">
      <alignment horizontal="center" vertical="center"/>
      <protection hidden="1"/>
    </xf>
    <xf numFmtId="0" fontId="16" fillId="6" borderId="15" xfId="0" applyFont="1" applyFill="1" applyBorder="1" applyAlignment="1" applyProtection="1">
      <alignment horizontal="center" vertical="center"/>
      <protection hidden="1"/>
    </xf>
    <xf numFmtId="0" fontId="16" fillId="6" borderId="16" xfId="0" applyFont="1" applyFill="1" applyBorder="1" applyAlignment="1" applyProtection="1">
      <alignment horizontal="center" vertical="center"/>
      <protection hidden="1"/>
    </xf>
    <xf numFmtId="0" fontId="29" fillId="0" borderId="5" xfId="0" applyFont="1" applyBorder="1" applyAlignment="1" applyProtection="1">
      <alignment horizontal="center"/>
      <protection hidden="1"/>
    </xf>
    <xf numFmtId="0" fontId="28" fillId="0" borderId="5" xfId="0" applyFont="1" applyBorder="1" applyAlignment="1" applyProtection="1">
      <alignment horizontal="center" vertical="center"/>
      <protection hidden="1"/>
    </xf>
    <xf numFmtId="0" fontId="26" fillId="6" borderId="38"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5" fillId="12" borderId="4" xfId="0" applyFont="1" applyFill="1" applyBorder="1" applyAlignment="1" applyProtection="1">
      <alignment horizontal="center" vertical="center"/>
      <protection hidden="1"/>
    </xf>
    <xf numFmtId="0" fontId="25" fillId="12" borderId="5" xfId="0" applyFont="1" applyFill="1" applyBorder="1" applyAlignment="1" applyProtection="1">
      <alignment horizontal="center" vertical="center"/>
      <protection hidden="1"/>
    </xf>
    <xf numFmtId="0" fontId="25" fillId="12" borderId="38" xfId="0" applyFont="1" applyFill="1" applyBorder="1" applyAlignment="1" applyProtection="1">
      <alignment horizontal="center" vertical="center"/>
      <protection hidden="1"/>
    </xf>
    <xf numFmtId="0" fontId="25" fillId="12" borderId="7" xfId="0" applyFont="1" applyFill="1" applyBorder="1" applyAlignment="1" applyProtection="1">
      <alignment horizontal="center" vertical="center"/>
      <protection hidden="1"/>
    </xf>
    <xf numFmtId="0" fontId="25" fillId="12" borderId="8" xfId="0" applyFont="1" applyFill="1" applyBorder="1" applyAlignment="1" applyProtection="1">
      <alignment horizontal="center" vertical="center"/>
      <protection hidden="1"/>
    </xf>
    <xf numFmtId="0" fontId="25" fillId="12" borderId="12" xfId="0" applyFont="1" applyFill="1" applyBorder="1" applyAlignment="1" applyProtection="1">
      <alignment horizontal="center" vertical="center"/>
      <protection hidden="1"/>
    </xf>
    <xf numFmtId="0" fontId="25" fillId="12" borderId="9" xfId="0" applyFont="1" applyFill="1" applyBorder="1" applyAlignment="1" applyProtection="1">
      <alignment horizontal="center" vertical="center"/>
      <protection hidden="1"/>
    </xf>
    <xf numFmtId="0" fontId="25" fillId="12" borderId="10" xfId="0" applyFont="1" applyFill="1" applyBorder="1" applyAlignment="1" applyProtection="1">
      <alignment horizontal="center" vertical="center"/>
      <protection hidden="1"/>
    </xf>
    <xf numFmtId="0" fontId="25" fillId="12" borderId="11" xfId="0" applyFont="1" applyFill="1" applyBorder="1" applyAlignment="1" applyProtection="1">
      <alignment horizontal="center" vertical="center"/>
      <protection hidden="1"/>
    </xf>
    <xf numFmtId="2" fontId="11" fillId="8" borderId="21" xfId="0" applyNumberFormat="1" applyFont="1" applyFill="1" applyBorder="1" applyAlignment="1" applyProtection="1">
      <alignment horizontal="center" vertical="center" wrapText="1"/>
      <protection hidden="1"/>
    </xf>
    <xf numFmtId="2" fontId="11" fillId="8" borderId="39" xfId="0" applyNumberFormat="1" applyFont="1" applyFill="1" applyBorder="1" applyAlignment="1" applyProtection="1">
      <alignment horizontal="center" vertical="center" wrapText="1"/>
      <protection hidden="1"/>
    </xf>
    <xf numFmtId="2" fontId="11" fillId="8" borderId="6" xfId="0" applyNumberFormat="1" applyFont="1" applyFill="1" applyBorder="1" applyAlignment="1" applyProtection="1">
      <alignment horizontal="center" vertical="center" wrapText="1"/>
      <protection hidden="1"/>
    </xf>
    <xf numFmtId="2" fontId="14" fillId="6" borderId="61" xfId="0" applyNumberFormat="1" applyFont="1" applyFill="1" applyBorder="1" applyAlignment="1" applyProtection="1">
      <alignment horizontal="center" vertical="center" wrapText="1"/>
      <protection hidden="1"/>
    </xf>
    <xf numFmtId="2" fontId="14" fillId="6" borderId="19" xfId="0" applyNumberFormat="1" applyFont="1" applyFill="1" applyBorder="1" applyAlignment="1" applyProtection="1">
      <alignment horizontal="center" vertical="center" wrapText="1"/>
      <protection hidden="1"/>
    </xf>
    <xf numFmtId="2" fontId="14" fillId="6" borderId="65" xfId="0" applyNumberFormat="1" applyFont="1" applyFill="1" applyBorder="1" applyAlignment="1" applyProtection="1">
      <alignment horizontal="center" vertical="center" wrapText="1"/>
      <protection hidden="1"/>
    </xf>
    <xf numFmtId="0" fontId="8" fillId="6" borderId="40" xfId="0" applyFont="1" applyFill="1" applyBorder="1" applyAlignment="1" applyProtection="1">
      <alignment horizontal="center"/>
      <protection hidden="1"/>
    </xf>
    <xf numFmtId="0" fontId="8" fillId="6" borderId="2" xfId="0" applyFont="1" applyFill="1" applyBorder="1" applyAlignment="1" applyProtection="1">
      <alignment horizontal="center"/>
      <protection hidden="1"/>
    </xf>
    <xf numFmtId="2" fontId="14" fillId="6" borderId="60" xfId="0" applyNumberFormat="1" applyFont="1" applyFill="1" applyBorder="1" applyAlignment="1" applyProtection="1">
      <alignment horizontal="center" vertical="center" wrapText="1"/>
      <protection hidden="1"/>
    </xf>
    <xf numFmtId="2" fontId="14" fillId="6" borderId="71" xfId="0" applyNumberFormat="1" applyFont="1" applyFill="1" applyBorder="1" applyAlignment="1" applyProtection="1">
      <alignment horizontal="center" vertical="center" wrapText="1"/>
      <protection hidden="1"/>
    </xf>
    <xf numFmtId="2" fontId="14" fillId="6" borderId="21" xfId="0" applyNumberFormat="1" applyFont="1" applyFill="1" applyBorder="1" applyAlignment="1" applyProtection="1">
      <alignment horizontal="center" vertical="center" wrapText="1"/>
      <protection hidden="1"/>
    </xf>
    <xf numFmtId="2" fontId="14" fillId="6" borderId="39" xfId="0" applyNumberFormat="1" applyFont="1" applyFill="1" applyBorder="1" applyAlignment="1" applyProtection="1">
      <alignment horizontal="center" vertical="center" wrapText="1"/>
      <protection hidden="1"/>
    </xf>
    <xf numFmtId="2" fontId="14" fillId="6" borderId="15" xfId="0" applyNumberFormat="1" applyFont="1" applyFill="1" applyBorder="1" applyAlignment="1" applyProtection="1">
      <alignment horizontal="center" vertical="center" wrapText="1"/>
      <protection hidden="1"/>
    </xf>
    <xf numFmtId="2" fontId="14" fillId="6" borderId="16" xfId="0" applyNumberFormat="1" applyFont="1" applyFill="1" applyBorder="1" applyAlignment="1" applyProtection="1">
      <alignment horizontal="center" vertical="center" wrapText="1"/>
      <protection hidden="1"/>
    </xf>
    <xf numFmtId="2" fontId="45" fillId="6" borderId="14" xfId="0" applyNumberFormat="1" applyFont="1" applyFill="1" applyBorder="1" applyAlignment="1" applyProtection="1">
      <alignment horizontal="center" vertical="center" wrapText="1"/>
      <protection hidden="1"/>
    </xf>
    <xf numFmtId="2" fontId="45" fillId="6" borderId="16" xfId="0" applyNumberFormat="1" applyFont="1" applyFill="1" applyBorder="1" applyAlignment="1" applyProtection="1">
      <alignment horizontal="center" vertical="center" wrapText="1"/>
      <protection hidden="1"/>
    </xf>
    <xf numFmtId="2" fontId="8" fillId="6" borderId="62" xfId="0" applyNumberFormat="1" applyFont="1" applyFill="1" applyBorder="1" applyAlignment="1" applyProtection="1">
      <alignment horizontal="center" vertical="center"/>
      <protection hidden="1"/>
    </xf>
    <xf numFmtId="2" fontId="8" fillId="6" borderId="59" xfId="0" applyNumberFormat="1" applyFont="1" applyFill="1" applyBorder="1" applyAlignment="1" applyProtection="1">
      <alignment horizontal="center" vertical="center"/>
      <protection hidden="1"/>
    </xf>
    <xf numFmtId="2" fontId="14" fillId="6" borderId="21" xfId="0" applyNumberFormat="1" applyFont="1" applyFill="1" applyBorder="1" applyAlignment="1" applyProtection="1">
      <alignment horizontal="center" vertical="center"/>
      <protection hidden="1"/>
    </xf>
    <xf numFmtId="2" fontId="14" fillId="6" borderId="39" xfId="0" applyNumberFormat="1" applyFont="1" applyFill="1" applyBorder="1" applyAlignment="1" applyProtection="1">
      <alignment horizontal="center" vertical="center"/>
      <protection hidden="1"/>
    </xf>
    <xf numFmtId="2" fontId="14" fillId="6" borderId="6" xfId="0" applyNumberFormat="1" applyFont="1" applyFill="1" applyBorder="1" applyAlignment="1" applyProtection="1">
      <alignment horizontal="center" vertical="center"/>
      <protection hidden="1"/>
    </xf>
    <xf numFmtId="2" fontId="8" fillId="6" borderId="61" xfId="0" applyNumberFormat="1" applyFont="1" applyFill="1" applyBorder="1" applyAlignment="1" applyProtection="1">
      <alignment horizontal="center" vertical="center"/>
      <protection hidden="1"/>
    </xf>
    <xf numFmtId="2" fontId="8" fillId="6" borderId="19" xfId="0" applyNumberFormat="1" applyFont="1" applyFill="1" applyBorder="1" applyAlignment="1" applyProtection="1">
      <alignment horizontal="center" vertical="center"/>
      <protection hidden="1"/>
    </xf>
    <xf numFmtId="2" fontId="14" fillId="6" borderId="62" xfId="0" applyNumberFormat="1" applyFont="1" applyFill="1" applyBorder="1" applyAlignment="1" applyProtection="1">
      <alignment horizontal="center" vertical="center" wrapText="1"/>
      <protection hidden="1"/>
    </xf>
    <xf numFmtId="2" fontId="14" fillId="6" borderId="59" xfId="0" applyNumberFormat="1" applyFont="1" applyFill="1" applyBorder="1" applyAlignment="1" applyProtection="1">
      <alignment horizontal="center" vertical="center" wrapText="1"/>
      <protection hidden="1"/>
    </xf>
    <xf numFmtId="2" fontId="14" fillId="6" borderId="66" xfId="0" applyNumberFormat="1" applyFont="1" applyFill="1" applyBorder="1" applyAlignment="1" applyProtection="1">
      <alignment horizontal="center" vertical="center" wrapText="1"/>
      <protection hidden="1"/>
    </xf>
    <xf numFmtId="2" fontId="8" fillId="6" borderId="65" xfId="0" applyNumberFormat="1" applyFont="1" applyFill="1" applyBorder="1" applyAlignment="1" applyProtection="1">
      <alignment horizontal="center" vertical="center"/>
      <protection hidden="1"/>
    </xf>
    <xf numFmtId="2" fontId="8" fillId="6" borderId="66" xfId="0" applyNumberFormat="1" applyFont="1" applyFill="1" applyBorder="1" applyAlignment="1" applyProtection="1">
      <alignment horizontal="center" vertical="center"/>
      <protection hidden="1"/>
    </xf>
    <xf numFmtId="2" fontId="14" fillId="6" borderId="22" xfId="0" applyNumberFormat="1" applyFont="1" applyFill="1" applyBorder="1" applyAlignment="1" applyProtection="1">
      <alignment horizontal="center" vertical="center" wrapText="1"/>
      <protection hidden="1"/>
    </xf>
    <xf numFmtId="2" fontId="14" fillId="6" borderId="30" xfId="0" applyNumberFormat="1" applyFont="1" applyFill="1" applyBorder="1" applyAlignment="1" applyProtection="1">
      <alignment horizontal="center" vertical="center" wrapText="1"/>
      <protection hidden="1"/>
    </xf>
    <xf numFmtId="2" fontId="14" fillId="6" borderId="6" xfId="0" applyNumberFormat="1" applyFont="1" applyFill="1" applyBorder="1" applyAlignment="1" applyProtection="1">
      <alignment horizontal="center" vertical="center" wrapText="1"/>
      <protection hidden="1"/>
    </xf>
    <xf numFmtId="0" fontId="10" fillId="6" borderId="62" xfId="0" applyFont="1" applyFill="1" applyBorder="1" applyAlignment="1" applyProtection="1">
      <alignment horizontal="center"/>
      <protection hidden="1"/>
    </xf>
    <xf numFmtId="0" fontId="10" fillId="6" borderId="59" xfId="0" applyFont="1" applyFill="1" applyBorder="1" applyAlignment="1" applyProtection="1">
      <alignment horizontal="center"/>
      <protection hidden="1"/>
    </xf>
    <xf numFmtId="2" fontId="25" fillId="3" borderId="21" xfId="0" applyNumberFormat="1" applyFont="1" applyFill="1" applyBorder="1" applyAlignment="1" applyProtection="1">
      <alignment horizontal="center" vertical="center"/>
      <protection hidden="1"/>
    </xf>
    <xf numFmtId="2" fontId="25" fillId="3" borderId="39" xfId="0" applyNumberFormat="1" applyFont="1" applyFill="1" applyBorder="1" applyAlignment="1" applyProtection="1">
      <alignment horizontal="center" vertical="center"/>
      <protection hidden="1"/>
    </xf>
    <xf numFmtId="2" fontId="25" fillId="3" borderId="6" xfId="0" applyNumberFormat="1" applyFont="1" applyFill="1" applyBorder="1" applyAlignment="1" applyProtection="1">
      <alignment horizontal="center" vertical="center"/>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9" fillId="6" borderId="40" xfId="2"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center" vertical="center"/>
      <protection hidden="1"/>
    </xf>
    <xf numFmtId="1" fontId="6" fillId="13" borderId="32" xfId="3" applyNumberFormat="1" applyFont="1" applyBorder="1" applyAlignment="1" applyProtection="1">
      <alignment horizontal="center" vertical="center" wrapText="1"/>
      <protection locked="0" hidden="1"/>
    </xf>
    <xf numFmtId="1" fontId="6" fillId="13" borderId="33" xfId="3" applyNumberFormat="1" applyFont="1" applyBorder="1" applyAlignment="1" applyProtection="1">
      <alignment horizontal="center" vertical="center" wrapText="1"/>
      <protection locked="0" hidden="1"/>
    </xf>
    <xf numFmtId="2" fontId="5" fillId="6" borderId="4" xfId="0" applyNumberFormat="1" applyFont="1" applyFill="1" applyBorder="1" applyAlignment="1" applyProtection="1">
      <alignment horizontal="left" vertical="center" wrapText="1"/>
      <protection hidden="1"/>
    </xf>
    <xf numFmtId="2" fontId="5" fillId="6" borderId="5" xfId="0" applyNumberFormat="1" applyFont="1" applyFill="1" applyBorder="1" applyAlignment="1" applyProtection="1">
      <alignment horizontal="left" vertical="center" wrapText="1"/>
      <protection hidden="1"/>
    </xf>
    <xf numFmtId="2" fontId="17" fillId="6" borderId="36" xfId="0" applyNumberFormat="1" applyFont="1" applyFill="1" applyBorder="1" applyAlignment="1" applyProtection="1">
      <alignment horizontal="center" vertical="center" wrapText="1"/>
      <protection hidden="1"/>
    </xf>
    <xf numFmtId="2" fontId="17" fillId="6" borderId="13" xfId="0" applyNumberFormat="1" applyFont="1" applyFill="1" applyBorder="1" applyAlignment="1" applyProtection="1">
      <alignment horizontal="center" vertical="center" wrapText="1"/>
      <protection hidden="1"/>
    </xf>
    <xf numFmtId="2" fontId="17" fillId="6" borderId="17" xfId="0" applyNumberFormat="1" applyFont="1" applyFill="1" applyBorder="1" applyAlignment="1" applyProtection="1">
      <alignment horizontal="center" vertical="center" wrapText="1"/>
      <protection hidden="1"/>
    </xf>
    <xf numFmtId="2" fontId="17" fillId="6" borderId="18"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wrapText="1"/>
      <protection hidden="1"/>
    </xf>
    <xf numFmtId="2" fontId="25" fillId="8" borderId="16" xfId="0" applyNumberFormat="1" applyFont="1" applyFill="1" applyBorder="1" applyAlignment="1" applyProtection="1">
      <alignment horizontal="center" vertical="center" wrapText="1"/>
      <protection hidden="1"/>
    </xf>
    <xf numFmtId="2" fontId="25" fillId="8" borderId="24" xfId="0" applyNumberFormat="1" applyFont="1" applyFill="1" applyBorder="1" applyAlignment="1" applyProtection="1">
      <alignment horizontal="center" vertical="center" wrapText="1"/>
      <protection hidden="1"/>
    </xf>
    <xf numFmtId="2" fontId="25" fillId="8" borderId="0" xfId="0" applyNumberFormat="1" applyFont="1" applyFill="1" applyAlignment="1" applyProtection="1">
      <alignment horizontal="center" vertical="center" wrapText="1"/>
      <protection hidden="1"/>
    </xf>
    <xf numFmtId="2" fontId="14" fillId="6" borderId="64" xfId="0" applyNumberFormat="1" applyFont="1" applyFill="1" applyBorder="1" applyAlignment="1" applyProtection="1">
      <alignment horizontal="center" vertical="center" wrapText="1"/>
      <protection hidden="1"/>
    </xf>
    <xf numFmtId="2" fontId="8" fillId="6" borderId="60" xfId="0" applyNumberFormat="1" applyFont="1" applyFill="1" applyBorder="1" applyAlignment="1" applyProtection="1">
      <alignment horizontal="center" vertical="center"/>
      <protection hidden="1"/>
    </xf>
    <xf numFmtId="2" fontId="8" fillId="6" borderId="64" xfId="0" applyNumberFormat="1" applyFont="1" applyFill="1" applyBorder="1" applyAlignment="1" applyProtection="1">
      <alignment horizontal="center" vertical="center"/>
      <protection hidden="1"/>
    </xf>
    <xf numFmtId="2" fontId="5" fillId="6" borderId="14" xfId="0" applyNumberFormat="1" applyFont="1" applyFill="1" applyBorder="1" applyAlignment="1" applyProtection="1">
      <alignment horizontal="center" vertical="center" wrapText="1"/>
      <protection hidden="1"/>
    </xf>
    <xf numFmtId="2" fontId="5" fillId="6" borderId="16" xfId="0" applyNumberFormat="1" applyFont="1" applyFill="1" applyBorder="1" applyAlignment="1" applyProtection="1">
      <alignment horizontal="center" vertical="center" wrapText="1"/>
      <protection hidden="1"/>
    </xf>
    <xf numFmtId="2" fontId="14" fillId="6" borderId="14" xfId="0"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13" xfId="2"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2" fontId="14" fillId="6" borderId="8" xfId="0" applyNumberFormat="1"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protection hidden="1"/>
    </xf>
    <xf numFmtId="2" fontId="8" fillId="9" borderId="41" xfId="0" applyNumberFormat="1" applyFont="1" applyFill="1" applyBorder="1" applyAlignment="1" applyProtection="1">
      <alignment horizontal="center" vertical="center"/>
      <protection hidden="1"/>
    </xf>
    <xf numFmtId="2" fontId="9" fillId="6" borderId="61"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2" fontId="9" fillId="6" borderId="57" xfId="0" applyNumberFormat="1" applyFont="1" applyFill="1" applyBorder="1" applyAlignment="1" applyProtection="1">
      <alignment horizontal="center" vertical="center"/>
      <protection hidden="1"/>
    </xf>
    <xf numFmtId="2" fontId="9" fillId="6" borderId="50" xfId="0" applyNumberFormat="1" applyFont="1" applyFill="1" applyBorder="1" applyAlignment="1" applyProtection="1">
      <alignment horizontal="center" vertical="center"/>
      <protection hidden="1"/>
    </xf>
    <xf numFmtId="2" fontId="9" fillId="6" borderId="58" xfId="0" applyNumberFormat="1" applyFont="1" applyFill="1" applyBorder="1" applyAlignment="1" applyProtection="1">
      <alignment horizontal="center" vertical="center"/>
      <protection hidden="1"/>
    </xf>
    <xf numFmtId="2" fontId="25" fillId="8" borderId="14" xfId="0" applyNumberFormat="1" applyFont="1" applyFill="1" applyBorder="1" applyAlignment="1" applyProtection="1">
      <alignment horizontal="center" vertical="center"/>
      <protection hidden="1"/>
    </xf>
    <xf numFmtId="2" fontId="25" fillId="8" borderId="16" xfId="0" applyNumberFormat="1" applyFont="1" applyFill="1" applyBorder="1" applyAlignment="1" applyProtection="1">
      <alignment horizontal="center" vertical="center"/>
      <protection hidden="1"/>
    </xf>
    <xf numFmtId="0" fontId="10" fillId="6" borderId="4" xfId="0" applyFont="1" applyFill="1" applyBorder="1" applyAlignment="1" applyProtection="1">
      <alignment horizontal="center"/>
      <protection hidden="1"/>
    </xf>
    <xf numFmtId="0" fontId="10" fillId="6" borderId="56" xfId="0" applyFont="1" applyFill="1" applyBorder="1" applyAlignment="1" applyProtection="1">
      <alignment horizontal="center"/>
      <protection hidden="1"/>
    </xf>
    <xf numFmtId="0" fontId="10" fillId="6" borderId="40" xfId="0" applyFont="1" applyFill="1" applyBorder="1" applyAlignment="1" applyProtection="1">
      <alignment horizontal="center"/>
      <protection hidden="1"/>
    </xf>
    <xf numFmtId="0" fontId="10" fillId="6" borderId="2" xfId="0" applyFont="1" applyFill="1" applyBorder="1" applyAlignment="1" applyProtection="1">
      <alignment horizontal="center"/>
      <protection hidden="1"/>
    </xf>
    <xf numFmtId="2" fontId="8" fillId="6" borderId="61" xfId="0" applyNumberFormat="1" applyFont="1" applyFill="1" applyBorder="1" applyAlignment="1" applyProtection="1">
      <alignment horizontal="center"/>
      <protection hidden="1"/>
    </xf>
    <xf numFmtId="2" fontId="8" fillId="6" borderId="19" xfId="0" applyNumberFormat="1" applyFont="1" applyFill="1" applyBorder="1" applyAlignment="1" applyProtection="1">
      <alignment horizontal="center"/>
      <protection hidden="1"/>
    </xf>
    <xf numFmtId="2" fontId="8" fillId="6" borderId="65" xfId="0" applyNumberFormat="1" applyFont="1" applyFill="1" applyBorder="1" applyAlignment="1" applyProtection="1">
      <alignment horizontal="center"/>
      <protection hidden="1"/>
    </xf>
    <xf numFmtId="2" fontId="8" fillId="6" borderId="62" xfId="0" applyNumberFormat="1" applyFont="1" applyFill="1" applyBorder="1" applyAlignment="1" applyProtection="1">
      <alignment horizontal="center"/>
      <protection hidden="1"/>
    </xf>
    <xf numFmtId="2" fontId="8" fillId="6" borderId="59" xfId="0" applyNumberFormat="1" applyFont="1" applyFill="1" applyBorder="1" applyAlignment="1" applyProtection="1">
      <alignment horizontal="center"/>
      <protection hidden="1"/>
    </xf>
    <xf numFmtId="2" fontId="8" fillId="6" borderId="66" xfId="0" applyNumberFormat="1" applyFont="1" applyFill="1" applyBorder="1" applyAlignment="1" applyProtection="1">
      <alignment horizontal="center"/>
      <protection hidden="1"/>
    </xf>
    <xf numFmtId="2" fontId="8" fillId="13" borderId="14" xfId="3" applyFont="1" applyBorder="1" applyAlignment="1" applyProtection="1">
      <alignment horizontal="center" vertical="center" wrapText="1"/>
      <protection locked="0" hidden="1"/>
    </xf>
    <xf numFmtId="2" fontId="8" fillId="13" borderId="16" xfId="3" applyFont="1" applyBorder="1" applyAlignment="1" applyProtection="1">
      <alignment horizontal="center" vertical="center" wrapText="1"/>
      <protection locked="0" hidden="1"/>
    </xf>
    <xf numFmtId="2" fontId="8" fillId="2" borderId="22" xfId="0" applyNumberFormat="1" applyFont="1" applyFill="1" applyBorder="1" applyAlignment="1" applyProtection="1">
      <alignment horizontal="left" vertical="top" wrapText="1"/>
      <protection locked="0" hidden="1"/>
    </xf>
    <xf numFmtId="2" fontId="8" fillId="2" borderId="30" xfId="0" applyNumberFormat="1" applyFont="1" applyFill="1" applyBorder="1" applyAlignment="1" applyProtection="1">
      <alignment horizontal="left" vertical="top" wrapText="1"/>
      <protection locked="0" hidden="1"/>
    </xf>
    <xf numFmtId="2" fontId="8" fillId="2" borderId="23" xfId="0" applyNumberFormat="1" applyFont="1" applyFill="1" applyBorder="1" applyAlignment="1" applyProtection="1">
      <alignment horizontal="left" vertical="top" wrapText="1"/>
      <protection locked="0" hidden="1"/>
    </xf>
    <xf numFmtId="2" fontId="8" fillId="2" borderId="24" xfId="0" applyNumberFormat="1" applyFont="1" applyFill="1" applyBorder="1" applyAlignment="1" applyProtection="1">
      <alignment horizontal="left" vertical="top" wrapText="1"/>
      <protection locked="0" hidden="1"/>
    </xf>
    <xf numFmtId="2" fontId="8" fillId="2" borderId="0" xfId="0" applyNumberFormat="1" applyFont="1" applyFill="1" applyAlignment="1" applyProtection="1">
      <alignment horizontal="left" vertical="top" wrapText="1"/>
      <protection locked="0" hidden="1"/>
    </xf>
    <xf numFmtId="2" fontId="8" fillId="2" borderId="37" xfId="0" applyNumberFormat="1" applyFont="1" applyFill="1" applyBorder="1" applyAlignment="1" applyProtection="1">
      <alignment horizontal="left" vertical="top" wrapText="1"/>
      <protection locked="0" hidden="1"/>
    </xf>
    <xf numFmtId="2" fontId="8" fillId="2" borderId="21" xfId="0" applyNumberFormat="1" applyFont="1" applyFill="1" applyBorder="1" applyAlignment="1" applyProtection="1">
      <alignment horizontal="left" vertical="top" wrapText="1"/>
      <protection locked="0" hidden="1"/>
    </xf>
    <xf numFmtId="2" fontId="8" fillId="2" borderId="39" xfId="0" applyNumberFormat="1" applyFont="1" applyFill="1" applyBorder="1" applyAlignment="1" applyProtection="1">
      <alignment horizontal="left" vertical="top" wrapText="1"/>
      <protection locked="0" hidden="1"/>
    </xf>
    <xf numFmtId="2" fontId="8" fillId="2" borderId="6" xfId="0" applyNumberFormat="1" applyFont="1" applyFill="1" applyBorder="1" applyAlignment="1" applyProtection="1">
      <alignment horizontal="left" vertical="top" wrapText="1"/>
      <protection locked="0" hidden="1"/>
    </xf>
    <xf numFmtId="2" fontId="8" fillId="9" borderId="14"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protection hidden="1"/>
    </xf>
    <xf numFmtId="2" fontId="8" fillId="6" borderId="15" xfId="0" applyNumberFormat="1" applyFont="1" applyFill="1" applyBorder="1" applyAlignment="1" applyProtection="1">
      <alignment horizontal="center"/>
      <protection hidden="1"/>
    </xf>
    <xf numFmtId="2" fontId="8" fillId="6" borderId="16" xfId="0" applyNumberFormat="1" applyFont="1" applyFill="1" applyBorder="1" applyAlignment="1" applyProtection="1">
      <alignment horizontal="center"/>
      <protection hidden="1"/>
    </xf>
    <xf numFmtId="2" fontId="8" fillId="6" borderId="60" xfId="0" applyNumberFormat="1" applyFont="1" applyFill="1" applyBorder="1" applyAlignment="1" applyProtection="1">
      <alignment horizontal="center"/>
      <protection hidden="1"/>
    </xf>
    <xf numFmtId="2" fontId="8" fillId="6" borderId="71" xfId="0" applyNumberFormat="1" applyFont="1" applyFill="1" applyBorder="1" applyAlignment="1" applyProtection="1">
      <alignment horizontal="center"/>
      <protection hidden="1"/>
    </xf>
    <xf numFmtId="2" fontId="8" fillId="6" borderId="64" xfId="0" applyNumberFormat="1" applyFont="1" applyFill="1" applyBorder="1" applyAlignment="1" applyProtection="1">
      <alignment horizontal="center"/>
      <protection hidden="1"/>
    </xf>
    <xf numFmtId="2" fontId="25" fillId="3" borderId="22" xfId="0" applyNumberFormat="1" applyFont="1" applyFill="1" applyBorder="1" applyAlignment="1" applyProtection="1">
      <alignment horizontal="center" vertical="center"/>
      <protection hidden="1"/>
    </xf>
    <xf numFmtId="2" fontId="25" fillId="3" borderId="30" xfId="0" applyNumberFormat="1" applyFont="1" applyFill="1" applyBorder="1" applyAlignment="1" applyProtection="1">
      <alignment horizontal="center" vertical="center"/>
      <protection hidden="1"/>
    </xf>
    <xf numFmtId="2" fontId="9" fillId="6" borderId="53" xfId="0" applyNumberFormat="1" applyFont="1" applyFill="1" applyBorder="1" applyAlignment="1" applyProtection="1">
      <alignment horizontal="center" vertical="center"/>
      <protection hidden="1"/>
    </xf>
    <xf numFmtId="2" fontId="35" fillId="6" borderId="7" xfId="0" applyNumberFormat="1" applyFont="1" applyFill="1" applyBorder="1" applyAlignment="1" applyProtection="1">
      <alignment horizontal="left" vertical="center" wrapText="1"/>
      <protection hidden="1"/>
    </xf>
    <xf numFmtId="2" fontId="35" fillId="6" borderId="8" xfId="0" applyNumberFormat="1" applyFont="1" applyFill="1" applyBorder="1" applyAlignment="1" applyProtection="1">
      <alignment horizontal="left" vertical="center" wrapText="1"/>
      <protection hidden="1"/>
    </xf>
    <xf numFmtId="2" fontId="48" fillId="11" borderId="9" xfId="0" applyNumberFormat="1" applyFont="1" applyFill="1" applyBorder="1" applyAlignment="1" applyProtection="1">
      <alignment horizontal="center" vertical="center"/>
      <protection hidden="1"/>
    </xf>
    <xf numFmtId="2" fontId="48" fillId="11" borderId="10" xfId="0" applyNumberFormat="1" applyFont="1" applyFill="1" applyBorder="1" applyAlignment="1" applyProtection="1">
      <alignment horizontal="center" vertical="center"/>
      <protection hidden="1"/>
    </xf>
    <xf numFmtId="2" fontId="48" fillId="11" borderId="11" xfId="0" applyNumberFormat="1" applyFont="1" applyFill="1" applyBorder="1" applyAlignment="1" applyProtection="1">
      <alignment horizontal="center" vertical="center"/>
      <protection hidden="1"/>
    </xf>
    <xf numFmtId="2" fontId="5" fillId="6" borderId="47" xfId="0" applyNumberFormat="1" applyFont="1" applyFill="1" applyBorder="1" applyAlignment="1" applyProtection="1">
      <alignment horizontal="left" vertical="center" wrapText="1"/>
      <protection hidden="1"/>
    </xf>
    <xf numFmtId="2" fontId="5" fillId="6" borderId="48" xfId="0" applyNumberFormat="1" applyFont="1" applyFill="1" applyBorder="1" applyAlignment="1" applyProtection="1">
      <alignment horizontal="left" vertical="center" wrapText="1"/>
      <protection hidden="1"/>
    </xf>
    <xf numFmtId="2" fontId="25" fillId="8" borderId="22" xfId="0" applyNumberFormat="1" applyFont="1" applyFill="1" applyBorder="1" applyAlignment="1" applyProtection="1">
      <alignment horizontal="center" vertical="center" wrapText="1"/>
      <protection hidden="1"/>
    </xf>
    <xf numFmtId="2" fontId="25" fillId="8" borderId="30" xfId="0" applyNumberFormat="1" applyFont="1" applyFill="1" applyBorder="1" applyAlignment="1" applyProtection="1">
      <alignment horizontal="center" vertical="center" wrapText="1"/>
      <protection hidden="1"/>
    </xf>
    <xf numFmtId="2" fontId="25" fillId="8" borderId="23" xfId="0" applyNumberFormat="1" applyFont="1" applyFill="1" applyBorder="1" applyAlignment="1" applyProtection="1">
      <alignment horizontal="center" vertical="center" wrapText="1"/>
      <protection hidden="1"/>
    </xf>
    <xf numFmtId="0" fontId="43" fillId="8" borderId="14" xfId="0" applyFont="1" applyFill="1" applyBorder="1" applyAlignment="1" applyProtection="1">
      <alignment horizontal="center" vertical="center" wrapText="1"/>
      <protection hidden="1"/>
    </xf>
    <xf numFmtId="0" fontId="43" fillId="8" borderId="15" xfId="0" applyFont="1" applyFill="1" applyBorder="1" applyAlignment="1" applyProtection="1">
      <alignment horizontal="center" vertical="center" wrapText="1"/>
      <protection hidden="1"/>
    </xf>
    <xf numFmtId="0" fontId="43" fillId="8" borderId="16" xfId="0"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wrapText="1"/>
      <protection hidden="1"/>
    </xf>
    <xf numFmtId="2" fontId="25" fillId="3" borderId="15" xfId="0" applyNumberFormat="1" applyFont="1" applyFill="1" applyBorder="1" applyAlignment="1" applyProtection="1">
      <alignment horizontal="center" vertical="center" wrapText="1"/>
      <protection hidden="1"/>
    </xf>
    <xf numFmtId="2" fontId="25" fillId="3" borderId="16" xfId="0" applyNumberFormat="1" applyFont="1" applyFill="1" applyBorder="1" applyAlignment="1" applyProtection="1">
      <alignment horizontal="center" vertical="center" wrapText="1"/>
      <protection hidden="1"/>
    </xf>
    <xf numFmtId="2" fontId="17" fillId="6" borderId="53" xfId="0" applyNumberFormat="1" applyFont="1" applyFill="1" applyBorder="1" applyAlignment="1" applyProtection="1">
      <alignment horizontal="center" vertical="center"/>
      <protection hidden="1"/>
    </xf>
    <xf numFmtId="2" fontId="17" fillId="6" borderId="29" xfId="0" applyNumberFormat="1" applyFont="1" applyFill="1" applyBorder="1" applyAlignment="1" applyProtection="1">
      <alignment horizontal="center" vertical="center"/>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22" fillId="3" borderId="16" xfId="0" applyNumberFormat="1" applyFont="1" applyFill="1" applyBorder="1" applyAlignment="1" applyProtection="1">
      <alignment horizontal="center" vertical="center"/>
      <protection hidden="1"/>
    </xf>
    <xf numFmtId="2" fontId="17" fillId="6" borderId="4" xfId="0" applyNumberFormat="1" applyFont="1" applyFill="1" applyBorder="1" applyAlignment="1" applyProtection="1">
      <alignment horizontal="center" vertical="center"/>
      <protection hidden="1"/>
    </xf>
    <xf numFmtId="2" fontId="17" fillId="6" borderId="44" xfId="0" applyNumberFormat="1" applyFont="1" applyFill="1" applyBorder="1" applyAlignment="1" applyProtection="1">
      <alignment horizontal="center" vertical="center"/>
      <protection hidden="1"/>
    </xf>
    <xf numFmtId="2" fontId="9" fillId="6" borderId="61" xfId="2" applyNumberFormat="1" applyFont="1" applyFill="1" applyBorder="1" applyAlignment="1" applyProtection="1">
      <alignment horizontal="center" vertical="center" wrapText="1"/>
      <protection hidden="1"/>
    </xf>
    <xf numFmtId="2" fontId="9" fillId="6" borderId="3" xfId="2" applyNumberFormat="1"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8" xfId="0" applyFont="1" applyFill="1" applyBorder="1" applyAlignment="1" applyProtection="1">
      <alignment horizontal="center" vertical="center" wrapText="1"/>
      <protection hidden="1"/>
    </xf>
    <xf numFmtId="2" fontId="9" fillId="6" borderId="38"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41"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5" fillId="3" borderId="23" xfId="0" applyNumberFormat="1" applyFont="1" applyFill="1" applyBorder="1" applyAlignment="1" applyProtection="1">
      <alignment horizontal="center" vertical="center"/>
      <protection hidden="1"/>
    </xf>
    <xf numFmtId="2" fontId="10" fillId="6" borderId="5" xfId="2" applyNumberFormat="1" applyFont="1" applyFill="1" applyBorder="1" applyAlignment="1" applyProtection="1">
      <alignment horizontal="center" vertical="center" wrapText="1"/>
      <protection hidden="1"/>
    </xf>
    <xf numFmtId="2" fontId="10" fillId="6" borderId="31" xfId="2" applyNumberFormat="1" applyFont="1" applyFill="1" applyBorder="1" applyAlignment="1" applyProtection="1">
      <alignment horizontal="center" vertical="center" wrapText="1"/>
      <protection hidden="1"/>
    </xf>
    <xf numFmtId="2" fontId="10" fillId="6" borderId="38" xfId="2" applyNumberFormat="1" applyFont="1" applyFill="1" applyBorder="1" applyAlignment="1" applyProtection="1">
      <alignment horizontal="center" vertical="center" wrapText="1"/>
      <protection hidden="1"/>
    </xf>
    <xf numFmtId="2" fontId="10" fillId="6" borderId="45" xfId="2" applyNumberFormat="1" applyFont="1" applyFill="1" applyBorder="1" applyAlignment="1" applyProtection="1">
      <alignment horizontal="center" vertical="center" wrapText="1"/>
      <protection hidden="1"/>
    </xf>
    <xf numFmtId="2" fontId="9" fillId="6" borderId="9" xfId="2" applyNumberFormat="1" applyFont="1" applyFill="1" applyBorder="1" applyAlignment="1" applyProtection="1">
      <alignment horizontal="center" vertical="center" wrapText="1"/>
      <protection hidden="1"/>
    </xf>
    <xf numFmtId="2" fontId="9" fillId="6" borderId="10" xfId="2" applyNumberFormat="1" applyFont="1" applyFill="1" applyBorder="1" applyAlignment="1" applyProtection="1">
      <alignment horizontal="center" vertical="center" wrapText="1"/>
      <protection hidden="1"/>
    </xf>
    <xf numFmtId="2" fontId="9" fillId="6" borderId="11" xfId="2" applyNumberFormat="1" applyFont="1" applyFill="1" applyBorder="1" applyAlignment="1" applyProtection="1">
      <alignment horizontal="center" vertical="center" wrapText="1"/>
      <protection hidden="1"/>
    </xf>
    <xf numFmtId="0" fontId="5" fillId="15" borderId="8" xfId="0"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vertical="center" wrapText="1"/>
      <protection hidden="1"/>
    </xf>
    <xf numFmtId="2" fontId="8" fillId="6" borderId="16" xfId="0" applyNumberFormat="1" applyFont="1" applyFill="1" applyBorder="1" applyAlignment="1" applyProtection="1">
      <alignment horizontal="center" vertical="center" wrapText="1"/>
      <protection hidden="1"/>
    </xf>
    <xf numFmtId="2" fontId="10" fillId="6" borderId="4" xfId="2" applyNumberFormat="1" applyFont="1" applyFill="1" applyBorder="1" applyAlignment="1" applyProtection="1">
      <alignment horizontal="center" vertical="center" wrapText="1"/>
      <protection hidden="1"/>
    </xf>
    <xf numFmtId="2" fontId="10" fillId="6" borderId="44" xfId="2" applyNumberFormat="1" applyFont="1" applyFill="1" applyBorder="1" applyAlignment="1" applyProtection="1">
      <alignment horizontal="center" vertical="center" wrapText="1"/>
      <protection hidden="1"/>
    </xf>
    <xf numFmtId="2" fontId="1" fillId="13" borderId="32" xfId="3" applyFont="1" applyBorder="1" applyAlignment="1" applyProtection="1">
      <alignment horizontal="center" vertical="center"/>
      <protection locked="0" hidden="1"/>
    </xf>
    <xf numFmtId="2" fontId="1" fillId="13" borderId="33" xfId="3" applyFont="1" applyBorder="1" applyAlignment="1" applyProtection="1">
      <alignment horizontal="center" vertical="center"/>
      <protection locked="0" hidden="1"/>
    </xf>
    <xf numFmtId="2" fontId="9" fillId="6" borderId="22" xfId="2" applyNumberFormat="1" applyFont="1" applyFill="1" applyBorder="1" applyAlignment="1" applyProtection="1">
      <alignment horizontal="center" vertical="center" wrapText="1"/>
      <protection hidden="1"/>
    </xf>
    <xf numFmtId="2" fontId="9" fillId="6" borderId="30" xfId="2" applyNumberFormat="1" applyFont="1" applyFill="1" applyBorder="1" applyAlignment="1" applyProtection="1">
      <alignment horizontal="center" vertical="center" wrapText="1"/>
      <protection hidden="1"/>
    </xf>
    <xf numFmtId="2" fontId="9" fillId="6" borderId="21"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22" xfId="2" applyNumberFormat="1" applyFont="1" applyFill="1" applyBorder="1" applyAlignment="1" applyProtection="1">
      <alignment horizontal="center"/>
      <protection hidden="1"/>
    </xf>
    <xf numFmtId="2" fontId="9" fillId="6" borderId="24" xfId="2" applyNumberFormat="1" applyFont="1" applyFill="1" applyBorder="1" applyAlignment="1" applyProtection="1">
      <alignment horizontal="center"/>
      <protection hidden="1"/>
    </xf>
    <xf numFmtId="2" fontId="9" fillId="6" borderId="23" xfId="2" applyNumberFormat="1" applyFont="1" applyFill="1" applyBorder="1" applyAlignment="1" applyProtection="1">
      <alignment horizontal="center"/>
      <protection hidden="1"/>
    </xf>
    <xf numFmtId="2" fontId="9" fillId="6" borderId="0" xfId="2" applyNumberFormat="1" applyFont="1" applyFill="1" applyBorder="1" applyAlignment="1" applyProtection="1">
      <alignment horizontal="center"/>
      <protection hidden="1"/>
    </xf>
    <xf numFmtId="2" fontId="8" fillId="6" borderId="14"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2" fontId="10" fillId="6" borderId="9" xfId="0" applyNumberFormat="1" applyFont="1" applyFill="1" applyBorder="1" applyAlignment="1" applyProtection="1">
      <alignment horizontal="center" vertical="center" wrapText="1"/>
      <protection hidden="1"/>
    </xf>
    <xf numFmtId="2" fontId="10" fillId="6" borderId="11" xfId="0" applyNumberFormat="1" applyFont="1" applyFill="1" applyBorder="1" applyAlignment="1" applyProtection="1">
      <alignment horizontal="center" vertical="center" wrapText="1"/>
      <protection hidden="1"/>
    </xf>
    <xf numFmtId="2" fontId="9" fillId="6" borderId="2" xfId="2" applyNumberFormat="1" applyFont="1" applyFill="1" applyBorder="1" applyAlignment="1" applyProtection="1">
      <alignment horizontal="center" vertical="center"/>
      <protection hidden="1"/>
    </xf>
    <xf numFmtId="168" fontId="8" fillId="9" borderId="1" xfId="0" applyNumberFormat="1" applyFont="1" applyFill="1" applyBorder="1" applyAlignment="1" applyProtection="1">
      <alignment horizontal="center" vertical="center"/>
      <protection hidden="1"/>
    </xf>
    <xf numFmtId="168" fontId="8" fillId="9" borderId="41" xfId="0" applyNumberFormat="1" applyFont="1" applyFill="1" applyBorder="1" applyAlignment="1" applyProtection="1">
      <alignment horizontal="center" vertical="center"/>
      <protection hidden="1"/>
    </xf>
    <xf numFmtId="2" fontId="8" fillId="9" borderId="5" xfId="0" applyNumberFormat="1" applyFont="1" applyFill="1" applyBorder="1" applyAlignment="1" applyProtection="1">
      <alignment horizontal="center" vertical="center"/>
      <protection hidden="1"/>
    </xf>
    <xf numFmtId="2" fontId="8" fillId="9" borderId="38"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protection hidden="1"/>
    </xf>
    <xf numFmtId="2" fontId="14" fillId="6" borderId="5" xfId="0" applyNumberFormat="1" applyFont="1" applyFill="1" applyBorder="1" applyAlignment="1" applyProtection="1">
      <alignment horizontal="center" vertical="center"/>
      <protection hidden="1"/>
    </xf>
    <xf numFmtId="2" fontId="9" fillId="6" borderId="4" xfId="2"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protection hidden="1"/>
    </xf>
    <xf numFmtId="2" fontId="8" fillId="0" borderId="34" xfId="0" applyNumberFormat="1" applyFont="1" applyBorder="1" applyAlignment="1" applyProtection="1">
      <alignment horizontal="center"/>
      <protection hidden="1"/>
    </xf>
    <xf numFmtId="2" fontId="42" fillId="0" borderId="22" xfId="0" applyNumberFormat="1" applyFont="1" applyBorder="1" applyAlignment="1" applyProtection="1">
      <alignment horizontal="center" vertical="center" wrapText="1"/>
      <protection hidden="1"/>
    </xf>
    <xf numFmtId="2" fontId="42" fillId="0" borderId="30" xfId="0" applyNumberFormat="1" applyFont="1" applyBorder="1" applyAlignment="1" applyProtection="1">
      <alignment horizontal="center" vertical="center" wrapText="1"/>
      <protection hidden="1"/>
    </xf>
    <xf numFmtId="2" fontId="42" fillId="0" borderId="23" xfId="0" applyNumberFormat="1" applyFont="1" applyBorder="1" applyAlignment="1" applyProtection="1">
      <alignment horizontal="center" vertical="center" wrapText="1"/>
      <protection hidden="1"/>
    </xf>
    <xf numFmtId="2" fontId="42" fillId="0" borderId="24" xfId="0" applyNumberFormat="1" applyFont="1" applyBorder="1" applyAlignment="1" applyProtection="1">
      <alignment horizontal="center" vertical="center" wrapText="1"/>
      <protection hidden="1"/>
    </xf>
    <xf numFmtId="2" fontId="42" fillId="0" borderId="0" xfId="0" applyNumberFormat="1" applyFont="1" applyAlignment="1" applyProtection="1">
      <alignment horizontal="center" vertical="center" wrapText="1"/>
      <protection hidden="1"/>
    </xf>
    <xf numFmtId="2" fontId="42" fillId="0" borderId="37" xfId="0" applyNumberFormat="1" applyFont="1" applyBorder="1" applyAlignment="1" applyProtection="1">
      <alignment horizontal="center" vertical="center" wrapText="1"/>
      <protection hidden="1"/>
    </xf>
    <xf numFmtId="2" fontId="42" fillId="0" borderId="21" xfId="0" applyNumberFormat="1" applyFont="1" applyBorder="1" applyAlignment="1" applyProtection="1">
      <alignment horizontal="center" vertical="center" wrapText="1"/>
      <protection hidden="1"/>
    </xf>
    <xf numFmtId="2" fontId="42" fillId="0" borderId="39" xfId="0" applyNumberFormat="1" applyFont="1" applyBorder="1" applyAlignment="1" applyProtection="1">
      <alignment horizontal="center" vertical="center" wrapText="1"/>
      <protection hidden="1"/>
    </xf>
    <xf numFmtId="2" fontId="42" fillId="0" borderId="6" xfId="0" applyNumberFormat="1" applyFont="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7" fillId="6" borderId="22" xfId="0" applyNumberFormat="1" applyFont="1" applyFill="1" applyBorder="1" applyAlignment="1" applyProtection="1">
      <alignment horizontal="center" vertical="center" wrapText="1"/>
      <protection hidden="1"/>
    </xf>
    <xf numFmtId="2" fontId="17" fillId="6" borderId="24" xfId="0" applyNumberFormat="1" applyFont="1" applyFill="1" applyBorder="1" applyAlignment="1" applyProtection="1">
      <alignment horizontal="center" vertical="center" wrapText="1"/>
      <protection hidden="1"/>
    </xf>
    <xf numFmtId="2" fontId="48" fillId="6" borderId="32" xfId="0" applyNumberFormat="1" applyFont="1" applyFill="1" applyBorder="1" applyAlignment="1" applyProtection="1">
      <alignment horizontal="center" vertical="center"/>
      <protection hidden="1"/>
    </xf>
    <xf numFmtId="2" fontId="48" fillId="6" borderId="55" xfId="0" applyNumberFormat="1" applyFont="1" applyFill="1" applyBorder="1" applyAlignment="1" applyProtection="1">
      <alignment horizontal="center" vertical="center"/>
      <protection hidden="1"/>
    </xf>
    <xf numFmtId="2" fontId="49" fillId="3" borderId="60" xfId="0" applyNumberFormat="1" applyFont="1" applyFill="1" applyBorder="1" applyAlignment="1" applyProtection="1">
      <alignment horizontal="center" vertical="center"/>
      <protection hidden="1"/>
    </xf>
    <xf numFmtId="2" fontId="19" fillId="3" borderId="71" xfId="0" applyNumberFormat="1" applyFont="1" applyFill="1" applyBorder="1" applyAlignment="1" applyProtection="1">
      <alignment horizontal="center" vertical="center"/>
      <protection hidden="1"/>
    </xf>
    <xf numFmtId="2" fontId="19" fillId="3" borderId="64" xfId="0" applyNumberFormat="1" applyFont="1" applyFill="1" applyBorder="1" applyAlignment="1" applyProtection="1">
      <alignment horizontal="center" vertical="center"/>
      <protection hidden="1"/>
    </xf>
    <xf numFmtId="2" fontId="17" fillId="6" borderId="5" xfId="0" applyNumberFormat="1" applyFont="1" applyFill="1" applyBorder="1" applyAlignment="1" applyProtection="1">
      <alignment horizontal="center" vertical="center"/>
      <protection hidden="1"/>
    </xf>
    <xf numFmtId="2" fontId="17" fillId="6" borderId="31" xfId="0" applyNumberFormat="1" applyFont="1" applyFill="1" applyBorder="1" applyAlignment="1" applyProtection="1">
      <alignment horizontal="center" vertical="center"/>
      <protection hidden="1"/>
    </xf>
    <xf numFmtId="2" fontId="9" fillId="6" borderId="40" xfId="2" applyNumberFormat="1" applyFont="1" applyFill="1" applyBorder="1" applyAlignment="1" applyProtection="1">
      <alignment horizontal="center" vertical="center"/>
      <protection locked="0" hidden="1"/>
    </xf>
    <xf numFmtId="2" fontId="9" fillId="6" borderId="1" xfId="2" applyNumberFormat="1" applyFont="1" applyFill="1" applyBorder="1" applyAlignment="1" applyProtection="1">
      <alignment horizontal="center" vertical="center"/>
      <protection locked="0" hidden="1"/>
    </xf>
    <xf numFmtId="2" fontId="9" fillId="6" borderId="62" xfId="2" applyNumberFormat="1" applyFont="1" applyFill="1" applyBorder="1" applyAlignment="1" applyProtection="1">
      <alignment horizontal="center" vertical="center" wrapText="1"/>
      <protection hidden="1"/>
    </xf>
    <xf numFmtId="2" fontId="48" fillId="8" borderId="15" xfId="0" applyNumberFormat="1" applyFont="1" applyFill="1" applyBorder="1" applyAlignment="1" applyProtection="1">
      <alignment horizontal="center" vertical="center" wrapText="1"/>
      <protection hidden="1"/>
    </xf>
    <xf numFmtId="2" fontId="48" fillId="8" borderId="16" xfId="0" applyNumberFormat="1" applyFont="1" applyFill="1" applyBorder="1" applyAlignment="1" applyProtection="1">
      <alignment horizontal="center" vertical="center" wrapText="1"/>
      <protection hidden="1"/>
    </xf>
    <xf numFmtId="2" fontId="14" fillId="6" borderId="7" xfId="0" applyNumberFormat="1" applyFont="1" applyFill="1" applyBorder="1" applyAlignment="1" applyProtection="1">
      <alignment horizontal="center" vertical="center"/>
      <protection hidden="1"/>
    </xf>
    <xf numFmtId="2" fontId="14" fillId="6"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9" borderId="12" xfId="0" applyNumberFormat="1" applyFont="1" applyFill="1" applyBorder="1" applyAlignment="1" applyProtection="1">
      <alignment horizontal="center" vertical="center"/>
      <protection hidden="1"/>
    </xf>
    <xf numFmtId="2" fontId="14" fillId="6" borderId="23"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protection hidden="1"/>
    </xf>
    <xf numFmtId="2" fontId="14" fillId="6" borderId="56" xfId="0" applyNumberFormat="1" applyFont="1" applyFill="1" applyBorder="1" applyAlignment="1" applyProtection="1">
      <alignment horizontal="center" vertical="center" wrapText="1"/>
      <protection hidden="1"/>
    </xf>
    <xf numFmtId="2" fontId="14" fillId="6" borderId="36" xfId="0" applyNumberFormat="1"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30" xfId="0" applyFont="1" applyFill="1" applyBorder="1" applyAlignment="1" applyProtection="1">
      <alignment horizontal="center" vertical="center"/>
      <protection hidden="1"/>
    </xf>
    <xf numFmtId="0" fontId="25" fillId="3" borderId="23" xfId="0"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14" fillId="21" borderId="14" xfId="0" applyFont="1" applyFill="1" applyBorder="1" applyAlignment="1">
      <alignment horizontal="center" vertical="center" wrapText="1"/>
    </xf>
    <xf numFmtId="0" fontId="14" fillId="21" borderId="15" xfId="0" applyFont="1" applyFill="1" applyBorder="1" applyAlignment="1">
      <alignment horizontal="center" vertical="center" wrapText="1"/>
    </xf>
    <xf numFmtId="0" fontId="14" fillId="21" borderId="16"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3" xfId="0" applyFont="1" applyBorder="1" applyAlignment="1">
      <alignment horizontal="center" vertical="center" wrapText="1"/>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 xfId="0" applyFont="1" applyBorder="1" applyAlignment="1">
      <alignment horizontal="center"/>
    </xf>
    <xf numFmtId="0" fontId="75" fillId="0" borderId="31" xfId="0" applyFont="1" applyBorder="1" applyAlignment="1">
      <alignment horizontal="center"/>
    </xf>
    <xf numFmtId="0" fontId="64" fillId="0" borderId="1" xfId="0" applyFont="1" applyBorder="1" applyAlignment="1">
      <alignment horizontal="center" vertical="center" wrapText="1"/>
    </xf>
    <xf numFmtId="0" fontId="14" fillId="0" borderId="24" xfId="0" applyFont="1" applyBorder="1" applyAlignment="1">
      <alignment horizontal="center"/>
    </xf>
    <xf numFmtId="0" fontId="14" fillId="0" borderId="0" xfId="0" applyFont="1" applyAlignment="1">
      <alignment horizontal="center"/>
    </xf>
    <xf numFmtId="0" fontId="14" fillId="0" borderId="37" xfId="0" applyFont="1" applyBorder="1" applyAlignment="1">
      <alignment horizontal="center"/>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170" fontId="75" fillId="0" borderId="31" xfId="0" applyNumberFormat="1" applyFont="1" applyBorder="1" applyAlignment="1">
      <alignment horizontal="center" vertical="center"/>
    </xf>
    <xf numFmtId="170" fontId="75" fillId="0" borderId="26" xfId="0" applyNumberFormat="1" applyFont="1" applyBorder="1" applyAlignment="1">
      <alignment horizontal="center" vertical="center"/>
    </xf>
    <xf numFmtId="170" fontId="75" fillId="0" borderId="48" xfId="0" applyNumberFormat="1" applyFont="1" applyBorder="1" applyAlignment="1">
      <alignment horizontal="center" vertical="center"/>
    </xf>
    <xf numFmtId="0" fontId="14" fillId="21" borderId="14" xfId="0" applyFont="1" applyFill="1" applyBorder="1" applyAlignment="1">
      <alignment horizontal="center"/>
    </xf>
    <xf numFmtId="0" fontId="14" fillId="21" borderId="15" xfId="0" applyFont="1" applyFill="1" applyBorder="1" applyAlignment="1">
      <alignment horizontal="center"/>
    </xf>
    <xf numFmtId="0" fontId="14" fillId="21" borderId="16" xfId="0" applyFont="1" applyFill="1" applyBorder="1" applyAlignment="1">
      <alignment horizontal="center"/>
    </xf>
    <xf numFmtId="170" fontId="75" fillId="21" borderId="31" xfId="0" applyNumberFormat="1" applyFont="1" applyFill="1" applyBorder="1" applyAlignment="1">
      <alignment horizontal="center" vertical="center"/>
    </xf>
    <xf numFmtId="170" fontId="75" fillId="21" borderId="26" xfId="0" applyNumberFormat="1" applyFont="1" applyFill="1" applyBorder="1" applyAlignment="1">
      <alignment horizontal="center" vertical="center"/>
    </xf>
    <xf numFmtId="170" fontId="75" fillId="21" borderId="48" xfId="0" applyNumberFormat="1" applyFont="1" applyFill="1" applyBorder="1" applyAlignment="1">
      <alignment horizontal="center" vertical="center"/>
    </xf>
    <xf numFmtId="0" fontId="1" fillId="0" borderId="31"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63" fillId="0" borderId="3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0" xfId="0" applyFont="1" applyBorder="1" applyAlignment="1">
      <alignment horizontal="center" vertical="center" wrapText="1"/>
    </xf>
    <xf numFmtId="169" fontId="5" fillId="21" borderId="14" xfId="0" applyNumberFormat="1" applyFont="1" applyFill="1" applyBorder="1" applyAlignment="1" applyProtection="1">
      <alignment horizontal="center" vertical="center" wrapText="1"/>
      <protection hidden="1"/>
    </xf>
    <xf numFmtId="169" fontId="5" fillId="21" borderId="72" xfId="0" applyNumberFormat="1" applyFont="1" applyFill="1" applyBorder="1" applyAlignment="1" applyProtection="1">
      <alignment horizontal="center" vertical="center" wrapText="1"/>
      <protection hidden="1"/>
    </xf>
    <xf numFmtId="169" fontId="6" fillId="2" borderId="60" xfId="0" applyNumberFormat="1" applyFont="1" applyFill="1" applyBorder="1" applyAlignment="1" applyProtection="1">
      <alignment horizontal="center" vertical="center" wrapText="1"/>
      <protection hidden="1"/>
    </xf>
    <xf numFmtId="169" fontId="6" fillId="2" borderId="63" xfId="0" applyNumberFormat="1" applyFont="1" applyFill="1" applyBorder="1" applyAlignment="1" applyProtection="1">
      <alignment horizontal="center" vertical="center" wrapText="1"/>
      <protection hidden="1"/>
    </xf>
    <xf numFmtId="169" fontId="6" fillId="2" borderId="62" xfId="0" applyNumberFormat="1" applyFont="1" applyFill="1" applyBorder="1" applyAlignment="1" applyProtection="1">
      <alignment horizontal="center" vertical="center" wrapText="1"/>
      <protection hidden="1"/>
    </xf>
    <xf numFmtId="169" fontId="6" fillId="2" borderId="13" xfId="0" applyNumberFormat="1" applyFont="1" applyFill="1" applyBorder="1" applyAlignment="1" applyProtection="1">
      <alignment horizontal="center" vertical="center" wrapText="1"/>
      <protection hidden="1"/>
    </xf>
    <xf numFmtId="168" fontId="44" fillId="0" borderId="22" xfId="0" applyNumberFormat="1" applyFont="1" applyBorder="1" applyAlignment="1" applyProtection="1">
      <alignment horizontal="center" vertical="center"/>
      <protection locked="0"/>
    </xf>
    <xf numFmtId="168" fontId="44" fillId="0" borderId="24" xfId="0" applyNumberFormat="1" applyFont="1" applyBorder="1" applyAlignment="1" applyProtection="1">
      <alignment horizontal="center" vertical="center"/>
      <protection locked="0"/>
    </xf>
    <xf numFmtId="168" fontId="44" fillId="0" borderId="21" xfId="0" applyNumberFormat="1" applyFont="1" applyBorder="1" applyAlignment="1" applyProtection="1">
      <alignment horizontal="center" vertical="center"/>
      <protection locked="0"/>
    </xf>
    <xf numFmtId="0" fontId="1" fillId="0" borderId="1" xfId="0" applyFont="1" applyBorder="1" applyAlignment="1">
      <alignment horizontal="center"/>
    </xf>
    <xf numFmtId="0" fontId="1" fillId="0" borderId="42" xfId="0" applyFont="1" applyBorder="1" applyAlignment="1" applyProtection="1">
      <alignment horizontal="center" vertical="center" wrapText="1"/>
      <protection hidden="1"/>
    </xf>
    <xf numFmtId="0" fontId="1" fillId="0" borderId="43" xfId="0" applyFont="1" applyBorder="1" applyAlignment="1" applyProtection="1">
      <alignment horizontal="center" vertical="center" wrapText="1"/>
      <protection hidden="1"/>
    </xf>
    <xf numFmtId="0" fontId="55" fillId="8" borderId="22" xfId="0" applyFont="1" applyFill="1" applyBorder="1" applyAlignment="1">
      <alignment horizontal="center" vertical="center" wrapText="1"/>
    </xf>
    <xf numFmtId="0" fontId="55" fillId="8" borderId="30" xfId="0" applyFont="1" applyFill="1" applyBorder="1" applyAlignment="1">
      <alignment horizontal="center" vertical="center" wrapText="1"/>
    </xf>
    <xf numFmtId="0" fontId="55" fillId="8" borderId="23" xfId="0" applyFont="1" applyFill="1" applyBorder="1" applyAlignment="1">
      <alignment horizontal="center" vertical="center" wrapText="1"/>
    </xf>
    <xf numFmtId="0" fontId="55" fillId="8" borderId="21" xfId="0" applyFont="1" applyFill="1" applyBorder="1" applyAlignment="1">
      <alignment horizontal="center" vertical="center" wrapText="1"/>
    </xf>
    <xf numFmtId="0" fontId="55" fillId="8" borderId="39" xfId="0" applyFont="1" applyFill="1" applyBorder="1" applyAlignment="1">
      <alignment horizontal="center" vertical="center" wrapText="1"/>
    </xf>
    <xf numFmtId="0" fontId="55" fillId="8" borderId="6" xfId="0" applyFont="1" applyFill="1" applyBorder="1" applyAlignment="1">
      <alignment horizontal="center" vertical="center" wrapText="1"/>
    </xf>
    <xf numFmtId="0" fontId="64" fillId="0" borderId="2"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3" xfId="0" applyFont="1" applyBorder="1" applyAlignment="1">
      <alignment horizontal="center" vertical="center" wrapText="1"/>
    </xf>
    <xf numFmtId="0" fontId="26" fillId="0" borderId="0" xfId="0" applyFont="1" applyAlignment="1" applyProtection="1">
      <alignment horizontal="center"/>
      <protection hidden="1"/>
    </xf>
    <xf numFmtId="0" fontId="29" fillId="2" borderId="0" xfId="0" applyFont="1" applyFill="1" applyAlignment="1" applyProtection="1">
      <alignment horizontal="justify" vertical="center" wrapText="1"/>
      <protection locked="0" hidden="1"/>
    </xf>
    <xf numFmtId="0" fontId="29" fillId="2" borderId="0" xfId="0" applyFont="1" applyFill="1" applyAlignment="1" applyProtection="1">
      <alignment horizontal="center"/>
      <protection hidden="1"/>
    </xf>
    <xf numFmtId="0" fontId="26" fillId="2" borderId="0" xfId="0" applyFont="1" applyFill="1" applyAlignment="1" applyProtection="1">
      <alignment horizontal="center" vertical="center" wrapText="1"/>
      <protection hidden="1"/>
    </xf>
    <xf numFmtId="0" fontId="29" fillId="2" borderId="0" xfId="0" applyFont="1" applyFill="1" applyAlignment="1" applyProtection="1">
      <alignment horizontal="center" vertical="center" wrapText="1"/>
      <protection hidden="1"/>
    </xf>
    <xf numFmtId="168" fontId="29" fillId="0" borderId="0" xfId="0" applyNumberFormat="1" applyFont="1" applyAlignment="1" applyProtection="1">
      <alignment horizontal="right" vertical="center"/>
      <protection hidden="1"/>
    </xf>
    <xf numFmtId="0" fontId="29" fillId="0" borderId="0" xfId="0" applyFont="1" applyAlignment="1" applyProtection="1">
      <alignment horizontal="right" vertical="center" wrapText="1"/>
      <protection hidden="1"/>
    </xf>
    <xf numFmtId="1" fontId="29" fillId="0" borderId="62" xfId="0" applyNumberFormat="1" applyFont="1" applyBorder="1" applyAlignment="1" applyProtection="1">
      <alignment horizontal="center" vertical="center" wrapText="1"/>
      <protection hidden="1"/>
    </xf>
    <xf numFmtId="1" fontId="29" fillId="0" borderId="13" xfId="0" applyNumberFormat="1" applyFont="1" applyBorder="1" applyAlignment="1" applyProtection="1">
      <alignment horizontal="center" vertical="center" wrapText="1"/>
      <protection hidden="1"/>
    </xf>
    <xf numFmtId="2" fontId="9" fillId="0" borderId="14" xfId="0"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1" fontId="10" fillId="0" borderId="60" xfId="0" applyNumberFormat="1" applyFont="1" applyBorder="1" applyAlignment="1" applyProtection="1">
      <alignment horizontal="center" vertical="center" wrapText="1"/>
      <protection hidden="1"/>
    </xf>
    <xf numFmtId="1" fontId="10" fillId="0" borderId="63" xfId="0" applyNumberFormat="1" applyFont="1" applyBorder="1" applyAlignment="1" applyProtection="1">
      <alignment horizontal="center" vertical="center" wrapText="1"/>
      <protection hidden="1"/>
    </xf>
    <xf numFmtId="1" fontId="10" fillId="0" borderId="61" xfId="0" applyNumberFormat="1" applyFont="1" applyBorder="1" applyAlignment="1" applyProtection="1">
      <alignment horizontal="center" vertical="center" wrapText="1"/>
      <protection hidden="1"/>
    </xf>
    <xf numFmtId="1" fontId="10" fillId="0" borderId="3" xfId="0" applyNumberFormat="1" applyFont="1" applyBorder="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169" fontId="16" fillId="0" borderId="22" xfId="0" applyNumberFormat="1" applyFont="1" applyBorder="1" applyAlignment="1" applyProtection="1">
      <alignment horizontal="center" vertical="center" wrapText="1"/>
      <protection hidden="1"/>
    </xf>
    <xf numFmtId="169" fontId="16" fillId="0" borderId="73" xfId="0" applyNumberFormat="1" applyFont="1" applyBorder="1" applyAlignment="1" applyProtection="1">
      <alignment horizontal="center" vertical="center" wrapText="1"/>
      <protection hidden="1"/>
    </xf>
    <xf numFmtId="169" fontId="28" fillId="0" borderId="60" xfId="0" applyNumberFormat="1" applyFont="1" applyBorder="1" applyAlignment="1" applyProtection="1">
      <alignment horizontal="center" vertical="center" wrapText="1"/>
      <protection hidden="1"/>
    </xf>
    <xf numFmtId="169" fontId="28" fillId="0" borderId="63" xfId="0" applyNumberFormat="1" applyFont="1" applyBorder="1" applyAlignment="1" applyProtection="1">
      <alignment horizontal="center" vertical="center" wrapText="1"/>
      <protection hidden="1"/>
    </xf>
    <xf numFmtId="184" fontId="10" fillId="2" borderId="7" xfId="0" applyNumberFormat="1" applyFont="1" applyFill="1" applyBorder="1" applyAlignment="1" applyProtection="1">
      <alignment horizontal="center" vertical="center" wrapText="1"/>
      <protection hidden="1"/>
    </xf>
    <xf numFmtId="184" fontId="10" fillId="2" borderId="8" xfId="0" applyNumberFormat="1" applyFont="1" applyFill="1" applyBorder="1" applyAlignment="1" applyProtection="1">
      <alignment horizontal="center" vertical="center" wrapText="1"/>
      <protection hidden="1"/>
    </xf>
    <xf numFmtId="2" fontId="9" fillId="2" borderId="34" xfId="0" applyNumberFormat="1" applyFont="1" applyFill="1" applyBorder="1" applyAlignment="1" applyProtection="1">
      <alignment horizontal="center" vertical="center" wrapText="1"/>
      <protection hidden="1"/>
    </xf>
    <xf numFmtId="0" fontId="9" fillId="0" borderId="9" xfId="0" applyFont="1" applyBorder="1" applyAlignment="1" applyProtection="1">
      <alignment horizontal="center" vertical="center"/>
      <protection hidden="1"/>
    </xf>
    <xf numFmtId="0" fontId="9" fillId="0" borderId="72"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46" fillId="2" borderId="0" xfId="0" applyFont="1" applyFill="1" applyAlignment="1" applyProtection="1">
      <alignment horizontal="justify" vertical="center" wrapText="1"/>
      <protection locked="0" hidden="1"/>
    </xf>
    <xf numFmtId="0" fontId="29" fillId="0" borderId="0" xfId="0" applyFont="1" applyAlignment="1" applyProtection="1">
      <alignment horizontal="center" vertical="justify" wrapText="1"/>
      <protection hidden="1"/>
    </xf>
    <xf numFmtId="0" fontId="9" fillId="2" borderId="9" xfId="0" applyFont="1" applyFill="1" applyBorder="1" applyAlignment="1" applyProtection="1">
      <alignment horizontal="center" vertical="center" wrapText="1"/>
      <protection hidden="1"/>
    </xf>
    <xf numFmtId="0" fontId="9" fillId="2" borderId="72"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168" fontId="29" fillId="0" borderId="14" xfId="0" applyNumberFormat="1" applyFont="1" applyBorder="1" applyAlignment="1" applyProtection="1">
      <alignment horizontal="left" vertical="center" wrapText="1"/>
      <protection hidden="1"/>
    </xf>
    <xf numFmtId="168" fontId="29" fillId="0" borderId="16" xfId="0" applyNumberFormat="1" applyFont="1" applyBorder="1" applyAlignment="1" applyProtection="1">
      <alignment horizontal="left" vertical="center" wrapText="1"/>
      <protection hidden="1"/>
    </xf>
    <xf numFmtId="0" fontId="26" fillId="0" borderId="22"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29" fillId="0" borderId="30"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1" fontId="29" fillId="0" borderId="61" xfId="0" applyNumberFormat="1" applyFont="1" applyBorder="1" applyAlignment="1" applyProtection="1">
      <alignment horizontal="center" vertical="center" wrapText="1"/>
      <protection hidden="1"/>
    </xf>
    <xf numFmtId="1" fontId="29" fillId="0" borderId="3" xfId="0" applyNumberFormat="1" applyFont="1" applyBorder="1" applyAlignment="1" applyProtection="1">
      <alignment horizontal="center" vertical="center" wrapText="1"/>
      <protection hidden="1"/>
    </xf>
    <xf numFmtId="2" fontId="26" fillId="0" borderId="14" xfId="0" applyNumberFormat="1" applyFont="1" applyBorder="1" applyAlignment="1" applyProtection="1">
      <alignment horizontal="center" vertical="center" wrapText="1"/>
      <protection hidden="1"/>
    </xf>
    <xf numFmtId="2" fontId="26" fillId="0" borderId="16" xfId="0" applyNumberFormat="1" applyFont="1" applyBorder="1" applyAlignment="1" applyProtection="1">
      <alignment horizontal="center" vertical="center" wrapText="1"/>
      <protection hidden="1"/>
    </xf>
    <xf numFmtId="1" fontId="29" fillId="0" borderId="60" xfId="0" applyNumberFormat="1" applyFont="1" applyBorder="1" applyAlignment="1" applyProtection="1">
      <alignment horizontal="center" vertical="center" wrapText="1"/>
      <protection hidden="1"/>
    </xf>
    <xf numFmtId="1" fontId="29" fillId="0" borderId="63" xfId="0" applyNumberFormat="1" applyFont="1" applyBorder="1" applyAlignment="1" applyProtection="1">
      <alignment horizontal="center" vertical="center" wrapText="1"/>
      <protection hidden="1"/>
    </xf>
    <xf numFmtId="0" fontId="65" fillId="2" borderId="0" xfId="0" applyFont="1" applyFill="1" applyAlignment="1" applyProtection="1">
      <alignment horizontal="left" vertical="center" wrapText="1"/>
      <protection hidden="1"/>
    </xf>
    <xf numFmtId="0" fontId="26" fillId="2" borderId="14" xfId="0" applyFont="1" applyFill="1" applyBorder="1" applyAlignment="1" applyProtection="1">
      <alignment horizontal="left" vertical="center" wrapText="1"/>
      <protection hidden="1"/>
    </xf>
    <xf numFmtId="0" fontId="26" fillId="2" borderId="15" xfId="0" applyFont="1" applyFill="1" applyBorder="1" applyAlignment="1" applyProtection="1">
      <alignment horizontal="left" vertical="center" wrapText="1"/>
      <protection hidden="1"/>
    </xf>
    <xf numFmtId="0" fontId="26" fillId="2" borderId="16"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26" fillId="2" borderId="39"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2" fontId="29" fillId="2" borderId="14" xfId="0" applyNumberFormat="1" applyFont="1" applyFill="1" applyBorder="1" applyAlignment="1" applyProtection="1">
      <alignment horizontal="left" vertical="center" wrapText="1"/>
      <protection hidden="1"/>
    </xf>
    <xf numFmtId="2" fontId="29" fillId="2" borderId="16" xfId="0" applyNumberFormat="1" applyFont="1" applyFill="1" applyBorder="1" applyAlignment="1" applyProtection="1">
      <alignment horizontal="left" vertical="center" wrapText="1"/>
      <protection hidden="1"/>
    </xf>
    <xf numFmtId="1" fontId="29" fillId="2" borderId="14" xfId="0" applyNumberFormat="1" applyFont="1" applyFill="1" applyBorder="1" applyAlignment="1" applyProtection="1">
      <alignment horizontal="left" vertical="center" wrapText="1"/>
      <protection hidden="1"/>
    </xf>
    <xf numFmtId="1" fontId="29" fillId="2" borderId="16" xfId="0" applyNumberFormat="1" applyFont="1" applyFill="1" applyBorder="1" applyAlignment="1" applyProtection="1">
      <alignment horizontal="left" vertical="center" wrapText="1"/>
      <protection hidden="1"/>
    </xf>
    <xf numFmtId="168" fontId="29" fillId="2" borderId="14" xfId="0" applyNumberFormat="1" applyFont="1" applyFill="1" applyBorder="1" applyAlignment="1" applyProtection="1">
      <alignment horizontal="left" vertical="center" wrapText="1"/>
      <protection hidden="1"/>
    </xf>
    <xf numFmtId="168" fontId="29" fillId="2" borderId="16" xfId="0" applyNumberFormat="1"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0" fontId="29" fillId="0" borderId="0" xfId="0" applyFont="1" applyAlignment="1" applyProtection="1">
      <alignment horizontal="center"/>
      <protection hidden="1"/>
    </xf>
    <xf numFmtId="14" fontId="29" fillId="2" borderId="0" xfId="0" applyNumberFormat="1" applyFont="1" applyFill="1" applyAlignment="1" applyProtection="1">
      <alignment horizontal="justify"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left" vertical="center" wrapText="1"/>
      <protection hidden="1"/>
    </xf>
    <xf numFmtId="2" fontId="26" fillId="2" borderId="14" xfId="0" applyNumberFormat="1" applyFont="1" applyFill="1" applyBorder="1" applyAlignment="1" applyProtection="1">
      <alignment horizontal="center" vertical="center" wrapText="1"/>
      <protection hidden="1"/>
    </xf>
    <xf numFmtId="2" fontId="26" fillId="2" borderId="15" xfId="0" applyNumberFormat="1" applyFont="1" applyFill="1" applyBorder="1" applyAlignment="1" applyProtection="1">
      <alignment horizontal="center" vertical="center" wrapText="1"/>
      <protection hidden="1"/>
    </xf>
    <xf numFmtId="2" fontId="26" fillId="2" borderId="16" xfId="0" applyNumberFormat="1" applyFont="1" applyFill="1" applyBorder="1" applyAlignment="1" applyProtection="1">
      <alignment horizontal="center" vertical="center" wrapText="1"/>
      <protection hidden="1"/>
    </xf>
    <xf numFmtId="2" fontId="29" fillId="13" borderId="14" xfId="3" applyFont="1" applyBorder="1" applyAlignment="1">
      <alignment horizontal="left" vertical="center" wrapText="1"/>
      <protection locked="0"/>
    </xf>
    <xf numFmtId="2" fontId="29" fillId="13" borderId="16" xfId="3" applyFont="1" applyBorder="1" applyAlignment="1">
      <alignment horizontal="left" vertical="center" wrapText="1"/>
      <protection locked="0"/>
    </xf>
    <xf numFmtId="0" fontId="29" fillId="2" borderId="0" xfId="0" applyFont="1" applyFill="1" applyAlignment="1" applyProtection="1">
      <alignment horizontal="right" vertical="center" wrapText="1"/>
      <protection hidden="1"/>
    </xf>
    <xf numFmtId="0" fontId="29" fillId="0" borderId="0" xfId="0" applyFont="1" applyAlignment="1" applyProtection="1">
      <alignment horizontal="left" vertical="center" wrapText="1"/>
      <protection hidden="1"/>
    </xf>
    <xf numFmtId="0" fontId="46" fillId="0" borderId="0" xfId="0" applyFont="1" applyAlignment="1" applyProtection="1">
      <alignment horizontal="justify" vertical="center" wrapText="1"/>
      <protection locked="0" hidden="1"/>
    </xf>
    <xf numFmtId="14" fontId="29" fillId="2" borderId="0" xfId="0" applyNumberFormat="1" applyFont="1" applyFill="1" applyAlignment="1" applyProtection="1">
      <alignment horizontal="left" vertical="center" wrapText="1"/>
      <protection hidden="1"/>
    </xf>
    <xf numFmtId="0" fontId="46" fillId="2" borderId="0" xfId="0" applyFont="1" applyFill="1" applyAlignment="1" applyProtection="1">
      <alignment horizontal="left" vertical="center" wrapText="1"/>
      <protection locked="0" hidden="1"/>
    </xf>
    <xf numFmtId="2" fontId="29" fillId="0" borderId="0" xfId="0" applyNumberFormat="1" applyFont="1" applyAlignment="1" applyProtection="1">
      <alignment horizontal="left" vertical="center" wrapText="1"/>
      <protection hidden="1"/>
    </xf>
    <xf numFmtId="0" fontId="26" fillId="2" borderId="0" xfId="0" applyFont="1" applyFill="1" applyAlignment="1" applyProtection="1">
      <alignment horizontal="left"/>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46" fillId="2" borderId="0" xfId="0" applyFont="1" applyFill="1" applyAlignment="1" applyProtection="1">
      <alignment horizontal="justify" vertical="center" wrapText="1"/>
      <protection hidden="1"/>
    </xf>
    <xf numFmtId="1" fontId="10" fillId="0" borderId="62" xfId="0" applyNumberFormat="1" applyFont="1" applyBorder="1" applyAlignment="1" applyProtection="1">
      <alignment horizontal="center" vertical="center" wrapText="1"/>
      <protection hidden="1"/>
    </xf>
    <xf numFmtId="1" fontId="10" fillId="0" borderId="13" xfId="0" applyNumberFormat="1" applyFont="1" applyBorder="1" applyAlignment="1" applyProtection="1">
      <alignment horizontal="center" vertical="center" wrapText="1"/>
      <protection hidden="1"/>
    </xf>
    <xf numFmtId="0" fontId="10" fillId="2" borderId="42" xfId="0" applyFont="1" applyFill="1" applyBorder="1" applyAlignment="1" applyProtection="1">
      <alignment horizontal="center" vertical="center" wrapText="1"/>
      <protection hidden="1"/>
    </xf>
    <xf numFmtId="0" fontId="10" fillId="2" borderId="20" xfId="0" applyFont="1" applyFill="1" applyBorder="1" applyAlignment="1" applyProtection="1">
      <alignment horizontal="center" vertical="center" wrapText="1"/>
      <protection hidden="1"/>
    </xf>
    <xf numFmtId="0" fontId="46" fillId="2" borderId="0" xfId="0" applyFont="1" applyFill="1" applyAlignment="1" applyProtection="1">
      <alignment horizontal="justify" vertical="justify" wrapText="1"/>
      <protection locked="0" hidden="1"/>
    </xf>
    <xf numFmtId="0" fontId="10" fillId="2" borderId="60" xfId="0" applyFont="1" applyFill="1" applyBorder="1" applyAlignment="1" applyProtection="1">
      <alignment horizontal="center" vertical="center" wrapText="1"/>
      <protection hidden="1"/>
    </xf>
    <xf numFmtId="0" fontId="10" fillId="2" borderId="63" xfId="0" applyFont="1" applyFill="1" applyBorder="1" applyAlignment="1" applyProtection="1">
      <alignment horizontal="center" vertical="center" wrapText="1"/>
      <protection hidden="1"/>
    </xf>
    <xf numFmtId="184" fontId="10" fillId="2" borderId="61" xfId="0" applyNumberFormat="1" applyFont="1" applyFill="1" applyBorder="1" applyAlignment="1" applyProtection="1">
      <alignment horizontal="center" vertical="center" wrapText="1"/>
      <protection hidden="1"/>
    </xf>
    <xf numFmtId="184" fontId="10" fillId="2" borderId="3" xfId="0" applyNumberFormat="1" applyFont="1" applyFill="1" applyBorder="1" applyAlignment="1" applyProtection="1">
      <alignment horizontal="center" vertical="center" wrapText="1"/>
      <protection hidden="1"/>
    </xf>
    <xf numFmtId="184" fontId="10" fillId="2" borderId="62" xfId="0" applyNumberFormat="1" applyFont="1" applyFill="1" applyBorder="1" applyAlignment="1" applyProtection="1">
      <alignment horizontal="center" vertical="center" wrapText="1"/>
      <protection hidden="1"/>
    </xf>
    <xf numFmtId="184" fontId="10" fillId="2" borderId="13" xfId="0" applyNumberFormat="1" applyFont="1" applyFill="1" applyBorder="1" applyAlignment="1" applyProtection="1">
      <alignment horizontal="center" vertical="center" wrapText="1"/>
      <protection hidden="1"/>
    </xf>
    <xf numFmtId="184" fontId="10" fillId="2" borderId="40" xfId="0" applyNumberFormat="1" applyFont="1" applyFill="1" applyBorder="1" applyAlignment="1" applyProtection="1">
      <alignment horizontal="center" vertical="center" wrapText="1"/>
      <protection hidden="1"/>
    </xf>
    <xf numFmtId="184" fontId="10" fillId="2" borderId="1" xfId="0" applyNumberFormat="1" applyFont="1" applyFill="1" applyBorder="1" applyAlignment="1" applyProtection="1">
      <alignment horizontal="center" vertical="center" wrapText="1"/>
      <protection hidden="1"/>
    </xf>
    <xf numFmtId="0" fontId="29" fillId="0" borderId="0" xfId="0" applyFont="1" applyAlignment="1" applyProtection="1">
      <alignment horizontal="left" vertical="top" wrapText="1"/>
      <protection hidden="1"/>
    </xf>
    <xf numFmtId="0" fontId="46" fillId="0" borderId="0" xfId="0" applyFont="1" applyAlignment="1" applyProtection="1">
      <alignment horizontal="justify" vertical="center" wrapText="1"/>
      <protection hidden="1"/>
    </xf>
    <xf numFmtId="0" fontId="29" fillId="0" borderId="0" xfId="0" applyFont="1" applyAlignment="1" applyProtection="1">
      <alignment horizontal="justify" vertical="center" wrapText="1"/>
      <protection locked="0" hidden="1"/>
    </xf>
    <xf numFmtId="0" fontId="9" fillId="0" borderId="15" xfId="0" applyFont="1" applyBorder="1" applyAlignment="1" applyProtection="1">
      <alignment horizontal="center" vertical="center" wrapText="1"/>
      <protection hidden="1"/>
    </xf>
    <xf numFmtId="0" fontId="46" fillId="2" borderId="0" xfId="0" applyFont="1" applyFill="1" applyAlignment="1">
      <alignment horizontal="justify" vertical="center" wrapText="1"/>
    </xf>
    <xf numFmtId="169" fontId="28" fillId="0" borderId="62" xfId="0" applyNumberFormat="1" applyFont="1" applyBorder="1" applyAlignment="1" applyProtection="1">
      <alignment horizontal="center" vertical="center" wrapText="1"/>
      <protection hidden="1"/>
    </xf>
    <xf numFmtId="169" fontId="28" fillId="0" borderId="13" xfId="0" applyNumberFormat="1" applyFont="1" applyBorder="1" applyAlignment="1" applyProtection="1">
      <alignment horizontal="center" vertical="center" wrapText="1"/>
      <protection hidden="1"/>
    </xf>
    <xf numFmtId="0" fontId="29" fillId="0" borderId="14" xfId="0" applyFont="1" applyBorder="1" applyAlignment="1" applyProtection="1">
      <alignment horizontal="left" vertical="center" wrapText="1"/>
      <protection hidden="1"/>
    </xf>
    <xf numFmtId="0" fontId="29" fillId="0" borderId="16" xfId="0" applyFont="1" applyBorder="1" applyAlignment="1" applyProtection="1">
      <alignment horizontal="left" vertical="center" wrapText="1"/>
      <protection hidden="1"/>
    </xf>
    <xf numFmtId="169" fontId="14" fillId="27" borderId="40" xfId="0" applyNumberFormat="1" applyFont="1" applyFill="1" applyBorder="1" applyAlignment="1" applyProtection="1">
      <alignment horizontal="center" vertical="center"/>
      <protection hidden="1"/>
    </xf>
    <xf numFmtId="169" fontId="14" fillId="27" borderId="1" xfId="0" applyNumberFormat="1" applyFont="1" applyFill="1" applyBorder="1" applyAlignment="1" applyProtection="1">
      <alignment horizontal="center" vertical="center"/>
      <protection hidden="1"/>
    </xf>
    <xf numFmtId="169" fontId="14" fillId="27" borderId="41" xfId="0" applyNumberFormat="1" applyFont="1" applyFill="1" applyBorder="1" applyAlignment="1" applyProtection="1">
      <alignment horizontal="center" vertical="center"/>
      <protection hidden="1"/>
    </xf>
    <xf numFmtId="2" fontId="10" fillId="27" borderId="40" xfId="0" applyNumberFormat="1" applyFont="1" applyFill="1" applyBorder="1" applyAlignment="1" applyProtection="1">
      <alignment horizontal="center" vertical="center"/>
      <protection hidden="1"/>
    </xf>
    <xf numFmtId="1" fontId="8" fillId="27" borderId="0" xfId="0" applyNumberFormat="1" applyFont="1" applyFill="1" applyBorder="1" applyAlignment="1" applyProtection="1">
      <alignment horizontal="center" vertical="center"/>
      <protection hidden="1"/>
    </xf>
    <xf numFmtId="9" fontId="8" fillId="27" borderId="41" xfId="1" applyFont="1" applyFill="1" applyBorder="1" applyAlignment="1" applyProtection="1">
      <alignment horizontal="center" vertical="center"/>
      <protection hidden="1"/>
    </xf>
  </cellXfs>
  <cellStyles count="5">
    <cellStyle name="Bueno" xfId="2" builtinId="26"/>
    <cellStyle name="Estilo 1" xfId="3" xr:uid="{00000000-0005-0000-0000-000001000000}"/>
    <cellStyle name="Estilo 2" xfId="4" xr:uid="{00000000-0005-0000-0000-000002000000}"/>
    <cellStyle name="Normal" xfId="0" builtinId="0"/>
    <cellStyle name="Porcentaje" xfId="1" builtinId="5"/>
  </cellStyles>
  <dxfs count="5">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92D050"/>
        </patternFill>
      </fill>
      <border>
        <left style="thin">
          <color auto="1"/>
        </left>
        <right style="thin">
          <color auto="1"/>
        </right>
        <top style="thin">
          <color auto="1"/>
        </top>
        <bottom style="thin">
          <color auto="1"/>
        </bottom>
        <vertical/>
        <horizontal/>
      </border>
    </dxf>
    <dxf>
      <font>
        <strike val="0"/>
        <color rgb="FF00B050"/>
      </font>
      <fill>
        <patternFill>
          <bgColor theme="4" tint="0.39994506668294322"/>
        </patternFill>
      </fill>
    </dxf>
  </dxfs>
  <tableStyles count="1" defaultTableStyle="TableStyleMedium2" defaultPivotStyle="PivotStyleLight16">
    <tableStyle name="Invisible" pivot="0" table="0" count="0" xr9:uid="{00000000-0011-0000-FFFF-FFFF00000000}"/>
  </tableStyles>
  <colors>
    <mruColors>
      <color rgb="FF1F4E78"/>
      <color rgb="FFBDD7EE"/>
      <color rgb="FFDDEBF7"/>
      <color rgb="FF8DB4E2"/>
      <color rgb="FFFCE4D6"/>
      <color rgb="FFCDD12F"/>
      <color rgb="FFB6FD03"/>
      <color rgb="FFF4B084"/>
      <color rgb="FFACB9CA"/>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'!$A$127</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Estándar</c:formatCode>
                <c:ptCount val="3"/>
                <c:pt idx="0">
                  <c:v>17.8</c:v>
                </c:pt>
                <c:pt idx="1">
                  <c:v>20.9</c:v>
                </c:pt>
                <c:pt idx="2" formatCode="0,0">
                  <c:v>23.9</c:v>
                </c:pt>
              </c:numCache>
            </c:numRef>
          </c:xVal>
          <c:yVal>
            <c:numRef>
              <c:f>'DATOS # '!$H$127:$H$129</c:f>
              <c:numCache>
                <c:formatCode>0,0</c:formatCode>
                <c:ptCount val="3"/>
                <c:pt idx="0">
                  <c:v>0.1</c:v>
                </c:pt>
                <c:pt idx="1">
                  <c:v>0</c:v>
                </c:pt>
                <c:pt idx="2">
                  <c:v>0</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09665408"/>
        <c:axId val="209669720"/>
      </c:scatterChart>
      <c:valAx>
        <c:axId val="209665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9720"/>
        <c:crosses val="autoZero"/>
        <c:crossBetween val="midCat"/>
      </c:valAx>
      <c:valAx>
        <c:axId val="209669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5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'!$A$149</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'!$F$149:$F$151</c:f>
              <c:numCache>
                <c:formatCode>Estándar</c:formatCode>
                <c:ptCount val="3"/>
                <c:pt idx="0" formatCode="0,0">
                  <c:v>15.1</c:v>
                </c:pt>
                <c:pt idx="1">
                  <c:v>24.9</c:v>
                </c:pt>
                <c:pt idx="2">
                  <c:v>34.700000000000003</c:v>
                </c:pt>
              </c:numCache>
            </c:numRef>
          </c:xVal>
          <c:yVal>
            <c:numRef>
              <c:f>'DATOS # '!$H$149:$H$151</c:f>
              <c:numCache>
                <c:formatCode>0,0</c:formatCode>
                <c:ptCount val="3"/>
                <c:pt idx="0">
                  <c:v>0</c:v>
                </c:pt>
                <c:pt idx="1">
                  <c:v>0</c:v>
                </c:pt>
                <c:pt idx="2" formatCode="Estándar">
                  <c:v>0</c:v>
                </c:pt>
              </c:numCache>
            </c:numRef>
          </c:yVal>
          <c:smooth val="0"/>
          <c:extLst>
            <c:ext xmlns:c16="http://schemas.microsoft.com/office/drawing/2014/chart" uri="{C3380CC4-5D6E-409C-BE32-E72D297353CC}">
              <c16:uniqueId val="{00000002-6130-486D-A5D4-8BB7C04515CF}"/>
            </c:ext>
          </c:extLst>
        </c:ser>
        <c:dLbls>
          <c:showLegendKey val="0"/>
          <c:showVal val="0"/>
          <c:showCatName val="0"/>
          <c:showSerName val="0"/>
          <c:showPercent val="0"/>
          <c:showBubbleSize val="0"/>
        </c:dLbls>
        <c:axId val="207497040"/>
        <c:axId val="207495864"/>
      </c:scatterChart>
      <c:valAx>
        <c:axId val="2074970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5864"/>
        <c:crosses val="autoZero"/>
        <c:crossBetween val="midCat"/>
      </c:valAx>
      <c:valAx>
        <c:axId val="2074958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70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'!$A$152</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'!$F$152:$F$154</c:f>
              <c:numCache>
                <c:formatCode>Estándar</c:formatCode>
                <c:ptCount val="3"/>
                <c:pt idx="0">
                  <c:v>32.700000000000003</c:v>
                </c:pt>
                <c:pt idx="1">
                  <c:v>50.5</c:v>
                </c:pt>
                <c:pt idx="2">
                  <c:v>76.7</c:v>
                </c:pt>
              </c:numCache>
            </c:numRef>
          </c:xVal>
          <c:yVal>
            <c:numRef>
              <c:f>'DATOS # '!$H$152:$H$154</c:f>
              <c:numCache>
                <c:formatCode>Estándar</c:formatCode>
                <c:ptCount val="3"/>
                <c:pt idx="0">
                  <c:v>-2.7</c:v>
                </c:pt>
                <c:pt idx="1">
                  <c:v>-0.5</c:v>
                </c:pt>
                <c:pt idx="2">
                  <c:v>3.3</c:v>
                </c:pt>
              </c:numCache>
            </c:numRef>
          </c:yVal>
          <c:smooth val="0"/>
          <c:extLst>
            <c:ext xmlns:c16="http://schemas.microsoft.com/office/drawing/2014/chart" uri="{C3380CC4-5D6E-409C-BE32-E72D297353CC}">
              <c16:uniqueId val="{00000002-BF85-4B72-BCF9-53F3C71A04E7}"/>
            </c:ext>
          </c:extLst>
        </c:ser>
        <c:dLbls>
          <c:showLegendKey val="0"/>
          <c:showVal val="0"/>
          <c:showCatName val="0"/>
          <c:showSerName val="0"/>
          <c:showPercent val="0"/>
          <c:showBubbleSize val="0"/>
        </c:dLbls>
        <c:axId val="207493512"/>
        <c:axId val="207493904"/>
      </c:scatterChart>
      <c:valAx>
        <c:axId val="2074935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3904"/>
        <c:crosses val="autoZero"/>
        <c:crossBetween val="midCat"/>
      </c:valAx>
      <c:valAx>
        <c:axId val="2074939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3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'!$A$155</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'!$F$155:$F$157</c:f>
              <c:numCache>
                <c:formatCode>Estándar</c:formatCode>
                <c:ptCount val="3"/>
                <c:pt idx="0" formatCode="0,0">
                  <c:v>399.52300000000002</c:v>
                </c:pt>
                <c:pt idx="1">
                  <c:v>752.18100000000004</c:v>
                </c:pt>
                <c:pt idx="2">
                  <c:v>1099.1110000000001</c:v>
                </c:pt>
              </c:numCache>
            </c:numRef>
          </c:xVal>
          <c:yVal>
            <c:numRef>
              <c:f>'DATOS # '!$H$155:$H$157</c:f>
              <c:numCache>
                <c:formatCode>0,00</c:formatCode>
                <c:ptCount val="3"/>
                <c:pt idx="0">
                  <c:v>1.96</c:v>
                </c:pt>
                <c:pt idx="1">
                  <c:v>1.1479999999999999</c:v>
                </c:pt>
                <c:pt idx="2">
                  <c:v>1.0669999999999999</c:v>
                </c:pt>
              </c:numCache>
            </c:numRef>
          </c:yVal>
          <c:smooth val="0"/>
          <c:extLst>
            <c:ext xmlns:c16="http://schemas.microsoft.com/office/drawing/2014/chart" uri="{C3380CC4-5D6E-409C-BE32-E72D297353CC}">
              <c16:uniqueId val="{00000002-339A-4B15-847C-48C43FB82E3B}"/>
            </c:ext>
          </c:extLst>
        </c:ser>
        <c:dLbls>
          <c:showLegendKey val="0"/>
          <c:showVal val="0"/>
          <c:showCatName val="0"/>
          <c:showSerName val="0"/>
          <c:showPercent val="0"/>
          <c:showBubbleSize val="0"/>
        </c:dLbls>
        <c:axId val="207491552"/>
        <c:axId val="209666976"/>
      </c:scatterChart>
      <c:valAx>
        <c:axId val="2074915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6976"/>
        <c:crosses val="autoZero"/>
        <c:crossBetween val="midCat"/>
      </c:valAx>
      <c:valAx>
        <c:axId val="2096669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15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'!$A$138</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'!$F$138:$F$140</c:f>
              <c:numCache>
                <c:formatCode>Estándar</c:formatCode>
                <c:ptCount val="3"/>
                <c:pt idx="0" formatCode="0,0">
                  <c:v>14.8</c:v>
                </c:pt>
                <c:pt idx="1">
                  <c:v>24.8</c:v>
                </c:pt>
                <c:pt idx="2">
                  <c:v>29.8</c:v>
                </c:pt>
              </c:numCache>
            </c:numRef>
          </c:xVal>
          <c:yVal>
            <c:numRef>
              <c:f>'DATOS # '!$H$138:$H$140</c:f>
              <c:numCache>
                <c:formatCode>Estándar</c:formatCode>
                <c:ptCount val="3"/>
                <c:pt idx="0">
                  <c:v>0</c:v>
                </c:pt>
                <c:pt idx="1">
                  <c:v>0.1</c:v>
                </c:pt>
                <c:pt idx="2">
                  <c:v>0.1</c:v>
                </c:pt>
              </c:numCache>
            </c:numRef>
          </c:yVal>
          <c:smooth val="0"/>
          <c:extLst>
            <c:ext xmlns:c16="http://schemas.microsoft.com/office/drawing/2014/chart" uri="{C3380CC4-5D6E-409C-BE32-E72D297353CC}">
              <c16:uniqueId val="{00000002-7858-4B77-8327-CCD59AC00B70}"/>
            </c:ext>
          </c:extLst>
        </c:ser>
        <c:dLbls>
          <c:showLegendKey val="0"/>
          <c:showVal val="0"/>
          <c:showCatName val="0"/>
          <c:showSerName val="0"/>
          <c:showPercent val="0"/>
          <c:showBubbleSize val="0"/>
        </c:dLbls>
        <c:axId val="209663448"/>
        <c:axId val="209668544"/>
      </c:scatterChart>
      <c:valAx>
        <c:axId val="2096634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8544"/>
        <c:crosses val="autoZero"/>
        <c:crossBetween val="midCat"/>
      </c:valAx>
      <c:valAx>
        <c:axId val="209668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34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'!$A$141</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'!$F$141:$F$143</c:f>
              <c:numCache>
                <c:formatCode>Estándar</c:formatCode>
                <c:ptCount val="3"/>
                <c:pt idx="0">
                  <c:v>33.4</c:v>
                </c:pt>
                <c:pt idx="1">
                  <c:v>51.1</c:v>
                </c:pt>
                <c:pt idx="2">
                  <c:v>76.8</c:v>
                </c:pt>
              </c:numCache>
            </c:numRef>
          </c:xVal>
          <c:yVal>
            <c:numRef>
              <c:f>'DATOS # '!$H$141:$H$143</c:f>
              <c:numCache>
                <c:formatCode>#.##0,0</c:formatCode>
                <c:ptCount val="3"/>
                <c:pt idx="0">
                  <c:v>-3.4</c:v>
                </c:pt>
                <c:pt idx="1">
                  <c:v>-1.1000000000000001</c:v>
                </c:pt>
                <c:pt idx="2">
                  <c:v>3.2</c:v>
                </c:pt>
              </c:numCache>
            </c:numRef>
          </c:yVal>
          <c:smooth val="0"/>
          <c:extLst>
            <c:ext xmlns:c16="http://schemas.microsoft.com/office/drawing/2014/chart" uri="{C3380CC4-5D6E-409C-BE32-E72D297353CC}">
              <c16:uniqueId val="{00000002-B1BB-4478-9686-9255F56EA3F5}"/>
            </c:ext>
          </c:extLst>
        </c:ser>
        <c:dLbls>
          <c:showLegendKey val="0"/>
          <c:showVal val="0"/>
          <c:showCatName val="0"/>
          <c:showSerName val="0"/>
          <c:showPercent val="0"/>
          <c:showBubbleSize val="0"/>
        </c:dLbls>
        <c:axId val="209664232"/>
        <c:axId val="212208464"/>
      </c:scatterChart>
      <c:valAx>
        <c:axId val="209664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208464"/>
        <c:crosses val="autoZero"/>
        <c:crossBetween val="midCat"/>
      </c:valAx>
      <c:valAx>
        <c:axId val="2122084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4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'!$A$144</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Estándar</c:formatCode>
                <c:ptCount val="3"/>
                <c:pt idx="0" formatCode="0,0">
                  <c:v>499.02600000000001</c:v>
                </c:pt>
                <c:pt idx="1">
                  <c:v>752.18100000000004</c:v>
                </c:pt>
                <c:pt idx="2">
                  <c:v>900.66499999999996</c:v>
                </c:pt>
              </c:numCache>
            </c:numRef>
          </c:xVal>
          <c:yVal>
            <c:numRef>
              <c:f>'DATOS # '!$H$144:$H$146</c:f>
              <c:numCache>
                <c:formatCode>#.##0,00</c:formatCode>
                <c:ptCount val="3"/>
                <c:pt idx="0">
                  <c:v>1.573</c:v>
                </c:pt>
                <c:pt idx="1">
                  <c:v>1.0469999999999999</c:v>
                </c:pt>
                <c:pt idx="2">
                  <c:v>0.73699999999999999</c:v>
                </c:pt>
              </c:numCache>
            </c:numRef>
          </c:yVal>
          <c:smooth val="0"/>
          <c:extLst>
            <c:ext xmlns:c16="http://schemas.microsoft.com/office/drawing/2014/chart" uri="{C3380CC4-5D6E-409C-BE32-E72D297353CC}">
              <c16:uniqueId val="{00000002-A2CE-4343-A090-484BAA2CD48A}"/>
            </c:ext>
          </c:extLst>
        </c:ser>
        <c:dLbls>
          <c:showLegendKey val="0"/>
          <c:showVal val="0"/>
          <c:showCatName val="0"/>
          <c:showSerName val="0"/>
          <c:showPercent val="0"/>
          <c:showBubbleSize val="0"/>
        </c:dLbls>
        <c:axId val="212208856"/>
        <c:axId val="212209248"/>
      </c:scatterChart>
      <c:valAx>
        <c:axId val="212208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209248"/>
        <c:crosses val="autoZero"/>
        <c:crossBetween val="midCat"/>
      </c:valAx>
      <c:valAx>
        <c:axId val="2122092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208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09034181373665E-2"/>
          <c:y val="0.13087588589447324"/>
          <c:w val="0.89016256604346367"/>
          <c:h val="0.80768101300863082"/>
        </c:manualLayout>
      </c:layout>
      <c:scatterChart>
        <c:scatterStyle val="lineMarker"/>
        <c:varyColors val="0"/>
        <c:ser>
          <c:idx val="0"/>
          <c:order val="0"/>
          <c:tx>
            <c:strRef>
              <c:f>'RT03-F12 #'!$N$128:$N$132</c:f>
              <c:strCache>
                <c:ptCount val="5"/>
                <c:pt idx="0">
                  <c:v>#N/D</c:v>
                </c:pt>
                <c:pt idx="1">
                  <c:v>#N/D</c:v>
                </c:pt>
                <c:pt idx="2">
                  <c:v>#N/D</c:v>
                </c:pt>
                <c:pt idx="3">
                  <c:v>#N/D</c:v>
                </c:pt>
                <c:pt idx="4">
                  <c:v>#N/D</c:v>
                </c:pt>
              </c:strCache>
            </c:strRef>
          </c:tx>
          <c:spPr>
            <a:ln w="22225" cap="rnd">
              <a:solidFill>
                <a:srgbClr val="FF0000"/>
              </a:solidFill>
            </a:ln>
            <a:effectLst>
              <a:glow rad="139700">
                <a:schemeClr val="accent6">
                  <a:satMod val="175000"/>
                  <a:alpha val="14000"/>
                </a:schemeClr>
              </a:glow>
            </a:effectLst>
          </c:spPr>
          <c:marker>
            <c:symbol val="circle"/>
            <c:size val="6"/>
            <c:spPr>
              <a:solidFill>
                <a:schemeClr val="accent6">
                  <a:lumMod val="60000"/>
                  <a:lumOff val="40000"/>
                </a:schemeClr>
              </a:solidFill>
              <a:ln>
                <a:solidFill>
                  <a:srgbClr val="FFFF00"/>
                </a:solidFill>
              </a:ln>
              <a:effectLst>
                <a:glow rad="63500">
                  <a:schemeClr val="accent6">
                    <a:satMod val="175000"/>
                    <a:alpha val="25000"/>
                  </a:schemeClr>
                </a:glo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ED-49B3-93EF-71BB7A467D23}"/>
                </c:ext>
              </c:extLst>
            </c:dLbl>
            <c:dLbl>
              <c:idx val="1"/>
              <c:layout>
                <c:manualLayout>
                  <c:x val="-6.3976991042840716E-3"/>
                  <c:y val="7.5275590145478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BD-45C2-8E47-6011A21C4719}"/>
                </c:ext>
              </c:extLst>
            </c:dLbl>
            <c:dLbl>
              <c:idx val="2"/>
              <c:layout>
                <c:manualLayout>
                  <c:x val="-2.9457031847063774E-3"/>
                  <c:y val="0.104721679071121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BD-45C2-8E47-6011A21C4719}"/>
                </c:ext>
              </c:extLst>
            </c:dLbl>
            <c:dLbl>
              <c:idx val="3"/>
              <c:layout>
                <c:manualLayout>
                  <c:x val="-4.0963684912322471E-3"/>
                  <c:y val="7.2003802487073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BD-45C2-8E47-6011A21C4719}"/>
                </c:ext>
              </c:extLst>
            </c:dLbl>
            <c:dLbl>
              <c:idx val="4"/>
              <c:layout>
                <c:manualLayout>
                  <c:x val="-3.3185187440207306E-2"/>
                  <c:y val="-7.5226642141140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BD-45C2-8E47-6011A21C47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6350" cap="rnd" cmpd="dbl">
                <a:solidFill>
                  <a:srgbClr val="B6FD03"/>
                </a:solidFill>
                <a:prstDash val="sysDash"/>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1"/>
            <c:dispEq val="1"/>
            <c:trendlineLbl>
              <c:layout>
                <c:manualLayout>
                  <c:x val="-0.29673875198616712"/>
                  <c:y val="-3.0989239167677846E-2"/>
                </c:manualLayout>
              </c:layout>
              <c:tx>
                <c:rich>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r>
                      <a:rPr lang="en-US" sz="1200" baseline="0">
                        <a:solidFill>
                          <a:schemeClr val="bg1"/>
                        </a:solidFill>
                        <a:latin typeface="Arial" panose="020B0604020202020204" pitchFamily="34" charset="0"/>
                        <a:cs typeface="Arial" panose="020B0604020202020204" pitchFamily="34" charset="0"/>
                      </a:rPr>
                      <a:t>y = 0,0022x + 38,82</a:t>
                    </a:r>
                    <a:br>
                      <a:rPr lang="en-US" sz="1200" baseline="0">
                        <a:solidFill>
                          <a:schemeClr val="bg1"/>
                        </a:solidFill>
                        <a:latin typeface="Arial" panose="020B0604020202020204" pitchFamily="34" charset="0"/>
                        <a:cs typeface="Arial" panose="020B0604020202020204" pitchFamily="34" charset="0"/>
                      </a:rPr>
                    </a:br>
                    <a:r>
                      <a:rPr lang="en-US" sz="1200" baseline="0">
                        <a:solidFill>
                          <a:schemeClr val="bg1"/>
                        </a:solidFill>
                        <a:latin typeface="Arial" panose="020B0604020202020204" pitchFamily="34" charset="0"/>
                        <a:cs typeface="Arial" panose="020B0604020202020204" pitchFamily="34" charset="0"/>
                      </a:rPr>
                      <a:t>R² = 0,9396</a:t>
                    </a:r>
                    <a:endParaRPr lang="en-US" sz="1200">
                      <a:solidFill>
                        <a:schemeClr val="bg1"/>
                      </a:solidFill>
                      <a:latin typeface="Arial" panose="020B0604020202020204" pitchFamily="34" charset="0"/>
                      <a:cs typeface="Arial" panose="020B0604020202020204" pitchFamily="34" charset="0"/>
                    </a:endParaRPr>
                  </a:p>
                </c:rich>
              </c:tx>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errBars>
            <c:errDir val="x"/>
            <c:errBarType val="both"/>
            <c:errValType val="fixedVal"/>
            <c:noEndCap val="0"/>
            <c:val val="1"/>
            <c:spPr>
              <a:noFill/>
              <a:ln w="9525">
                <a:solidFill>
                  <a:schemeClr val="lt1">
                    <a:lumMod val="50000"/>
                  </a:schemeClr>
                </a:solidFill>
                <a:round/>
              </a:ln>
              <a:effectLst/>
            </c:spPr>
          </c:errBars>
          <c:xVal>
            <c:numRef>
              <c:f>'RT03-F12 #'!$N$128:$N$132</c:f>
              <c:numCache>
                <c:formatCode>0</c:formatCode>
                <c:ptCount val="5"/>
                <c:pt idx="0">
                  <c:v>#N/A</c:v>
                </c:pt>
                <c:pt idx="1">
                  <c:v>#N/A</c:v>
                </c:pt>
                <c:pt idx="2">
                  <c:v>#N/A</c:v>
                </c:pt>
                <c:pt idx="3">
                  <c:v>#N/A</c:v>
                </c:pt>
                <c:pt idx="4">
                  <c:v>#N/A</c:v>
                </c:pt>
              </c:numCache>
            </c:numRef>
          </c:xVal>
          <c:yVal>
            <c:numRef>
              <c:f>'RT03-F12 #'!$O$128:$O$132</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212209640"/>
        <c:axId val="212202584"/>
      </c:scatterChart>
      <c:valAx>
        <c:axId val="212209640"/>
        <c:scaling>
          <c:orientation val="minMax"/>
          <c:max val="9000"/>
          <c:min val="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a:t>Carga (g)</a:t>
                </a:r>
              </a:p>
            </c:rich>
          </c:tx>
          <c:layout>
            <c:manualLayout>
              <c:xMode val="edge"/>
              <c:yMode val="edge"/>
              <c:x val="0.48748769263790748"/>
              <c:y val="0.865905654009743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202584"/>
        <c:crosses val="autoZero"/>
        <c:crossBetween val="midCat"/>
        <c:majorUnit val="1000"/>
        <c:minorUnit val="10"/>
      </c:valAx>
      <c:valAx>
        <c:axId val="212202584"/>
        <c:scaling>
          <c:orientation val="minMax"/>
          <c:min val="2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baseline="0"/>
                  <a:t>Incertidumbre (mg)</a:t>
                </a: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Estándar"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2096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#'!$A$73:$B$77,'RT03-F12 #'!$A$80:$B$82)</c:f>
              <c:strCache>
                <c:ptCount val="8"/>
                <c:pt idx="0">
                  <c:v>Excentricidad</c:v>
                </c:pt>
                <c:pt idx="1">
                  <c:v>Repetibilidad</c:v>
                </c:pt>
                <c:pt idx="2">
                  <c:v>Repetibilidad del método</c:v>
                </c:pt>
                <c:pt idx="3">
                  <c:v>Prueba de error de indicación (redondeo de la indicación sin carga)</c:v>
                </c:pt>
                <c:pt idx="4">
                  <c:v>Prueba de error de indicación (redondeo de la indicación con carga)</c:v>
                </c:pt>
                <c:pt idx="5">
                  <c:v>Incertidumbre por pesas patrón</c:v>
                </c:pt>
                <c:pt idx="6">
                  <c:v>incertidumbre  por empuje</c:v>
                </c:pt>
                <c:pt idx="7">
                  <c:v>incertidumbre por  deriva</c:v>
                </c:pt>
              </c:strCache>
            </c:strRef>
          </c:cat>
          <c:val>
            <c:numRef>
              <c:f>('RT03-F12 #'!$M$73:$M$77,'RT03-F12 #'!$M$80:$M$82)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BF2-4CBB-8B59-4CA643ACF86D}"/>
            </c:ext>
          </c:extLst>
        </c:ser>
        <c:dLbls>
          <c:dLblPos val="inEnd"/>
          <c:showLegendKey val="0"/>
          <c:showVal val="1"/>
          <c:showCatName val="0"/>
          <c:showSerName val="0"/>
          <c:showPercent val="0"/>
          <c:showBubbleSize val="0"/>
        </c:dLbls>
        <c:gapWidth val="65"/>
        <c:axId val="212207680"/>
        <c:axId val="212202976"/>
      </c:barChart>
      <c:catAx>
        <c:axId val="212207680"/>
        <c:scaling>
          <c:orientation val="minMax"/>
        </c:scaling>
        <c:delete val="0"/>
        <c:axPos val="b"/>
        <c:numFmt formatCode="Estándar"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212202976"/>
        <c:crosses val="autoZero"/>
        <c:auto val="1"/>
        <c:lblAlgn val="ctr"/>
        <c:lblOffset val="100"/>
        <c:noMultiLvlLbl val="0"/>
      </c:catAx>
      <c:valAx>
        <c:axId val="2122029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2207680"/>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5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765433958959168E-2"/>
                  <c:y val="-0.1343496472663139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CA-46AE-AB68-5396A5A1EB37}"/>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'!$G$7</c:f>
                <c:numCache>
                  <c:formatCode>Estándar</c:formatCode>
                  <c:ptCount val="1"/>
                  <c:pt idx="0">
                    <c:v>#N/A</c:v>
                  </c:pt>
                </c:numCache>
              </c:numRef>
            </c:plus>
            <c:minus>
              <c:numRef>
                <c:f>'Pc # '!$G$7</c:f>
                <c:numCache>
                  <c:formatCode>Estándar</c:formatCode>
                  <c:ptCount val="1"/>
                  <c:pt idx="0">
                    <c:v>#N/A</c:v>
                  </c:pt>
                </c:numCache>
              </c:numRef>
            </c:minus>
            <c:spPr>
              <a:noFill/>
              <a:ln w="9525" cap="flat" cmpd="sng" algn="ctr">
                <a:solidFill>
                  <a:schemeClr val="tx1">
                    <a:lumMod val="65000"/>
                    <a:lumOff val="35000"/>
                  </a:schemeClr>
                </a:solidFill>
                <a:round/>
              </a:ln>
              <a:effectLst/>
            </c:spPr>
          </c:errBars>
          <c:val>
            <c:numRef>
              <c:f>'Pc # '!$F$7</c:f>
              <c:numCache>
                <c:formatCode>0,000</c:formatCode>
                <c:ptCount val="1"/>
                <c:pt idx="0">
                  <c:v>0</c:v>
                </c:pt>
              </c:numCache>
            </c:numRef>
          </c:val>
          <c:smooth val="0"/>
          <c:extLst>
            <c:ext xmlns:c16="http://schemas.microsoft.com/office/drawing/2014/chart" uri="{C3380CC4-5D6E-409C-BE32-E72D297353CC}">
              <c16:uniqueId val="{00000001-04CA-46AE-AB68-5396A5A1EB37}"/>
            </c:ext>
          </c:extLst>
        </c:ser>
        <c:ser>
          <c:idx val="1"/>
          <c:order val="1"/>
          <c:tx>
            <c:strRef>
              <c:f>'Pc # '!$H$6</c:f>
              <c:strCache>
                <c:ptCount val="1"/>
                <c:pt idx="0">
                  <c:v> ±EMP </c:v>
                </c:pt>
              </c:strCache>
            </c:strRef>
          </c:tx>
          <c:spPr>
            <a:ln w="28575" cap="rnd">
              <a:solidFill>
                <a:srgbClr val="FF0000"/>
              </a:solidFill>
              <a:round/>
            </a:ln>
            <a:effectLst/>
          </c:spPr>
          <c:marker>
            <c:symbol val="none"/>
          </c:marker>
          <c:dLbls>
            <c:delete val="1"/>
          </c:dLbls>
          <c:val>
            <c:numRef>
              <c:f>'Pc # '!$P$6:$P$9</c:f>
              <c:numCache>
                <c:formatCode>Estándar</c:formatCode>
                <c:ptCount val="4"/>
                <c:pt idx="0">
                  <c:v>1</c:v>
                </c:pt>
                <c:pt idx="1">
                  <c:v>1</c:v>
                </c:pt>
                <c:pt idx="2">
                  <c:v>1</c:v>
                </c:pt>
                <c:pt idx="3">
                  <c:v>1</c:v>
                </c:pt>
              </c:numCache>
            </c:numRef>
          </c:val>
          <c:smooth val="0"/>
          <c:extLst>
            <c:ext xmlns:c16="http://schemas.microsoft.com/office/drawing/2014/chart" uri="{C3380CC4-5D6E-409C-BE32-E72D297353CC}">
              <c16:uniqueId val="{00000002-04CA-46AE-AB68-5396A5A1EB37}"/>
            </c:ext>
          </c:extLst>
        </c:ser>
        <c:ser>
          <c:idx val="2"/>
          <c:order val="2"/>
          <c:tx>
            <c:strRef>
              <c:f>'Pc # '!$I$6</c:f>
              <c:strCache>
                <c:ptCount val="1"/>
                <c:pt idx="0">
                  <c:v> ±EMP </c:v>
                </c:pt>
              </c:strCache>
            </c:strRef>
          </c:tx>
          <c:spPr>
            <a:ln w="28575" cap="rnd">
              <a:solidFill>
                <a:srgbClr val="FF0000"/>
              </a:solidFill>
              <a:round/>
            </a:ln>
            <a:effectLst/>
          </c:spPr>
          <c:marker>
            <c:symbol val="none"/>
          </c:marker>
          <c:dLbls>
            <c:delete val="1"/>
          </c:dLbls>
          <c:val>
            <c:numRef>
              <c:f>'Pc # '!$Q$6:$Q$9</c:f>
              <c:numCache>
                <c:formatCode>Estándar</c:formatCode>
                <c:ptCount val="4"/>
                <c:pt idx="0">
                  <c:v>-1</c:v>
                </c:pt>
                <c:pt idx="1">
                  <c:v>-1</c:v>
                </c:pt>
                <c:pt idx="2">
                  <c:v>-1</c:v>
                </c:pt>
                <c:pt idx="3">
                  <c:v>-1</c:v>
                </c:pt>
              </c:numCache>
            </c:numRef>
          </c:val>
          <c:smooth val="0"/>
          <c:extLst>
            <c:ext xmlns:c16="http://schemas.microsoft.com/office/drawing/2014/chart" uri="{C3380CC4-5D6E-409C-BE32-E72D297353CC}">
              <c16:uniqueId val="{00000003-04CA-46AE-AB68-5396A5A1EB37}"/>
            </c:ext>
          </c:extLst>
        </c:ser>
        <c:dLbls>
          <c:dLblPos val="t"/>
          <c:showLegendKey val="0"/>
          <c:showVal val="1"/>
          <c:showCatName val="0"/>
          <c:showSerName val="0"/>
          <c:showPercent val="0"/>
          <c:showBubbleSize val="0"/>
        </c:dLbls>
        <c:marker val="1"/>
        <c:smooth val="0"/>
        <c:axId val="212203368"/>
        <c:axId val="212203760"/>
      </c:lineChart>
      <c:dateAx>
        <c:axId val="21220336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2203760"/>
        <c:crosses val="autoZero"/>
        <c:auto val="0"/>
        <c:lblOffset val="100"/>
        <c:baseTimeUnit val="days"/>
        <c:majorUnit val="1"/>
      </c:dateAx>
      <c:valAx>
        <c:axId val="212203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2203368"/>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2 000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5393100563795612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83-4BF9-A81F-89AD2007465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'!$G$8</c:f>
                <c:numCache>
                  <c:formatCode>Estándar</c:formatCode>
                  <c:ptCount val="1"/>
                  <c:pt idx="0">
                    <c:v>#N/A</c:v>
                  </c:pt>
                </c:numCache>
              </c:numRef>
            </c:plus>
            <c:minus>
              <c:numRef>
                <c:f>'Pc # '!$G$8</c:f>
                <c:numCache>
                  <c:formatCode>Estándar</c:formatCode>
                  <c:ptCount val="1"/>
                  <c:pt idx="0">
                    <c:v>#N/A</c:v>
                  </c:pt>
                </c:numCache>
              </c:numRef>
            </c:minus>
            <c:spPr>
              <a:noFill/>
              <a:ln w="9525" cap="flat" cmpd="sng" algn="ctr">
                <a:solidFill>
                  <a:schemeClr val="tx1">
                    <a:lumMod val="65000"/>
                    <a:lumOff val="35000"/>
                  </a:schemeClr>
                </a:solidFill>
                <a:round/>
              </a:ln>
              <a:effectLst/>
            </c:spPr>
          </c:errBars>
          <c:val>
            <c:numRef>
              <c:f>'Pc # '!$F$8</c:f>
              <c:numCache>
                <c:formatCode>0,000</c:formatCode>
                <c:ptCount val="1"/>
                <c:pt idx="0">
                  <c:v>0</c:v>
                </c:pt>
              </c:numCache>
            </c:numRef>
          </c:val>
          <c:smooth val="0"/>
          <c:extLst>
            <c:ext xmlns:c16="http://schemas.microsoft.com/office/drawing/2014/chart" uri="{C3380CC4-5D6E-409C-BE32-E72D297353CC}">
              <c16:uniqueId val="{00000001-3471-45F3-B156-03DA0CBC68AB}"/>
            </c:ext>
          </c:extLst>
        </c:ser>
        <c:ser>
          <c:idx val="1"/>
          <c:order val="1"/>
          <c:tx>
            <c:strRef>
              <c:f>'Pc # '!$H$6</c:f>
              <c:strCache>
                <c:ptCount val="1"/>
                <c:pt idx="0">
                  <c:v> ±EMP </c:v>
                </c:pt>
              </c:strCache>
            </c:strRef>
          </c:tx>
          <c:spPr>
            <a:ln w="28575" cap="rnd">
              <a:solidFill>
                <a:srgbClr val="FF0000"/>
              </a:solidFill>
              <a:round/>
            </a:ln>
            <a:effectLst/>
          </c:spPr>
          <c:marker>
            <c:symbol val="none"/>
          </c:marker>
          <c:val>
            <c:numRef>
              <c:f>'Pc # '!$P$6:$P$9</c:f>
              <c:numCache>
                <c:formatCode>Estándar</c:formatCode>
                <c:ptCount val="4"/>
                <c:pt idx="0">
                  <c:v>1</c:v>
                </c:pt>
                <c:pt idx="1">
                  <c:v>1</c:v>
                </c:pt>
                <c:pt idx="2">
                  <c:v>1</c:v>
                </c:pt>
                <c:pt idx="3">
                  <c:v>1</c:v>
                </c:pt>
              </c:numCache>
            </c:numRef>
          </c:val>
          <c:smooth val="0"/>
          <c:extLst>
            <c:ext xmlns:c16="http://schemas.microsoft.com/office/drawing/2014/chart" uri="{C3380CC4-5D6E-409C-BE32-E72D297353CC}">
              <c16:uniqueId val="{00000002-3471-45F3-B156-03DA0CBC68AB}"/>
            </c:ext>
          </c:extLst>
        </c:ser>
        <c:ser>
          <c:idx val="2"/>
          <c:order val="2"/>
          <c:tx>
            <c:strRef>
              <c:f>'Pc # '!$I$6</c:f>
              <c:strCache>
                <c:ptCount val="1"/>
                <c:pt idx="0">
                  <c:v> ±EMP </c:v>
                </c:pt>
              </c:strCache>
            </c:strRef>
          </c:tx>
          <c:spPr>
            <a:ln w="28575" cap="rnd">
              <a:solidFill>
                <a:srgbClr val="FF0000"/>
              </a:solidFill>
              <a:round/>
            </a:ln>
            <a:effectLst/>
          </c:spPr>
          <c:marker>
            <c:symbol val="none"/>
          </c:marker>
          <c:val>
            <c:numRef>
              <c:f>'Pc # '!$Q$6:$Q$9</c:f>
              <c:numCache>
                <c:formatCode>Estándar</c:formatCode>
                <c:ptCount val="4"/>
                <c:pt idx="0">
                  <c:v>-1</c:v>
                </c:pt>
                <c:pt idx="1">
                  <c:v>-1</c:v>
                </c:pt>
                <c:pt idx="2">
                  <c:v>-1</c:v>
                </c:pt>
                <c:pt idx="3">
                  <c:v>-1</c:v>
                </c:pt>
              </c:numCache>
            </c:numRef>
          </c:val>
          <c:smooth val="0"/>
          <c:extLst>
            <c:ext xmlns:c16="http://schemas.microsoft.com/office/drawing/2014/chart" uri="{C3380CC4-5D6E-409C-BE32-E72D297353CC}">
              <c16:uniqueId val="{00000003-3471-45F3-B156-03DA0CBC68AB}"/>
            </c:ext>
          </c:extLst>
        </c:ser>
        <c:dLbls>
          <c:showLegendKey val="0"/>
          <c:showVal val="0"/>
          <c:showCatName val="0"/>
          <c:showSerName val="0"/>
          <c:showPercent val="0"/>
          <c:showBubbleSize val="0"/>
        </c:dLbls>
        <c:marker val="1"/>
        <c:smooth val="0"/>
        <c:axId val="212204544"/>
        <c:axId val="212205328"/>
      </c:lineChart>
      <c:dateAx>
        <c:axId val="21220454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2205328"/>
        <c:crosses val="autoZero"/>
        <c:auto val="0"/>
        <c:lblOffset val="100"/>
        <c:baseTimeUnit val="days"/>
        <c:majorUnit val="1"/>
      </c:dateAx>
      <c:valAx>
        <c:axId val="212205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2204544"/>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'!$A$130</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0,0</c:formatCode>
                <c:ptCount val="3"/>
                <c:pt idx="0" formatCode="Estándar">
                  <c:v>33.5</c:v>
                </c:pt>
                <c:pt idx="1">
                  <c:v>55.7</c:v>
                </c:pt>
                <c:pt idx="2" formatCode="Estándar">
                  <c:v>77.3</c:v>
                </c:pt>
              </c:numCache>
            </c:numRef>
          </c:xVal>
          <c:yVal>
            <c:numRef>
              <c:f>'DATOS # '!$H$130:$H$132</c:f>
              <c:numCache>
                <c:formatCode>0,0</c:formatCode>
                <c:ptCount val="3"/>
                <c:pt idx="0" formatCode="Estándar">
                  <c:v>-3.6</c:v>
                </c:pt>
                <c:pt idx="1">
                  <c:v>-0.7</c:v>
                </c:pt>
                <c:pt idx="2" formatCode="Estándar">
                  <c:v>2.7</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09663056"/>
        <c:axId val="209666192"/>
      </c:scatterChart>
      <c:valAx>
        <c:axId val="209663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6192"/>
        <c:crosses val="autoZero"/>
        <c:crossBetween val="midCat"/>
      </c:valAx>
      <c:valAx>
        <c:axId val="209666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3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4 000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'!$G$9</c:f>
                <c:numCache>
                  <c:formatCode>Estándar</c:formatCode>
                  <c:ptCount val="1"/>
                  <c:pt idx="0">
                    <c:v>#N/A</c:v>
                  </c:pt>
                </c:numCache>
              </c:numRef>
            </c:plus>
            <c:minus>
              <c:numRef>
                <c:f>'Pc # '!$G$9</c:f>
                <c:numCache>
                  <c:formatCode>Estándar</c:formatCode>
                  <c:ptCount val="1"/>
                  <c:pt idx="0">
                    <c:v>#N/A</c:v>
                  </c:pt>
                </c:numCache>
              </c:numRef>
            </c:minus>
            <c:spPr>
              <a:noFill/>
              <a:ln w="9525" cap="flat" cmpd="sng" algn="ctr">
                <a:solidFill>
                  <a:schemeClr val="tx1">
                    <a:lumMod val="65000"/>
                    <a:lumOff val="35000"/>
                  </a:schemeClr>
                </a:solidFill>
                <a:round/>
              </a:ln>
              <a:effectLst/>
            </c:spPr>
          </c:errBars>
          <c:val>
            <c:numRef>
              <c:f>'Pc # '!$F$9</c:f>
              <c:numCache>
                <c:formatCode>0,000</c:formatCode>
                <c:ptCount val="1"/>
                <c:pt idx="0">
                  <c:v>0</c:v>
                </c:pt>
              </c:numCache>
            </c:numRef>
          </c:val>
          <c:smooth val="0"/>
          <c:extLst>
            <c:ext xmlns:c16="http://schemas.microsoft.com/office/drawing/2014/chart" uri="{C3380CC4-5D6E-409C-BE32-E72D297353CC}">
              <c16:uniqueId val="{00000000-1ACE-447F-BF99-2AAABA27E4F9}"/>
            </c:ext>
          </c:extLst>
        </c:ser>
        <c:ser>
          <c:idx val="1"/>
          <c:order val="1"/>
          <c:tx>
            <c:strRef>
              <c:f>'Pc # '!$H$6</c:f>
              <c:strCache>
                <c:ptCount val="1"/>
                <c:pt idx="0">
                  <c:v> ±EMP </c:v>
                </c:pt>
              </c:strCache>
            </c:strRef>
          </c:tx>
          <c:spPr>
            <a:ln w="28575" cap="rnd">
              <a:solidFill>
                <a:srgbClr val="FF0000"/>
              </a:solidFill>
              <a:round/>
            </a:ln>
            <a:effectLst/>
          </c:spPr>
          <c:marker>
            <c:symbol val="none"/>
          </c:marker>
          <c:dLbls>
            <c:delete val="1"/>
          </c:dLbls>
          <c:val>
            <c:numRef>
              <c:f>'Pc # '!$P$6:$P$9</c:f>
              <c:numCache>
                <c:formatCode>Estándar</c:formatCode>
                <c:ptCount val="4"/>
                <c:pt idx="0">
                  <c:v>1</c:v>
                </c:pt>
                <c:pt idx="1">
                  <c:v>1</c:v>
                </c:pt>
                <c:pt idx="2">
                  <c:v>1</c:v>
                </c:pt>
                <c:pt idx="3">
                  <c:v>1</c:v>
                </c:pt>
              </c:numCache>
            </c:numRef>
          </c:val>
          <c:smooth val="0"/>
          <c:extLst>
            <c:ext xmlns:c16="http://schemas.microsoft.com/office/drawing/2014/chart" uri="{C3380CC4-5D6E-409C-BE32-E72D297353CC}">
              <c16:uniqueId val="{00000001-1ACE-447F-BF99-2AAABA27E4F9}"/>
            </c:ext>
          </c:extLst>
        </c:ser>
        <c:ser>
          <c:idx val="2"/>
          <c:order val="2"/>
          <c:tx>
            <c:strRef>
              <c:f>'Pc # '!$I$6</c:f>
              <c:strCache>
                <c:ptCount val="1"/>
                <c:pt idx="0">
                  <c:v> ±EMP </c:v>
                </c:pt>
              </c:strCache>
            </c:strRef>
          </c:tx>
          <c:spPr>
            <a:ln w="28575" cap="rnd">
              <a:solidFill>
                <a:srgbClr val="FF0000"/>
              </a:solidFill>
              <a:round/>
            </a:ln>
            <a:effectLst/>
          </c:spPr>
          <c:marker>
            <c:symbol val="none"/>
          </c:marker>
          <c:dLbls>
            <c:delete val="1"/>
          </c:dLbls>
          <c:val>
            <c:numRef>
              <c:f>'Pc # '!$Q$6:$Q$9</c:f>
              <c:numCache>
                <c:formatCode>Estándar</c:formatCode>
                <c:ptCount val="4"/>
                <c:pt idx="0">
                  <c:v>-1</c:v>
                </c:pt>
                <c:pt idx="1">
                  <c:v>-1</c:v>
                </c:pt>
                <c:pt idx="2">
                  <c:v>-1</c:v>
                </c:pt>
                <c:pt idx="3">
                  <c:v>-1</c:v>
                </c:pt>
              </c:numCache>
            </c:numRef>
          </c:val>
          <c:smooth val="0"/>
          <c:extLst>
            <c:ext xmlns:c16="http://schemas.microsoft.com/office/drawing/2014/chart" uri="{C3380CC4-5D6E-409C-BE32-E72D297353CC}">
              <c16:uniqueId val="{00000002-1ACE-447F-BF99-2AAABA27E4F9}"/>
            </c:ext>
          </c:extLst>
        </c:ser>
        <c:dLbls>
          <c:dLblPos val="t"/>
          <c:showLegendKey val="0"/>
          <c:showVal val="1"/>
          <c:showCatName val="0"/>
          <c:showSerName val="0"/>
          <c:showPercent val="0"/>
          <c:showBubbleSize val="0"/>
        </c:dLbls>
        <c:marker val="1"/>
        <c:smooth val="0"/>
        <c:axId val="212207288"/>
        <c:axId val="444462144"/>
      </c:lineChart>
      <c:dateAx>
        <c:axId val="21220728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44462144"/>
        <c:crosses val="autoZero"/>
        <c:auto val="0"/>
        <c:lblOffset val="100"/>
        <c:baseTimeUnit val="days"/>
        <c:majorUnit val="1"/>
      </c:dateAx>
      <c:valAx>
        <c:axId val="444462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2207288"/>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6 000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9666076306330213E-2"/>
                  <c:y val="-0.1445709914186476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BD-4076-A1E1-A106D268B7C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'!$G$10</c:f>
                <c:numCache>
                  <c:formatCode>Estándar</c:formatCode>
                  <c:ptCount val="1"/>
                  <c:pt idx="0">
                    <c:v>#N/A</c:v>
                  </c:pt>
                </c:numCache>
              </c:numRef>
            </c:plus>
            <c:minus>
              <c:numRef>
                <c:f>'Pc # '!$G$10</c:f>
                <c:numCache>
                  <c:formatCode>Estándar</c:formatCode>
                  <c:ptCount val="1"/>
                  <c:pt idx="0">
                    <c:v>#N/A</c:v>
                  </c:pt>
                </c:numCache>
              </c:numRef>
            </c:minus>
            <c:spPr>
              <a:noFill/>
              <a:ln w="9525" cap="flat" cmpd="sng" algn="ctr">
                <a:solidFill>
                  <a:schemeClr val="tx1">
                    <a:lumMod val="65000"/>
                    <a:lumOff val="35000"/>
                  </a:schemeClr>
                </a:solidFill>
                <a:round/>
              </a:ln>
              <a:effectLst/>
            </c:spPr>
          </c:errBars>
          <c:val>
            <c:numRef>
              <c:f>'Pc # '!$F$10</c:f>
              <c:numCache>
                <c:formatCode>0,000</c:formatCode>
                <c:ptCount val="1"/>
                <c:pt idx="0">
                  <c:v>0</c:v>
                </c:pt>
              </c:numCache>
            </c:numRef>
          </c:val>
          <c:smooth val="0"/>
          <c:extLst>
            <c:ext xmlns:c16="http://schemas.microsoft.com/office/drawing/2014/chart" uri="{C3380CC4-5D6E-409C-BE32-E72D297353CC}">
              <c16:uniqueId val="{00000000-792D-401C-8747-6F483D8420B2}"/>
            </c:ext>
          </c:extLst>
        </c:ser>
        <c:ser>
          <c:idx val="1"/>
          <c:order val="1"/>
          <c:tx>
            <c:strRef>
              <c:f>'Pc # '!$H$6</c:f>
              <c:strCache>
                <c:ptCount val="1"/>
                <c:pt idx="0">
                  <c:v> ±EMP </c:v>
                </c:pt>
              </c:strCache>
            </c:strRef>
          </c:tx>
          <c:spPr>
            <a:ln w="28575" cap="rnd">
              <a:solidFill>
                <a:schemeClr val="accent2"/>
              </a:solidFill>
              <a:round/>
            </a:ln>
            <a:effectLst/>
          </c:spPr>
          <c:marker>
            <c:symbol val="none"/>
          </c:marker>
          <c:dLbls>
            <c:delete val="1"/>
          </c:dLbls>
          <c:val>
            <c:numRef>
              <c:f>'Pc # '!$P$10:$P$11</c:f>
              <c:numCache>
                <c:formatCode>Estándar</c:formatCode>
                <c:ptCount val="2"/>
                <c:pt idx="0">
                  <c:v>2</c:v>
                </c:pt>
                <c:pt idx="1">
                  <c:v>2</c:v>
                </c:pt>
              </c:numCache>
            </c:numRef>
          </c:val>
          <c:smooth val="0"/>
          <c:extLst>
            <c:ext xmlns:c16="http://schemas.microsoft.com/office/drawing/2014/chart" uri="{C3380CC4-5D6E-409C-BE32-E72D297353CC}">
              <c16:uniqueId val="{00000001-792D-401C-8747-6F483D8420B2}"/>
            </c:ext>
          </c:extLst>
        </c:ser>
        <c:ser>
          <c:idx val="2"/>
          <c:order val="2"/>
          <c:tx>
            <c:strRef>
              <c:f>'Pc #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71BD-4076-A1E1-A106D268B7C5}"/>
              </c:ext>
            </c:extLst>
          </c:dPt>
          <c:dLbls>
            <c:delete val="1"/>
          </c:dLbls>
          <c:val>
            <c:numRef>
              <c:f>'Pc # '!$Q$10:$Q$11</c:f>
              <c:numCache>
                <c:formatCode>Estándar</c:formatCode>
                <c:ptCount val="2"/>
                <c:pt idx="0">
                  <c:v>-2</c:v>
                </c:pt>
                <c:pt idx="1">
                  <c:v>-2</c:v>
                </c:pt>
              </c:numCache>
            </c:numRef>
          </c:val>
          <c:smooth val="0"/>
          <c:extLst>
            <c:ext xmlns:c16="http://schemas.microsoft.com/office/drawing/2014/chart" uri="{C3380CC4-5D6E-409C-BE32-E72D297353CC}">
              <c16:uniqueId val="{00000002-792D-401C-8747-6F483D8420B2}"/>
            </c:ext>
          </c:extLst>
        </c:ser>
        <c:dLbls>
          <c:dLblPos val="t"/>
          <c:showLegendKey val="0"/>
          <c:showVal val="1"/>
          <c:showCatName val="0"/>
          <c:showSerName val="0"/>
          <c:showPercent val="0"/>
          <c:showBubbleSize val="0"/>
        </c:dLbls>
        <c:marker val="1"/>
        <c:smooth val="0"/>
        <c:axId val="444461752"/>
        <c:axId val="444457832"/>
      </c:lineChart>
      <c:dateAx>
        <c:axId val="44446175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44457832"/>
        <c:crosses val="autoZero"/>
        <c:auto val="0"/>
        <c:lblOffset val="100"/>
        <c:baseTimeUnit val="days"/>
        <c:majorUnit val="1"/>
      </c:dateAx>
      <c:valAx>
        <c:axId val="444457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4446175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496906647587235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8-4C4B-971D-7CE78FD3B6D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'!$G$11</c:f>
                <c:numCache>
                  <c:formatCode>Estándar</c:formatCode>
                  <c:ptCount val="1"/>
                  <c:pt idx="0">
                    <c:v>#N/A</c:v>
                  </c:pt>
                </c:numCache>
              </c:numRef>
            </c:plus>
            <c:minus>
              <c:numRef>
                <c:f>'Pc # '!$G$11</c:f>
                <c:numCache>
                  <c:formatCode>Estándar</c:formatCode>
                  <c:ptCount val="1"/>
                  <c:pt idx="0">
                    <c:v>#N/A</c:v>
                  </c:pt>
                </c:numCache>
              </c:numRef>
            </c:minus>
            <c:spPr>
              <a:noFill/>
              <a:ln w="9525" cap="flat" cmpd="sng" algn="ctr">
                <a:solidFill>
                  <a:schemeClr val="tx1">
                    <a:lumMod val="65000"/>
                    <a:lumOff val="35000"/>
                  </a:schemeClr>
                </a:solidFill>
                <a:round/>
              </a:ln>
              <a:effectLst/>
            </c:spPr>
          </c:errBars>
          <c:val>
            <c:numRef>
              <c:f>'Pc # '!$F$11</c:f>
              <c:numCache>
                <c:formatCode>0,000</c:formatCode>
                <c:ptCount val="1"/>
                <c:pt idx="0">
                  <c:v>0</c:v>
                </c:pt>
              </c:numCache>
            </c:numRef>
          </c:val>
          <c:smooth val="0"/>
          <c:extLst>
            <c:ext xmlns:c16="http://schemas.microsoft.com/office/drawing/2014/chart" uri="{C3380CC4-5D6E-409C-BE32-E72D297353CC}">
              <c16:uniqueId val="{00000000-C220-4269-A7D9-66BFCA331D29}"/>
            </c:ext>
          </c:extLst>
        </c:ser>
        <c:ser>
          <c:idx val="1"/>
          <c:order val="1"/>
          <c:tx>
            <c:strRef>
              <c:f>'Pc # '!$H$6</c:f>
              <c:strCache>
                <c:ptCount val="1"/>
                <c:pt idx="0">
                  <c:v> ±EMP </c:v>
                </c:pt>
              </c:strCache>
            </c:strRef>
          </c:tx>
          <c:spPr>
            <a:ln w="28575" cap="rnd">
              <a:solidFill>
                <a:schemeClr val="accent2"/>
              </a:solidFill>
              <a:round/>
            </a:ln>
            <a:effectLst/>
          </c:spPr>
          <c:marker>
            <c:symbol val="none"/>
          </c:marker>
          <c:dLbls>
            <c:delete val="1"/>
          </c:dLbls>
          <c:val>
            <c:numRef>
              <c:f>'Pc # '!$P$10:$P$11</c:f>
              <c:numCache>
                <c:formatCode>Estándar</c:formatCode>
                <c:ptCount val="2"/>
                <c:pt idx="0">
                  <c:v>2</c:v>
                </c:pt>
                <c:pt idx="1">
                  <c:v>2</c:v>
                </c:pt>
              </c:numCache>
            </c:numRef>
          </c:val>
          <c:smooth val="0"/>
          <c:extLst>
            <c:ext xmlns:c16="http://schemas.microsoft.com/office/drawing/2014/chart" uri="{C3380CC4-5D6E-409C-BE32-E72D297353CC}">
              <c16:uniqueId val="{00000001-C220-4269-A7D9-66BFCA331D29}"/>
            </c:ext>
          </c:extLst>
        </c:ser>
        <c:ser>
          <c:idx val="2"/>
          <c:order val="2"/>
          <c:tx>
            <c:strRef>
              <c:f>'Pc #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A508-4C4B-971D-7CE78FD3B6DC}"/>
              </c:ext>
            </c:extLst>
          </c:dPt>
          <c:dLbls>
            <c:delete val="1"/>
          </c:dLbls>
          <c:val>
            <c:numRef>
              <c:f>'Pc # '!$Q$10:$Q$11</c:f>
              <c:numCache>
                <c:formatCode>Estándar</c:formatCode>
                <c:ptCount val="2"/>
                <c:pt idx="0">
                  <c:v>-2</c:v>
                </c:pt>
                <c:pt idx="1">
                  <c:v>-2</c:v>
                </c:pt>
              </c:numCache>
            </c:numRef>
          </c:val>
          <c:smooth val="0"/>
          <c:extLst>
            <c:ext xmlns:c16="http://schemas.microsoft.com/office/drawing/2014/chart" uri="{C3380CC4-5D6E-409C-BE32-E72D297353CC}">
              <c16:uniqueId val="{00000002-C220-4269-A7D9-66BFCA331D29}"/>
            </c:ext>
          </c:extLst>
        </c:ser>
        <c:dLbls>
          <c:dLblPos val="t"/>
          <c:showLegendKey val="0"/>
          <c:showVal val="1"/>
          <c:showCatName val="0"/>
          <c:showSerName val="0"/>
          <c:showPercent val="0"/>
          <c:showBubbleSize val="0"/>
        </c:dLbls>
        <c:marker val="1"/>
        <c:smooth val="0"/>
        <c:axId val="444464496"/>
        <c:axId val="444460184"/>
      </c:lineChart>
      <c:dateAx>
        <c:axId val="44446449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44460184"/>
        <c:crosses val="autoZero"/>
        <c:auto val="0"/>
        <c:lblOffset val="100"/>
        <c:baseTimeUnit val="days"/>
        <c:majorUnit val="1"/>
      </c:dateAx>
      <c:valAx>
        <c:axId val="444460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4446449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 </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RT03-F15 #'!$E$100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#'!$D$102:$D$106</c:f>
                <c:numCache>
                  <c:formatCode>Estándar</c:formatCode>
                  <c:ptCount val="5"/>
                  <c:pt idx="0">
                    <c:v>#N/A</c:v>
                  </c:pt>
                  <c:pt idx="1">
                    <c:v>#N/A</c:v>
                  </c:pt>
                  <c:pt idx="2">
                    <c:v>#N/A</c:v>
                  </c:pt>
                  <c:pt idx="3">
                    <c:v>#N/A</c:v>
                  </c:pt>
                  <c:pt idx="4">
                    <c:v>#N/A</c:v>
                  </c:pt>
                </c:numCache>
              </c:numRef>
            </c:plus>
            <c:minus>
              <c:numRef>
                <c:f>' RT03-F15 #'!$D$102:$D$106</c:f>
                <c:numCache>
                  <c:formatCode>Estándar</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#'!$A$102:$A$106</c:f>
              <c:numCache>
                <c:formatCode>\ 0\ 000,0</c:formatCode>
                <c:ptCount val="5"/>
                <c:pt idx="0" formatCode="Estándar">
                  <c:v>#N/A</c:v>
                </c:pt>
                <c:pt idx="1">
                  <c:v>#N/A</c:v>
                </c:pt>
                <c:pt idx="2">
                  <c:v>#N/A</c:v>
                </c:pt>
                <c:pt idx="3">
                  <c:v>#N/A</c:v>
                </c:pt>
                <c:pt idx="4">
                  <c:v>#N/A</c:v>
                </c:pt>
              </c:numCache>
            </c:numRef>
          </c:xVal>
          <c:yVal>
            <c:numRef>
              <c:f>' RT03-F15 #'!$C$102:$C$106</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AB1D-4EFB-9B3B-AB03A0DDED75}"/>
            </c:ext>
          </c:extLst>
        </c:ser>
        <c:ser>
          <c:idx val="1"/>
          <c:order val="1"/>
          <c:tx>
            <c:strRef>
              <c:f>'DATOS # '!$D$204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 '!$C$205:$C$210</c:f>
              <c:numCache>
                <c:formatCode>Estándar</c:formatCode>
                <c:ptCount val="6"/>
                <c:pt idx="0">
                  <c:v>#N/A</c:v>
                </c:pt>
                <c:pt idx="1">
                  <c:v>#N/A</c:v>
                </c:pt>
                <c:pt idx="2">
                  <c:v>#N/A</c:v>
                </c:pt>
                <c:pt idx="3">
                  <c:v>#N/A</c:v>
                </c:pt>
                <c:pt idx="4">
                  <c:v>#N/A</c:v>
                </c:pt>
                <c:pt idx="5">
                  <c:v>#N/A</c:v>
                </c:pt>
              </c:numCache>
            </c:numRef>
          </c:xVal>
          <c:yVal>
            <c:numRef>
              <c:f>'DATOS # '!$D$205:$D$210</c:f>
              <c:numCache>
                <c:formatCode>Estándar</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AB1D-4EFB-9B3B-AB03A0DDED75}"/>
            </c:ext>
          </c:extLst>
        </c:ser>
        <c:ser>
          <c:idx val="2"/>
          <c:order val="2"/>
          <c:tx>
            <c:strRef>
              <c:f>'DATOS # '!$E$204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 '!$C$205:$C$210</c:f>
              <c:numCache>
                <c:formatCode>Estándar</c:formatCode>
                <c:ptCount val="6"/>
                <c:pt idx="0">
                  <c:v>#N/A</c:v>
                </c:pt>
                <c:pt idx="1">
                  <c:v>#N/A</c:v>
                </c:pt>
                <c:pt idx="2">
                  <c:v>#N/A</c:v>
                </c:pt>
                <c:pt idx="3">
                  <c:v>#N/A</c:v>
                </c:pt>
                <c:pt idx="4">
                  <c:v>#N/A</c:v>
                </c:pt>
                <c:pt idx="5">
                  <c:v>#N/A</c:v>
                </c:pt>
              </c:numCache>
            </c:numRef>
          </c:xVal>
          <c:yVal>
            <c:numRef>
              <c:f>'DATOS # '!$E$205:$E$210</c:f>
              <c:numCache>
                <c:formatCode>Estándar</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444462536"/>
        <c:axId val="444458224"/>
      </c:scatterChart>
      <c:valAx>
        <c:axId val="444462536"/>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Estándar"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444458224"/>
        <c:crosses val="autoZero"/>
        <c:crossBetween val="midCat"/>
      </c:valAx>
      <c:valAx>
        <c:axId val="44445822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444462536"/>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 </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'RT03-F39 #'!$E$99</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'RT03-F39 #'!$D$101:$D$105</c:f>
                <c:numCache>
                  <c:formatCode>Estándar</c:formatCode>
                  <c:ptCount val="5"/>
                  <c:pt idx="0">
                    <c:v>#N/A</c:v>
                  </c:pt>
                  <c:pt idx="1">
                    <c:v>#N/A</c:v>
                  </c:pt>
                  <c:pt idx="2">
                    <c:v>#N/A</c:v>
                  </c:pt>
                  <c:pt idx="3">
                    <c:v>#N/A</c:v>
                  </c:pt>
                  <c:pt idx="4">
                    <c:v>#N/A</c:v>
                  </c:pt>
                </c:numCache>
              </c:numRef>
            </c:plus>
            <c:minus>
              <c:numRef>
                <c:f>'RT03-F39 #'!$D$101:$D$105</c:f>
                <c:numCache>
                  <c:formatCode>Estándar</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'RT03-F39 #'!$A$101:$A$105</c:f>
              <c:numCache>
                <c:formatCode>\ 0\ 000,0</c:formatCode>
                <c:ptCount val="5"/>
                <c:pt idx="0" formatCode="Estándar">
                  <c:v>#N/A</c:v>
                </c:pt>
                <c:pt idx="1">
                  <c:v>#N/A</c:v>
                </c:pt>
                <c:pt idx="2">
                  <c:v>#N/A</c:v>
                </c:pt>
                <c:pt idx="3">
                  <c:v>#N/A</c:v>
                </c:pt>
                <c:pt idx="4">
                  <c:v>#N/A</c:v>
                </c:pt>
              </c:numCache>
            </c:numRef>
          </c:xVal>
          <c:yVal>
            <c:numRef>
              <c:f>'RT03-F39 #'!$C$101:$C$105</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B445-40C3-917E-8952F947581B}"/>
            </c:ext>
          </c:extLst>
        </c:ser>
        <c:ser>
          <c:idx val="1"/>
          <c:order val="1"/>
          <c:tx>
            <c:strRef>
              <c:f>'DATOS # '!$D$204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 '!$C$205:$C$210</c:f>
              <c:numCache>
                <c:formatCode>Estándar</c:formatCode>
                <c:ptCount val="6"/>
                <c:pt idx="0">
                  <c:v>#N/A</c:v>
                </c:pt>
                <c:pt idx="1">
                  <c:v>#N/A</c:v>
                </c:pt>
                <c:pt idx="2">
                  <c:v>#N/A</c:v>
                </c:pt>
                <c:pt idx="3">
                  <c:v>#N/A</c:v>
                </c:pt>
                <c:pt idx="4">
                  <c:v>#N/A</c:v>
                </c:pt>
                <c:pt idx="5">
                  <c:v>#N/A</c:v>
                </c:pt>
              </c:numCache>
            </c:numRef>
          </c:xVal>
          <c:yVal>
            <c:numRef>
              <c:f>'DATOS # '!$D$205:$D$210</c:f>
              <c:numCache>
                <c:formatCode>Estándar</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B445-40C3-917E-8952F947581B}"/>
            </c:ext>
          </c:extLst>
        </c:ser>
        <c:ser>
          <c:idx val="2"/>
          <c:order val="2"/>
          <c:tx>
            <c:strRef>
              <c:f>'DATOS # '!$E$204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 '!$C$205:$C$210</c:f>
              <c:numCache>
                <c:formatCode>Estándar</c:formatCode>
                <c:ptCount val="6"/>
                <c:pt idx="0">
                  <c:v>#N/A</c:v>
                </c:pt>
                <c:pt idx="1">
                  <c:v>#N/A</c:v>
                </c:pt>
                <c:pt idx="2">
                  <c:v>#N/A</c:v>
                </c:pt>
                <c:pt idx="3">
                  <c:v>#N/A</c:v>
                </c:pt>
                <c:pt idx="4">
                  <c:v>#N/A</c:v>
                </c:pt>
                <c:pt idx="5">
                  <c:v>#N/A</c:v>
                </c:pt>
              </c:numCache>
            </c:numRef>
          </c:xVal>
          <c:yVal>
            <c:numRef>
              <c:f>'DATOS # '!$E$205:$E$210</c:f>
              <c:numCache>
                <c:formatCode>Estándar</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B445-40C3-917E-8952F947581B}"/>
            </c:ext>
          </c:extLst>
        </c:ser>
        <c:dLbls>
          <c:showLegendKey val="0"/>
          <c:showVal val="0"/>
          <c:showCatName val="0"/>
          <c:showSerName val="0"/>
          <c:showPercent val="0"/>
          <c:showBubbleSize val="0"/>
        </c:dLbls>
        <c:axId val="444459792"/>
        <c:axId val="444460576"/>
      </c:scatterChart>
      <c:valAx>
        <c:axId val="444459792"/>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Estándar"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444460576"/>
        <c:crosses val="autoZero"/>
        <c:crossBetween val="midCat"/>
      </c:valAx>
      <c:valAx>
        <c:axId val="4444605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444459792"/>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'!$A$133</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'!$F$133:$F$135</c:f>
              <c:numCache>
                <c:formatCode>Estándar</c:formatCode>
                <c:ptCount val="3"/>
                <c:pt idx="0">
                  <c:v>499.346</c:v>
                </c:pt>
                <c:pt idx="1">
                  <c:v>752.18</c:v>
                </c:pt>
                <c:pt idx="2" formatCode="0,0">
                  <c:v>900.64499999999998</c:v>
                </c:pt>
              </c:numCache>
            </c:numRef>
          </c:xVal>
          <c:yVal>
            <c:numRef>
              <c:f>'DATOS # '!$H$133:$H$135</c:f>
              <c:numCache>
                <c:formatCode>Estándar</c:formatCode>
                <c:ptCount val="3"/>
                <c:pt idx="0" formatCode="0,000">
                  <c:v>1.6890000000000001</c:v>
                </c:pt>
                <c:pt idx="1">
                  <c:v>1.0169999999999999</c:v>
                </c:pt>
                <c:pt idx="2">
                  <c:v>0.80700000000000005</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209669328"/>
        <c:axId val="209665800"/>
      </c:scatterChart>
      <c:valAx>
        <c:axId val="2096693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5800"/>
        <c:crosses val="autoZero"/>
        <c:crossBetween val="midCat"/>
      </c:valAx>
      <c:valAx>
        <c:axId val="209665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93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'!$F$170:$F$172</c:f>
              <c:numCache>
                <c:formatCode>0,0</c:formatCode>
                <c:ptCount val="3"/>
                <c:pt idx="0" formatCode="Estándar">
                  <c:v>16.8</c:v>
                </c:pt>
                <c:pt idx="1">
                  <c:v>19.899999999999999</c:v>
                </c:pt>
                <c:pt idx="2">
                  <c:v>22.9</c:v>
                </c:pt>
              </c:numCache>
            </c:numRef>
          </c:xVal>
          <c:yVal>
            <c:numRef>
              <c:f>'DATOS # '!$H$170:$H$172</c:f>
              <c:numCache>
                <c:formatCode>0,0</c:formatCode>
                <c:ptCount val="3"/>
                <c:pt idx="0">
                  <c:v>0.1</c:v>
                </c:pt>
                <c:pt idx="1">
                  <c:v>0</c:v>
                </c:pt>
                <c:pt idx="2">
                  <c:v>0</c:v>
                </c:pt>
              </c:numCache>
            </c:numRef>
          </c:yVal>
          <c:smooth val="0"/>
          <c:extLst>
            <c:ext xmlns:c16="http://schemas.microsoft.com/office/drawing/2014/chart" uri="{C3380CC4-5D6E-409C-BE32-E72D297353CC}">
              <c16:uniqueId val="{00000002-E7E6-46EF-AC04-21F1CD5DCEDB}"/>
            </c:ext>
          </c:extLst>
        </c:ser>
        <c:dLbls>
          <c:showLegendKey val="0"/>
          <c:showVal val="0"/>
          <c:showCatName val="0"/>
          <c:showSerName val="0"/>
          <c:showPercent val="0"/>
          <c:showBubbleSize val="0"/>
        </c:dLbls>
        <c:axId val="209670112"/>
        <c:axId val="209666584"/>
      </c:scatterChart>
      <c:valAx>
        <c:axId val="2096701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6584"/>
        <c:crosses val="autoZero"/>
        <c:crossBetween val="midCat"/>
      </c:valAx>
      <c:valAx>
        <c:axId val="2096665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701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'!$F$173:$F$175</c:f>
              <c:numCache>
                <c:formatCode>Estándar</c:formatCode>
                <c:ptCount val="3"/>
                <c:pt idx="0">
                  <c:v>33.299999999999997</c:v>
                </c:pt>
                <c:pt idx="1">
                  <c:v>55.9</c:v>
                </c:pt>
                <c:pt idx="2">
                  <c:v>78.2</c:v>
                </c:pt>
              </c:numCache>
            </c:numRef>
          </c:xVal>
          <c:yVal>
            <c:numRef>
              <c:f>'DATOS # '!$H$173:$H$175</c:f>
              <c:numCache>
                <c:formatCode>Estándar</c:formatCode>
                <c:ptCount val="3"/>
                <c:pt idx="0">
                  <c:v>-3.3</c:v>
                </c:pt>
                <c:pt idx="1">
                  <c:v>-0.9</c:v>
                </c:pt>
                <c:pt idx="2">
                  <c:v>1.8</c:v>
                </c:pt>
              </c:numCache>
            </c:numRef>
          </c:yVal>
          <c:smooth val="0"/>
          <c:extLst>
            <c:ext xmlns:c16="http://schemas.microsoft.com/office/drawing/2014/chart" uri="{C3380CC4-5D6E-409C-BE32-E72D297353CC}">
              <c16:uniqueId val="{00000002-E968-462A-A72D-A041446221BA}"/>
            </c:ext>
          </c:extLst>
        </c:ser>
        <c:dLbls>
          <c:showLegendKey val="0"/>
          <c:showVal val="0"/>
          <c:showCatName val="0"/>
          <c:showSerName val="0"/>
          <c:showPercent val="0"/>
          <c:showBubbleSize val="0"/>
        </c:dLbls>
        <c:axId val="209665016"/>
        <c:axId val="182418560"/>
      </c:scatterChart>
      <c:valAx>
        <c:axId val="2096650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418560"/>
        <c:crosses val="autoZero"/>
        <c:crossBetween val="midCat"/>
      </c:valAx>
      <c:valAx>
        <c:axId val="1824185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6650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'!$F$176:$F$178</c:f>
              <c:numCache>
                <c:formatCode>Estándar</c:formatCode>
                <c:ptCount val="3"/>
                <c:pt idx="0" formatCode="0,0">
                  <c:v>499.03300000000002</c:v>
                </c:pt>
                <c:pt idx="1">
                  <c:v>752.18100000000004</c:v>
                </c:pt>
                <c:pt idx="2">
                  <c:v>900.66499999999996</c:v>
                </c:pt>
              </c:numCache>
            </c:numRef>
          </c:xVal>
          <c:yVal>
            <c:numRef>
              <c:f>'DATOS # '!$H$176:$H$178</c:f>
              <c:numCache>
                <c:formatCode>0,00</c:formatCode>
                <c:ptCount val="3"/>
                <c:pt idx="0" formatCode="Estándar">
                  <c:v>1.706</c:v>
                </c:pt>
                <c:pt idx="1">
                  <c:v>1.087</c:v>
                </c:pt>
                <c:pt idx="2" formatCode="Estándar">
                  <c:v>0.94</c:v>
                </c:pt>
              </c:numCache>
            </c:numRef>
          </c:yVal>
          <c:smooth val="0"/>
          <c:extLst>
            <c:ext xmlns:c16="http://schemas.microsoft.com/office/drawing/2014/chart" uri="{C3380CC4-5D6E-409C-BE32-E72D297353CC}">
              <c16:uniqueId val="{00000002-23E6-46EB-8162-ED190852C1DD}"/>
            </c:ext>
          </c:extLst>
        </c:ser>
        <c:dLbls>
          <c:showLegendKey val="0"/>
          <c:showVal val="0"/>
          <c:showCatName val="0"/>
          <c:showSerName val="0"/>
          <c:showPercent val="0"/>
          <c:showBubbleSize val="0"/>
        </c:dLbls>
        <c:axId val="207489592"/>
        <c:axId val="207492728"/>
      </c:scatterChart>
      <c:valAx>
        <c:axId val="2074895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2728"/>
        <c:crosses val="autoZero"/>
        <c:crossBetween val="midCat"/>
      </c:valAx>
      <c:valAx>
        <c:axId val="2074927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895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'!$A$160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'!$F$160:$F$162</c:f>
              <c:numCache>
                <c:formatCode>Estándar</c:formatCode>
                <c:ptCount val="3"/>
                <c:pt idx="0">
                  <c:v>15.1</c:v>
                </c:pt>
                <c:pt idx="1">
                  <c:v>24.9</c:v>
                </c:pt>
                <c:pt idx="2" formatCode="0,0">
                  <c:v>34.700000000000003</c:v>
                </c:pt>
              </c:numCache>
            </c:numRef>
          </c:xVal>
          <c:yVal>
            <c:numRef>
              <c:f>'DATOS # '!$H$160:$H$162</c:f>
              <c:numCache>
                <c:formatCode>0,0</c:formatCode>
                <c:ptCount val="3"/>
                <c:pt idx="0">
                  <c:v>0</c:v>
                </c:pt>
                <c:pt idx="1">
                  <c:v>0</c:v>
                </c:pt>
                <c:pt idx="2">
                  <c:v>0.1</c:v>
                </c:pt>
              </c:numCache>
            </c:numRef>
          </c:yVal>
          <c:smooth val="0"/>
          <c:extLst>
            <c:ext xmlns:c16="http://schemas.microsoft.com/office/drawing/2014/chart" uri="{C3380CC4-5D6E-409C-BE32-E72D297353CC}">
              <c16:uniqueId val="{00000002-D551-4FE2-894D-582E32CAAECF}"/>
            </c:ext>
          </c:extLst>
        </c:ser>
        <c:dLbls>
          <c:showLegendKey val="0"/>
          <c:showVal val="0"/>
          <c:showCatName val="0"/>
          <c:showSerName val="0"/>
          <c:showPercent val="0"/>
          <c:showBubbleSize val="0"/>
        </c:dLbls>
        <c:axId val="207494688"/>
        <c:axId val="207490376"/>
      </c:scatterChart>
      <c:valAx>
        <c:axId val="207494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0376"/>
        <c:crosses val="autoZero"/>
        <c:crossBetween val="midCat"/>
      </c:valAx>
      <c:valAx>
        <c:axId val="207490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4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'!$A$163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'!$F$163:$F$165</c:f>
              <c:numCache>
                <c:formatCode>Estándar</c:formatCode>
                <c:ptCount val="3"/>
                <c:pt idx="0">
                  <c:v>33</c:v>
                </c:pt>
                <c:pt idx="1">
                  <c:v>50.9</c:v>
                </c:pt>
                <c:pt idx="2">
                  <c:v>79.099999999999994</c:v>
                </c:pt>
              </c:numCache>
            </c:numRef>
          </c:xVal>
          <c:yVal>
            <c:numRef>
              <c:f>'DATOS # '!$H$163:$H$165</c:f>
              <c:numCache>
                <c:formatCode>Estándar</c:formatCode>
                <c:ptCount val="3"/>
                <c:pt idx="0">
                  <c:v>-3</c:v>
                </c:pt>
                <c:pt idx="1">
                  <c:v>-0.9</c:v>
                </c:pt>
                <c:pt idx="2">
                  <c:v>0.9</c:v>
                </c:pt>
              </c:numCache>
            </c:numRef>
          </c:yVal>
          <c:smooth val="0"/>
          <c:extLst>
            <c:ext xmlns:c16="http://schemas.microsoft.com/office/drawing/2014/chart" uri="{C3380CC4-5D6E-409C-BE32-E72D297353CC}">
              <c16:uniqueId val="{00000002-2B6D-463E-AD92-E48232505FD6}"/>
            </c:ext>
          </c:extLst>
        </c:ser>
        <c:dLbls>
          <c:showLegendKey val="0"/>
          <c:showVal val="0"/>
          <c:showCatName val="0"/>
          <c:showSerName val="0"/>
          <c:showPercent val="0"/>
          <c:showBubbleSize val="0"/>
        </c:dLbls>
        <c:axId val="207489984"/>
        <c:axId val="207494296"/>
      </c:scatterChart>
      <c:valAx>
        <c:axId val="207489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4296"/>
        <c:crosses val="autoZero"/>
        <c:crossBetween val="midCat"/>
      </c:valAx>
      <c:valAx>
        <c:axId val="207494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89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'!$A$166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Estándar"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'!$F$166:$F$168</c:f>
              <c:numCache>
                <c:formatCode>Estándar</c:formatCode>
                <c:ptCount val="3"/>
                <c:pt idx="0">
                  <c:v>398.61399999999998</c:v>
                </c:pt>
                <c:pt idx="1">
                  <c:v>752.91200000000003</c:v>
                </c:pt>
                <c:pt idx="2">
                  <c:v>801.26800000000003</c:v>
                </c:pt>
              </c:numCache>
            </c:numRef>
          </c:xVal>
          <c:yVal>
            <c:numRef>
              <c:f>'DATOS # '!$H$166:$H$168</c:f>
              <c:numCache>
                <c:formatCode>0,00</c:formatCode>
                <c:ptCount val="3"/>
                <c:pt idx="0" formatCode="Estándar">
                  <c:v>1.64</c:v>
                </c:pt>
                <c:pt idx="1">
                  <c:v>0.877</c:v>
                </c:pt>
                <c:pt idx="2" formatCode="Estándar">
                  <c:v>0.81200000000000006</c:v>
                </c:pt>
              </c:numCache>
            </c:numRef>
          </c:yVal>
          <c:smooth val="0"/>
          <c:extLst>
            <c:ext xmlns:c16="http://schemas.microsoft.com/office/drawing/2014/chart" uri="{C3380CC4-5D6E-409C-BE32-E72D297353CC}">
              <c16:uniqueId val="{00000002-DE8A-4F6F-BA01-7FD277F4AA80}"/>
            </c:ext>
          </c:extLst>
        </c:ser>
        <c:dLbls>
          <c:showLegendKey val="0"/>
          <c:showVal val="0"/>
          <c:showCatName val="0"/>
          <c:showSerName val="0"/>
          <c:showPercent val="0"/>
          <c:showBubbleSize val="0"/>
        </c:dLbls>
        <c:axId val="207490768"/>
        <c:axId val="207491944"/>
      </c:scatterChart>
      <c:valAx>
        <c:axId val="207490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1944"/>
        <c:crosses val="autoZero"/>
        <c:crossBetween val="midCat"/>
      </c:valAx>
      <c:valAx>
        <c:axId val="207491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Estándar"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490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7.xml"/><Relationship Id="rId1" Type="http://schemas.openxmlformats.org/officeDocument/2006/relationships/chart" Target="../charts/chart16.xml"/><Relationship Id="rId5" Type="http://schemas.microsoft.com/office/2007/relationships/hdphoto" Target="../media/hdphoto1.wdp"/><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2.png"/><Relationship Id="rId5" Type="http://schemas.openxmlformats.org/officeDocument/2006/relationships/chart" Target="../charts/chart22.xml"/><Relationship Id="rId4"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microsoft.com/office/2007/relationships/hdphoto" Target="../media/hdphoto2.wdp"/><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microsoft.com/office/2007/relationships/hdphoto" Target="../media/hdphoto2.wdp"/><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1220107</xdr:colOff>
      <xdr:row>131</xdr:row>
      <xdr:rowOff>48078</xdr:rowOff>
    </xdr:from>
    <xdr:to>
      <xdr:col>14</xdr:col>
      <xdr:colOff>448357</xdr:colOff>
      <xdr:row>134</xdr:row>
      <xdr:rowOff>345078</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1039813</xdr:colOff>
      <xdr:row>131</xdr:row>
      <xdr:rowOff>88900</xdr:rowOff>
    </xdr:from>
    <xdr:to>
      <xdr:col>16</xdr:col>
      <xdr:colOff>77563</xdr:colOff>
      <xdr:row>135</xdr:row>
      <xdr:rowOff>4900</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765175</xdr:colOff>
      <xdr:row>131</xdr:row>
      <xdr:rowOff>77788</xdr:rowOff>
    </xdr:from>
    <xdr:to>
      <xdr:col>17</xdr:col>
      <xdr:colOff>945925</xdr:colOff>
      <xdr:row>134</xdr:row>
      <xdr:rowOff>374788</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174</xdr:row>
      <xdr:rowOff>0</xdr:rowOff>
    </xdr:from>
    <xdr:to>
      <xdr:col>14</xdr:col>
      <xdr:colOff>502218</xdr:colOff>
      <xdr:row>177</xdr:row>
      <xdr:rowOff>297000</xdr:rowOff>
    </xdr:to>
    <xdr:graphicFrame macro="">
      <xdr:nvGraphicFramePr>
        <xdr:cNvPr id="17" name="Gráfico 16">
          <a:extLst>
            <a:ext uri="{FF2B5EF4-FFF2-40B4-BE49-F238E27FC236}">
              <a16:creationId xmlns:a16="http://schemas.microsoft.com/office/drawing/2014/main" id="{F6A04B9F-99CC-4E00-861B-3987BE0018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1210470</xdr:colOff>
      <xdr:row>174</xdr:row>
      <xdr:rowOff>31753</xdr:rowOff>
    </xdr:from>
    <xdr:to>
      <xdr:col>16</xdr:col>
      <xdr:colOff>248220</xdr:colOff>
      <xdr:row>177</xdr:row>
      <xdr:rowOff>328753</xdr:rowOff>
    </xdr:to>
    <xdr:graphicFrame macro="">
      <xdr:nvGraphicFramePr>
        <xdr:cNvPr id="18" name="Gráfico 17">
          <a:extLst>
            <a:ext uri="{FF2B5EF4-FFF2-40B4-BE49-F238E27FC236}">
              <a16:creationId xmlns:a16="http://schemas.microsoft.com/office/drawing/2014/main" id="{57728CCA-B5AC-46E8-9261-E679359C7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877094</xdr:colOff>
      <xdr:row>174</xdr:row>
      <xdr:rowOff>47626</xdr:rowOff>
    </xdr:from>
    <xdr:to>
      <xdr:col>17</xdr:col>
      <xdr:colOff>1057844</xdr:colOff>
      <xdr:row>177</xdr:row>
      <xdr:rowOff>344626</xdr:rowOff>
    </xdr:to>
    <xdr:graphicFrame macro="">
      <xdr:nvGraphicFramePr>
        <xdr:cNvPr id="19" name="Gráfico 18">
          <a:extLst>
            <a:ext uri="{FF2B5EF4-FFF2-40B4-BE49-F238E27FC236}">
              <a16:creationId xmlns:a16="http://schemas.microsoft.com/office/drawing/2014/main" id="{ACAFA0C2-1979-4A1C-94E6-C4C8E75E1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165</xdr:row>
      <xdr:rowOff>0</xdr:rowOff>
    </xdr:from>
    <xdr:to>
      <xdr:col>14</xdr:col>
      <xdr:colOff>502218</xdr:colOff>
      <xdr:row>168</xdr:row>
      <xdr:rowOff>297000</xdr:rowOff>
    </xdr:to>
    <xdr:graphicFrame macro="">
      <xdr:nvGraphicFramePr>
        <xdr:cNvPr id="20" name="Gráfico 19">
          <a:extLst>
            <a:ext uri="{FF2B5EF4-FFF2-40B4-BE49-F238E27FC236}">
              <a16:creationId xmlns:a16="http://schemas.microsoft.com/office/drawing/2014/main" id="{87641DEE-7B6B-476A-804A-11E664B2E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1202644</xdr:colOff>
      <xdr:row>165</xdr:row>
      <xdr:rowOff>56696</xdr:rowOff>
    </xdr:from>
    <xdr:to>
      <xdr:col>16</xdr:col>
      <xdr:colOff>240394</xdr:colOff>
      <xdr:row>168</xdr:row>
      <xdr:rowOff>353696</xdr:rowOff>
    </xdr:to>
    <xdr:graphicFrame macro="">
      <xdr:nvGraphicFramePr>
        <xdr:cNvPr id="21" name="Gráfico 20">
          <a:extLst>
            <a:ext uri="{FF2B5EF4-FFF2-40B4-BE49-F238E27FC236}">
              <a16:creationId xmlns:a16="http://schemas.microsoft.com/office/drawing/2014/main" id="{5C57134E-E028-43A2-830C-5CAD91117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932770</xdr:colOff>
      <xdr:row>165</xdr:row>
      <xdr:rowOff>138339</xdr:rowOff>
    </xdr:from>
    <xdr:to>
      <xdr:col>17</xdr:col>
      <xdr:colOff>1113520</xdr:colOff>
      <xdr:row>169</xdr:row>
      <xdr:rowOff>54339</xdr:rowOff>
    </xdr:to>
    <xdr:graphicFrame macro="">
      <xdr:nvGraphicFramePr>
        <xdr:cNvPr id="24" name="Gráfico 23">
          <a:extLst>
            <a:ext uri="{FF2B5EF4-FFF2-40B4-BE49-F238E27FC236}">
              <a16:creationId xmlns:a16="http://schemas.microsoft.com/office/drawing/2014/main" id="{2E4C2E1B-C211-442C-B80D-816E7C929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154</xdr:row>
      <xdr:rowOff>23811</xdr:rowOff>
    </xdr:from>
    <xdr:to>
      <xdr:col>14</xdr:col>
      <xdr:colOff>502218</xdr:colOff>
      <xdr:row>157</xdr:row>
      <xdr:rowOff>320811</xdr:rowOff>
    </xdr:to>
    <xdr:graphicFrame macro="">
      <xdr:nvGraphicFramePr>
        <xdr:cNvPr id="30" name="Gráfico 29">
          <a:extLst>
            <a:ext uri="{FF2B5EF4-FFF2-40B4-BE49-F238E27FC236}">
              <a16:creationId xmlns:a16="http://schemas.microsoft.com/office/drawing/2014/main" id="{B1FEDFBC-0A31-46EA-BA46-CF18D0C20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1206499</xdr:colOff>
      <xdr:row>154</xdr:row>
      <xdr:rowOff>0</xdr:rowOff>
    </xdr:from>
    <xdr:to>
      <xdr:col>16</xdr:col>
      <xdr:colOff>244249</xdr:colOff>
      <xdr:row>157</xdr:row>
      <xdr:rowOff>297000</xdr:rowOff>
    </xdr:to>
    <xdr:graphicFrame macro="">
      <xdr:nvGraphicFramePr>
        <xdr:cNvPr id="34" name="Gráfico 33">
          <a:extLst>
            <a:ext uri="{FF2B5EF4-FFF2-40B4-BE49-F238E27FC236}">
              <a16:creationId xmlns:a16="http://schemas.microsoft.com/office/drawing/2014/main" id="{1D6B0A9E-0388-4139-A4AC-716817E10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952499</xdr:colOff>
      <xdr:row>154</xdr:row>
      <xdr:rowOff>7937</xdr:rowOff>
    </xdr:from>
    <xdr:to>
      <xdr:col>17</xdr:col>
      <xdr:colOff>1133249</xdr:colOff>
      <xdr:row>157</xdr:row>
      <xdr:rowOff>304937</xdr:rowOff>
    </xdr:to>
    <xdr:graphicFrame macro="">
      <xdr:nvGraphicFramePr>
        <xdr:cNvPr id="36" name="Gráfico 35">
          <a:extLst>
            <a:ext uri="{FF2B5EF4-FFF2-40B4-BE49-F238E27FC236}">
              <a16:creationId xmlns:a16="http://schemas.microsoft.com/office/drawing/2014/main" id="{851DEA24-F561-4986-9109-EC378E36BF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142</xdr:row>
      <xdr:rowOff>130174</xdr:rowOff>
    </xdr:from>
    <xdr:to>
      <xdr:col>14</xdr:col>
      <xdr:colOff>502218</xdr:colOff>
      <xdr:row>146</xdr:row>
      <xdr:rowOff>46174</xdr:rowOff>
    </xdr:to>
    <xdr:graphicFrame macro="">
      <xdr:nvGraphicFramePr>
        <xdr:cNvPr id="38" name="Gráfico 37">
          <a:extLst>
            <a:ext uri="{FF2B5EF4-FFF2-40B4-BE49-F238E27FC236}">
              <a16:creationId xmlns:a16="http://schemas.microsoft.com/office/drawing/2014/main" id="{2160EA85-B235-4C68-A438-0172CB07A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1076325</xdr:colOff>
      <xdr:row>142</xdr:row>
      <xdr:rowOff>96838</xdr:rowOff>
    </xdr:from>
    <xdr:to>
      <xdr:col>16</xdr:col>
      <xdr:colOff>114075</xdr:colOff>
      <xdr:row>146</xdr:row>
      <xdr:rowOff>12838</xdr:rowOff>
    </xdr:to>
    <xdr:graphicFrame macro="">
      <xdr:nvGraphicFramePr>
        <xdr:cNvPr id="40" name="Gráfico 39">
          <a:extLst>
            <a:ext uri="{FF2B5EF4-FFF2-40B4-BE49-F238E27FC236}">
              <a16:creationId xmlns:a16="http://schemas.microsoft.com/office/drawing/2014/main" id="{0FD80DFE-FC00-488C-ABAF-05E3C62386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831849</xdr:colOff>
      <xdr:row>142</xdr:row>
      <xdr:rowOff>95250</xdr:rowOff>
    </xdr:from>
    <xdr:to>
      <xdr:col>17</xdr:col>
      <xdr:colOff>1012599</xdr:colOff>
      <xdr:row>146</xdr:row>
      <xdr:rowOff>11250</xdr:rowOff>
    </xdr:to>
    <xdr:graphicFrame macro="">
      <xdr:nvGraphicFramePr>
        <xdr:cNvPr id="42" name="Gráfico 41">
          <a:extLst>
            <a:ext uri="{FF2B5EF4-FFF2-40B4-BE49-F238E27FC236}">
              <a16:creationId xmlns:a16="http://schemas.microsoft.com/office/drawing/2014/main" id="{782CB92B-1F25-406A-A236-D5CB012C9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158750</xdr:colOff>
      <xdr:row>0</xdr:row>
      <xdr:rowOff>254000</xdr:rowOff>
    </xdr:from>
    <xdr:to>
      <xdr:col>2</xdr:col>
      <xdr:colOff>1133300</xdr:colOff>
      <xdr:row>2</xdr:row>
      <xdr:rowOff>341472</xdr:rowOff>
    </xdr:to>
    <xdr:pic>
      <xdr:nvPicPr>
        <xdr:cNvPr id="2" name="Imagen 1">
          <a:extLst>
            <a:ext uri="{FF2B5EF4-FFF2-40B4-BE49-F238E27FC236}">
              <a16:creationId xmlns:a16="http://schemas.microsoft.com/office/drawing/2014/main" id="{AAC4B651-AD92-4AA5-AEA6-CF43BF281E30}"/>
            </a:ext>
          </a:extLst>
        </xdr:cNvPr>
        <xdr:cNvPicPr>
          <a:picLocks noChangeAspect="1"/>
        </xdr:cNvPicPr>
      </xdr:nvPicPr>
      <xdr:blipFill>
        <a:blip xmlns:r="http://schemas.openxmlformats.org/officeDocument/2006/relationships" r:embed="rId16"/>
        <a:stretch>
          <a:fillRect/>
        </a:stretch>
      </xdr:blipFill>
      <xdr:spPr>
        <a:xfrm>
          <a:off x="1206500" y="254000"/>
          <a:ext cx="2371550" cy="11034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82</xdr:row>
      <xdr:rowOff>192983</xdr:rowOff>
    </xdr:from>
    <xdr:ext cx="65" cy="172227"/>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77</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0" i="0">
                  <a:solidFill>
                    <a:schemeClr val="tx1"/>
                  </a:solidFill>
                  <a:effectLst/>
                  <a:latin typeface="Cambria Math" panose="02040503050406030204" pitchFamily="18" charset="0"/>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76</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82</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79</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80</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84</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804334</xdr:colOff>
      <xdr:row>98</xdr:row>
      <xdr:rowOff>31750</xdr:rowOff>
    </xdr:from>
    <xdr:ext cx="1309998" cy="54871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478345</xdr:colOff>
      <xdr:row>95</xdr:row>
      <xdr:rowOff>629815</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48559" y="4304327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48559" y="4304327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91</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75242" cy="5154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eqArr>
                          <m:eqArrPr>
                            <m:ctrlPr>
                              <a:rPr lang="es-CO" sz="1050" i="1">
                                <a:solidFill>
                                  <a:schemeClr val="tx1"/>
                                </a:solidFill>
                                <a:effectLst/>
                                <a:latin typeface="Cambria Math" panose="02040503050406030204" pitchFamily="18" charset="0"/>
                                <a:ea typeface="+mn-ea"/>
                                <a:cs typeface="+mn-cs"/>
                              </a:rPr>
                            </m:ctrlPr>
                          </m:eqArr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90</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93</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94</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95</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oneCellAnchor>
    <xdr:from>
      <xdr:col>15</xdr:col>
      <xdr:colOff>628650</xdr:colOff>
      <xdr:row>97</xdr:row>
      <xdr:rowOff>0</xdr:rowOff>
    </xdr:from>
    <xdr:ext cx="65" cy="172227"/>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75</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85</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81</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panose="02040503050406030204" pitchFamily="18" charset="0"/>
                          </a:rPr>
                        </m:ctrlPr>
                      </m:fPr>
                      <m:num>
                        <m:r>
                          <a:rPr lang="es-MX" sz="1100" b="0" i="1">
                            <a:latin typeface="Cambria Math" panose="02040503050406030204" pitchFamily="18" charset="0"/>
                          </a:rPr>
                          <m:t>𝐷</m:t>
                        </m:r>
                      </m:num>
                      <m:den>
                        <m:rad>
                          <m:radPr>
                            <m:degHide m:val="on"/>
                            <m:ctrlPr>
                              <a:rPr lang="es-MX" sz="1100" b="0" i="1">
                                <a:latin typeface="Cambria Math" panose="02040503050406030204" pitchFamily="18" charset="0"/>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panose="02040503050406030204" pitchFamily="18" charset="0"/>
                  <a:ea typeface="Cambria Math" panose="02040503050406030204" pitchFamily="18" charset="0"/>
                </a:rPr>
                <a:t>𝛿𝑚〗_</a:t>
              </a:r>
              <a:r>
                <a:rPr lang="es-MX" sz="1100" b="0" i="0">
                  <a:latin typeface="Cambria Math" panose="02040503050406030204" pitchFamily="18" charset="0"/>
                </a:rPr>
                <a:t>𝐷 )=𝐷⁄√3</a:t>
              </a:r>
              <a:endParaRPr lang="es-CO" sz="1100" b="0"/>
            </a:p>
          </xdr:txBody>
        </xdr:sp>
      </mc:Fallback>
    </mc:AlternateContent>
    <xdr:clientData/>
  </xdr:oneCellAnchor>
  <xdr:twoCellAnchor>
    <xdr:from>
      <xdr:col>13</xdr:col>
      <xdr:colOff>27896</xdr:colOff>
      <xdr:row>71</xdr:row>
      <xdr:rowOff>495300</xdr:rowOff>
    </xdr:from>
    <xdr:to>
      <xdr:col>16</xdr:col>
      <xdr:colOff>939800</xdr:colOff>
      <xdr:row>76</xdr:row>
      <xdr:rowOff>113391</xdr:rowOff>
    </xdr:to>
    <xdr:graphicFrame macro="">
      <xdr:nvGraphicFramePr>
        <xdr:cNvPr id="19" name="Gráfico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428626</xdr:colOff>
      <xdr:row>0</xdr:row>
      <xdr:rowOff>95250</xdr:rowOff>
    </xdr:from>
    <xdr:to>
      <xdr:col>2</xdr:col>
      <xdr:colOff>559255</xdr:colOff>
      <xdr:row>2</xdr:row>
      <xdr:rowOff>322693</xdr:rowOff>
    </xdr:to>
    <xdr:pic>
      <xdr:nvPicPr>
        <xdr:cNvPr id="50" name="29 Imagen">
          <a:extLst>
            <a:ext uri="{FF2B5EF4-FFF2-40B4-BE49-F238E27FC236}">
              <a16:creationId xmlns:a16="http://schemas.microsoft.com/office/drawing/2014/main" id="{3AD7F9E1-0A28-4DF5-8790-A5AB870567B1}"/>
            </a:ext>
          </a:extLst>
        </xdr:cNvPr>
        <xdr:cNvPicPr>
          <a:picLocks noChangeAspect="1"/>
        </xdr:cNvPicPr>
      </xdr:nvPicPr>
      <xdr:blipFill>
        <a:blip xmlns:r="http://schemas.openxmlformats.org/officeDocument/2006/relationships" r:embed="rId3"/>
        <a:stretch>
          <a:fillRect/>
        </a:stretch>
      </xdr:blipFill>
      <xdr:spPr>
        <a:xfrm>
          <a:off x="428626" y="95250"/>
          <a:ext cx="2372179" cy="1108506"/>
        </a:xfrm>
        <a:prstGeom prst="rect">
          <a:avLst/>
        </a:prstGeom>
      </xdr:spPr>
    </xdr:pic>
    <xdr:clientData/>
  </xdr:twoCellAnchor>
  <xdr:twoCellAnchor editAs="oneCell">
    <xdr:from>
      <xdr:col>7</xdr:col>
      <xdr:colOff>1047749</xdr:colOff>
      <xdr:row>32</xdr:row>
      <xdr:rowOff>321469</xdr:rowOff>
    </xdr:from>
    <xdr:to>
      <xdr:col>12</xdr:col>
      <xdr:colOff>181768</xdr:colOff>
      <xdr:row>37</xdr:row>
      <xdr:rowOff>344197</xdr:rowOff>
    </xdr:to>
    <xdr:pic>
      <xdr:nvPicPr>
        <xdr:cNvPr id="59" name="Imagen 58" descr="Calibración de básculas- Cómo calibrar instrumentos de pesaje">
          <a:extLst>
            <a:ext uri="{FF2B5EF4-FFF2-40B4-BE49-F238E27FC236}">
              <a16:creationId xmlns:a16="http://schemas.microsoft.com/office/drawing/2014/main" id="{2A5C56B2-9B7E-F220-26B6-B680E2842CD7}"/>
            </a:ext>
          </a:extLst>
        </xdr:cNvPr>
        <xdr:cNvPicPr>
          <a:picLocks noChangeAspect="1" noChangeArrowheads="1"/>
        </xdr:cNvPicPr>
      </xdr:nvPicPr>
      <xdr:blipFill>
        <a:blip xmlns:r="http://schemas.openxmlformats.org/officeDocument/2006/relationships" r:embed="rId4">
          <a:alphaModFix/>
          <a:duotone>
            <a:prstClr val="black"/>
            <a:schemeClr val="accent6">
              <a:lumMod val="20000"/>
              <a:lumOff val="80000"/>
              <a:tint val="45000"/>
              <a:satMod val="400000"/>
            </a:schemeClr>
          </a:duotone>
          <a:extLst>
            <a:ext uri="{BEBA8EAE-BF5A-486C-A8C5-ECC9F3942E4B}">
              <a14:imgProps xmlns:a14="http://schemas.microsoft.com/office/drawing/2010/main">
                <a14:imgLayer r:embed="rId5">
                  <a14:imgEffect>
                    <a14:saturation sat="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9120187" y="14216063"/>
          <a:ext cx="4905375" cy="222538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316567</xdr:colOff>
      <xdr:row>74</xdr:row>
      <xdr:rowOff>84310</xdr:rowOff>
    </xdr:from>
    <xdr:ext cx="2090505" cy="214044"/>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id="{DCF0C6D7-2379-4045-A0A7-48365CC813A1}"/>
                </a:ext>
              </a:extLst>
            </xdr:cNvPr>
            <xdr:cNvSpPr txBox="1"/>
          </xdr:nvSpPr>
          <xdr:spPr>
            <a:xfrm>
              <a:off x="2656996" y="32482917"/>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b>
                      <m:sSubPr>
                        <m:ctrlPr>
                          <a:rPr lang="es-CO" sz="1400" b="0" i="1">
                            <a:solidFill>
                              <a:schemeClr val="tx1"/>
                            </a:solidFill>
                            <a:effectLst/>
                            <a:latin typeface="Cambria Math" panose="02040503050406030204" pitchFamily="18" charset="0"/>
                            <a:ea typeface="+mn-ea"/>
                            <a:cs typeface="+mn-cs"/>
                          </a:rPr>
                        </m:ctrlPr>
                      </m:sSubPr>
                      <m:e>
                        <m:r>
                          <a:rPr lang="es-ES" sz="1400" b="0" i="1">
                            <a:solidFill>
                              <a:schemeClr val="tx1"/>
                            </a:solidFill>
                            <a:effectLst/>
                            <a:latin typeface="Cambria Math" panose="02040503050406030204" pitchFamily="18" charset="0"/>
                            <a:ea typeface="+mn-ea"/>
                            <a:cs typeface="+mn-cs"/>
                          </a:rPr>
                          <m:t>𝑢</m:t>
                        </m:r>
                        <m:r>
                          <a:rPr lang="es-ES" sz="1400" b="0">
                            <a:solidFill>
                              <a:schemeClr val="tx1"/>
                            </a:solidFill>
                            <a:effectLst/>
                            <a:latin typeface="Cambria Math" panose="02040503050406030204" pitchFamily="18" charset="0"/>
                            <a:ea typeface="+mn-ea"/>
                            <a:cs typeface="+mn-cs"/>
                          </a:rPr>
                          <m:t>(</m:t>
                        </m:r>
                        <m:r>
                          <a:rPr lang="es-ES" sz="1400" b="0" i="1">
                            <a:solidFill>
                              <a:schemeClr val="tx1"/>
                            </a:solidFill>
                            <a:effectLst/>
                            <a:latin typeface="Cambria Math" panose="02040503050406030204" pitchFamily="18" charset="0"/>
                            <a:ea typeface="+mn-ea"/>
                            <a:cs typeface="+mn-cs"/>
                          </a:rPr>
                          <m:t>𝛿</m:t>
                        </m:r>
                      </m:e>
                      <m:sub>
                        <m:r>
                          <a:rPr lang="es-MX" sz="1400" b="0" i="1">
                            <a:solidFill>
                              <a:schemeClr val="tx1"/>
                            </a:solidFill>
                            <a:effectLst/>
                            <a:latin typeface="Cambria Math" panose="02040503050406030204" pitchFamily="18" charset="0"/>
                            <a:ea typeface="+mn-ea"/>
                            <a:cs typeface="+mn-cs"/>
                          </a:rPr>
                          <m:t>𝑚</m:t>
                        </m:r>
                        <m:r>
                          <a:rPr lang="es-CO" sz="1400" b="0" i="1">
                            <a:solidFill>
                              <a:schemeClr val="tx1"/>
                            </a:solidFill>
                            <a:effectLst/>
                            <a:latin typeface="Cambria Math" panose="02040503050406030204" pitchFamily="18" charset="0"/>
                            <a:ea typeface="+mn-ea"/>
                            <a:cs typeface="+mn-cs"/>
                          </a:rPr>
                          <m:t>𝑟</m:t>
                        </m:r>
                      </m:sub>
                    </m:sSub>
                    <m:r>
                      <a:rPr lang="es-ES" sz="1400" b="0">
                        <a:solidFill>
                          <a:schemeClr val="tx1"/>
                        </a:solidFill>
                        <a:effectLst/>
                        <a:latin typeface="Cambria Math" panose="02040503050406030204" pitchFamily="18" charset="0"/>
                        <a:ea typeface="+mn-ea"/>
                        <a:cs typeface="+mn-cs"/>
                      </a:rPr>
                      <m:t>)=(</m:t>
                    </m:r>
                    <m:r>
                      <a:rPr lang="es-ES" sz="1100" b="0" i="1">
                        <a:solidFill>
                          <a:schemeClr val="tx1"/>
                        </a:solidFill>
                        <a:effectLst/>
                        <a:latin typeface="Cambria Math" panose="02040503050406030204" pitchFamily="18" charset="0"/>
                        <a:ea typeface="+mn-ea"/>
                        <a:cs typeface="+mn-cs"/>
                      </a:rPr>
                      <m:t>𝛿</m:t>
                    </m:r>
                    <m:r>
                      <a:rPr lang="es-ES" sz="1100" b="0" i="1">
                        <a:solidFill>
                          <a:schemeClr val="tx1"/>
                        </a:solidFill>
                        <a:effectLst/>
                        <a:latin typeface="Cambria Math" panose="02040503050406030204" pitchFamily="18" charset="0"/>
                        <a:ea typeface="+mn-ea"/>
                        <a:cs typeface="+mn-cs"/>
                      </a:rPr>
                      <m:t>𝐼</m:t>
                    </m:r>
                    <m:r>
                      <a:rPr lang="es-ES" sz="1400" b="0">
                        <a:solidFill>
                          <a:schemeClr val="tx1"/>
                        </a:solidFill>
                        <a:effectLst/>
                        <a:latin typeface="Cambria Math" panose="02040503050406030204" pitchFamily="18" charset="0"/>
                        <a:ea typeface="+mn-ea"/>
                        <a:cs typeface="+mn-cs"/>
                      </a:rPr>
                      <m:t>)⁄</m:t>
                    </m:r>
                    <m:rad>
                      <m:radPr>
                        <m:degHide m:val="on"/>
                        <m:ctrlPr>
                          <a:rPr lang="es-CO" sz="1400" b="0" i="1">
                            <a:solidFill>
                              <a:schemeClr val="tx1"/>
                            </a:solidFill>
                            <a:effectLst/>
                            <a:latin typeface="Cambria Math" panose="02040503050406030204" pitchFamily="18" charset="0"/>
                            <a:ea typeface="+mn-ea"/>
                            <a:cs typeface="+mn-cs"/>
                          </a:rPr>
                        </m:ctrlPr>
                      </m:radPr>
                      <m:deg/>
                      <m:e>
                        <m:r>
                          <a:rPr lang="es-CO" sz="1400" b="0" i="1">
                            <a:solidFill>
                              <a:schemeClr val="tx1"/>
                            </a:solidFill>
                            <a:effectLst/>
                            <a:latin typeface="Cambria Math" panose="02040503050406030204" pitchFamily="18" charset="0"/>
                            <a:ea typeface="+mn-ea"/>
                            <a:cs typeface="+mn-cs"/>
                          </a:rPr>
                          <m:t>𝐺</m:t>
                        </m:r>
                      </m:e>
                    </m:rad>
                  </m:oMath>
                </m:oMathPara>
              </a14:m>
              <a:endParaRPr lang="es-CO" sz="1050" b="0">
                <a:solidFill>
                  <a:schemeClr val="tx1"/>
                </a:solidFill>
                <a:effectLst/>
                <a:latin typeface="+mn-lt"/>
                <a:ea typeface="+mn-ea"/>
                <a:cs typeface="+mn-cs"/>
              </a:endParaRPr>
            </a:p>
          </xdr:txBody>
        </xdr:sp>
      </mc:Choice>
      <mc:Fallback xmlns="">
        <xdr:sp macro="" textlink="">
          <xdr:nvSpPr>
            <xdr:cNvPr id="54" name="CuadroTexto 53">
              <a:extLst>
                <a:ext uri="{FF2B5EF4-FFF2-40B4-BE49-F238E27FC236}">
                  <a16:creationId xmlns:a16="http://schemas.microsoft.com/office/drawing/2014/main" id="{DCF0C6D7-2379-4045-A0A7-48365CC813A1}"/>
                </a:ext>
              </a:extLst>
            </xdr:cNvPr>
            <xdr:cNvSpPr txBox="1"/>
          </xdr:nvSpPr>
          <xdr:spPr>
            <a:xfrm>
              <a:off x="2656996" y="32482917"/>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400" b="0" i="0">
                  <a:solidFill>
                    <a:schemeClr val="tx1"/>
                  </a:solidFill>
                  <a:effectLst/>
                  <a:latin typeface="Cambria Math" panose="02040503050406030204" pitchFamily="18" charset="0"/>
                  <a:ea typeface="+mn-ea"/>
                  <a:cs typeface="+mn-cs"/>
                </a:rPr>
                <a:t>〖</a:t>
              </a:r>
              <a:r>
                <a:rPr lang="es-ES" sz="1400" b="0" i="0">
                  <a:solidFill>
                    <a:schemeClr val="tx1"/>
                  </a:solidFill>
                  <a:effectLst/>
                  <a:latin typeface="Cambria Math" panose="02040503050406030204" pitchFamily="18" charset="0"/>
                  <a:ea typeface="+mn-ea"/>
                  <a:cs typeface="+mn-cs"/>
                </a:rPr>
                <a:t>𝑢(𝛿</a:t>
              </a:r>
              <a:r>
                <a:rPr lang="es-CO" sz="1400" b="0" i="0">
                  <a:solidFill>
                    <a:schemeClr val="tx1"/>
                  </a:solidFill>
                  <a:effectLst/>
                  <a:latin typeface="Cambria Math" panose="02040503050406030204" pitchFamily="18" charset="0"/>
                  <a:ea typeface="+mn-ea"/>
                  <a:cs typeface="+mn-cs"/>
                </a:rPr>
                <a:t>〗_</a:t>
              </a:r>
              <a:r>
                <a:rPr lang="es-MX" sz="1400" b="0" i="0">
                  <a:solidFill>
                    <a:schemeClr val="tx1"/>
                  </a:solidFill>
                  <a:effectLst/>
                  <a:latin typeface="Cambria Math" panose="02040503050406030204" pitchFamily="18" charset="0"/>
                  <a:ea typeface="+mn-ea"/>
                  <a:cs typeface="+mn-cs"/>
                </a:rPr>
                <a:t>𝑚</a:t>
              </a:r>
              <a:r>
                <a:rPr lang="es-CO" sz="1400" b="0" i="0">
                  <a:solidFill>
                    <a:schemeClr val="tx1"/>
                  </a:solidFill>
                  <a:effectLst/>
                  <a:latin typeface="Cambria Math" panose="02040503050406030204" pitchFamily="18" charset="0"/>
                  <a:ea typeface="+mn-ea"/>
                  <a:cs typeface="+mn-cs"/>
                </a:rPr>
                <a:t>𝑟</a:t>
              </a:r>
              <a:r>
                <a:rPr lang="es-ES" sz="1400" b="0" i="0">
                  <a:solidFill>
                    <a:schemeClr val="tx1"/>
                  </a:solidFill>
                  <a:effectLst/>
                  <a:latin typeface="Cambria Math" panose="02040503050406030204" pitchFamily="18" charset="0"/>
                  <a:ea typeface="+mn-ea"/>
                  <a:cs typeface="+mn-cs"/>
                </a:rPr>
                <a:t>)=(</a:t>
              </a:r>
              <a:r>
                <a:rPr lang="es-ES" sz="1100" b="0" i="0">
                  <a:solidFill>
                    <a:schemeClr val="tx1"/>
                  </a:solidFill>
                  <a:effectLst/>
                  <a:latin typeface="Cambria Math" panose="02040503050406030204" pitchFamily="18" charset="0"/>
                  <a:ea typeface="+mn-ea"/>
                  <a:cs typeface="+mn-cs"/>
                </a:rPr>
                <a:t>𝛿𝐼</a:t>
              </a:r>
              <a:r>
                <a:rPr lang="es-ES" sz="1400" b="0" i="0">
                  <a:solidFill>
                    <a:schemeClr val="tx1"/>
                  </a:solidFill>
                  <a:effectLst/>
                  <a:latin typeface="Cambria Math" panose="02040503050406030204" pitchFamily="18" charset="0"/>
                  <a:ea typeface="+mn-ea"/>
                  <a:cs typeface="+mn-cs"/>
                </a:rPr>
                <a:t>)⁄</a:t>
              </a:r>
              <a:r>
                <a:rPr lang="es-CO" sz="1400" b="0" i="0">
                  <a:solidFill>
                    <a:schemeClr val="tx1"/>
                  </a:solidFill>
                  <a:effectLst/>
                  <a:latin typeface="Cambria Math" panose="02040503050406030204" pitchFamily="18" charset="0"/>
                  <a:ea typeface="+mn-ea"/>
                  <a:cs typeface="+mn-cs"/>
                </a:rPr>
                <a:t>√𝐺</a:t>
              </a:r>
              <a:endParaRPr lang="es-CO" sz="1050" b="0">
                <a:solidFill>
                  <a:schemeClr val="tx1"/>
                </a:solidFill>
                <a:effectLst/>
                <a:latin typeface="+mn-lt"/>
                <a:ea typeface="+mn-ea"/>
                <a:cs typeface="+mn-cs"/>
              </a:endParaRPr>
            </a:p>
          </xdr:txBody>
        </xdr:sp>
      </mc:Fallback>
    </mc:AlternateContent>
    <xdr:clientData/>
  </xdr:oneCellAnchor>
  <xdr:oneCellAnchor>
    <xdr:from>
      <xdr:col>3</xdr:col>
      <xdr:colOff>923948</xdr:colOff>
      <xdr:row>89</xdr:row>
      <xdr:rowOff>116827</xdr:rowOff>
    </xdr:from>
    <xdr:ext cx="650819" cy="188385"/>
    <mc:AlternateContent xmlns:mc="http://schemas.openxmlformats.org/markup-compatibility/2006" xmlns:a14="http://schemas.microsoft.com/office/drawing/2010/main">
      <mc:Choice Requires="a14">
        <xdr:sp macro="" textlink="">
          <xdr:nvSpPr>
            <xdr:cNvPr id="60" name="CuadroTexto 37">
              <a:extLst>
                <a:ext uri="{FF2B5EF4-FFF2-40B4-BE49-F238E27FC236}">
                  <a16:creationId xmlns:a16="http://schemas.microsoft.com/office/drawing/2014/main" id="{2CF53B00-8490-4D15-BEB9-53C4D7E64C31}"/>
                </a:ext>
              </a:extLst>
            </xdr:cNvPr>
            <xdr:cNvSpPr txBox="1"/>
          </xdr:nvSpPr>
          <xdr:spPr>
            <a:xfrm>
              <a:off x="4435498" y="39740827"/>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sSub>
                      <m:sSubPr>
                        <m:ctrlPr>
                          <a:rPr lang="es-CO" sz="1100" b="1" i="1">
                            <a:solidFill>
                              <a:schemeClr val="tx1"/>
                            </a:solidFill>
                            <a:effectLst/>
                            <a:latin typeface="Cambria Math" panose="02040503050406030204" pitchFamily="18" charset="0"/>
                            <a:ea typeface="+mn-ea"/>
                            <a:cs typeface="+mn-cs"/>
                          </a:rPr>
                        </m:ctrlPr>
                      </m:sSubPr>
                      <m:e>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ES" sz="1100" b="1">
                        <a:solidFill>
                          <a:schemeClr val="tx1"/>
                        </a:solidFill>
                        <a:effectLst/>
                        <a:latin typeface="Cambria Math"/>
                        <a:ea typeface="+mn-ea"/>
                        <a:cs typeface="+mn-cs"/>
                      </a:rPr>
                      <m:t>)</m:t>
                    </m:r>
                  </m:oMath>
                </m:oMathPara>
              </a14:m>
              <a:endParaRPr lang="es-CO" sz="1100">
                <a:solidFill>
                  <a:schemeClr val="tx1"/>
                </a:solidFill>
              </a:endParaRPr>
            </a:p>
          </xdr:txBody>
        </xdr:sp>
      </mc:Choice>
      <mc:Fallback xmlns="">
        <xdr:sp macro="" textlink="">
          <xdr:nvSpPr>
            <xdr:cNvPr id="60" name="CuadroTexto 37">
              <a:extLst>
                <a:ext uri="{FF2B5EF4-FFF2-40B4-BE49-F238E27FC236}">
                  <a16:creationId xmlns:a16="http://schemas.microsoft.com/office/drawing/2014/main" id="{2CF53B00-8490-4D15-BEB9-53C4D7E64C31}"/>
                </a:ext>
              </a:extLst>
            </xdr:cNvPr>
            <xdr:cNvSpPr txBox="1"/>
          </xdr:nvSpPr>
          <xdr:spPr>
            <a:xfrm>
              <a:off x="4435498" y="39740827"/>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1" i="0">
                  <a:solidFill>
                    <a:schemeClr val="tx1"/>
                  </a:solidFill>
                  <a:effectLst/>
                  <a:latin typeface="Cambria Math" panose="02040503050406030204" pitchFamily="18" charset="0"/>
                  <a:ea typeface="+mn-ea"/>
                  <a:cs typeface="+mn-cs"/>
                </a:rPr>
                <a:t> 〖</a:t>
              </a:r>
              <a:r>
                <a:rPr lang="es-ES" sz="1100" b="1" i="0">
                  <a:solidFill>
                    <a:schemeClr val="tx1"/>
                  </a:solidFill>
                  <a:effectLst/>
                  <a:latin typeface="Cambria Math"/>
                  <a:ea typeface="+mn-ea"/>
                  <a:cs typeface="+mn-cs"/>
                </a:rPr>
                <a:t>(𝜹</a:t>
              </a:r>
              <a:r>
                <a:rPr lang="es-CO" sz="1100" b="1" i="0">
                  <a:solidFill>
                    <a:schemeClr val="tx1"/>
                  </a:solidFill>
                  <a:effectLst/>
                  <a:latin typeface="Cambria Math" panose="02040503050406030204" pitchFamily="18" charset="0"/>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ES" sz="1100" b="1" i="0">
                  <a:solidFill>
                    <a:schemeClr val="tx1"/>
                  </a:solidFill>
                  <a:effectLst/>
                  <a:latin typeface="Cambria Math"/>
                  <a:ea typeface="+mn-ea"/>
                  <a:cs typeface="+mn-cs"/>
                </a:rPr>
                <a:t>)</a:t>
              </a:r>
              <a:endParaRPr lang="es-CO" sz="1100">
                <a:solidFill>
                  <a:schemeClr val="tx1"/>
                </a:solidFill>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74840</xdr:colOff>
      <xdr:row>28</xdr:row>
      <xdr:rowOff>530679</xdr:rowOff>
    </xdr:from>
    <xdr:ext cx="1564821" cy="180434"/>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107E8512-D28C-450E-A270-57CFD48279E9}"/>
                </a:ext>
              </a:extLst>
            </xdr:cNvPr>
            <xdr:cNvSpPr txBox="1"/>
          </xdr:nvSpPr>
          <xdr:spPr>
            <a:xfrm>
              <a:off x="6194653" y="2078492"/>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5" name="CuadroTexto 4">
              <a:extLst>
                <a:ext uri="{FF2B5EF4-FFF2-40B4-BE49-F238E27FC236}">
                  <a16:creationId xmlns:a16="http://schemas.microsoft.com/office/drawing/2014/main" id="{107E8512-D28C-450E-A270-57CFD48279E9}"/>
                </a:ext>
              </a:extLst>
            </xdr:cNvPr>
            <xdr:cNvSpPr txBox="1"/>
          </xdr:nvSpPr>
          <xdr:spPr>
            <a:xfrm>
              <a:off x="6194653" y="2078492"/>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51027</xdr:colOff>
      <xdr:row>41</xdr:row>
      <xdr:rowOff>6803</xdr:rowOff>
    </xdr:from>
    <xdr:ext cx="830036" cy="180434"/>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526C5918-2096-45C5-A4DF-5B04C36E0958}"/>
                </a:ext>
              </a:extLst>
            </xdr:cNvPr>
            <xdr:cNvSpPr txBox="1"/>
          </xdr:nvSpPr>
          <xdr:spPr>
            <a:xfrm>
              <a:off x="5250090" y="12611553"/>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7" name="CuadroTexto 6">
              <a:extLst>
                <a:ext uri="{FF2B5EF4-FFF2-40B4-BE49-F238E27FC236}">
                  <a16:creationId xmlns:a16="http://schemas.microsoft.com/office/drawing/2014/main" id="{526C5918-2096-45C5-A4DF-5B04C36E0958}"/>
                </a:ext>
              </a:extLst>
            </xdr:cNvPr>
            <xdr:cNvSpPr txBox="1"/>
          </xdr:nvSpPr>
          <xdr:spPr>
            <a:xfrm>
              <a:off x="5250090" y="12611553"/>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440531</xdr:colOff>
      <xdr:row>0</xdr:row>
      <xdr:rowOff>46957</xdr:rowOff>
    </xdr:from>
    <xdr:to>
      <xdr:col>2</xdr:col>
      <xdr:colOff>619124</xdr:colOff>
      <xdr:row>0</xdr:row>
      <xdr:rowOff>870388</xdr:rowOff>
    </xdr:to>
    <xdr:pic>
      <xdr:nvPicPr>
        <xdr:cNvPr id="8" name="29 Imagen">
          <a:extLst>
            <a:ext uri="{FF2B5EF4-FFF2-40B4-BE49-F238E27FC236}">
              <a16:creationId xmlns:a16="http://schemas.microsoft.com/office/drawing/2014/main" id="{63E52A61-934E-4C42-8D32-22B03D38F418}"/>
            </a:ext>
          </a:extLst>
        </xdr:cNvPr>
        <xdr:cNvPicPr>
          <a:picLocks noChangeAspect="1"/>
        </xdr:cNvPicPr>
      </xdr:nvPicPr>
      <xdr:blipFill>
        <a:blip xmlns:r="http://schemas.openxmlformats.org/officeDocument/2006/relationships" r:embed="rId1"/>
        <a:stretch>
          <a:fillRect/>
        </a:stretch>
      </xdr:blipFill>
      <xdr:spPr>
        <a:xfrm>
          <a:off x="440531" y="46957"/>
          <a:ext cx="1916906" cy="823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762000</xdr:colOff>
      <xdr:row>12</xdr:row>
      <xdr:rowOff>166687</xdr:rowOff>
    </xdr:from>
    <xdr:to>
      <xdr:col>8</xdr:col>
      <xdr:colOff>970719</xdr:colOff>
      <xdr:row>25</xdr:row>
      <xdr:rowOff>61375</xdr:rowOff>
    </xdr:to>
    <xdr:graphicFrame macro="">
      <xdr:nvGraphicFramePr>
        <xdr:cNvPr id="7" name="Gráfico 6">
          <a:extLst>
            <a:ext uri="{FF2B5EF4-FFF2-40B4-BE49-F238E27FC236}">
              <a16:creationId xmlns:a16="http://schemas.microsoft.com/office/drawing/2014/main" id="{9B660B56-F3F2-4185-8E24-6B92684805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1063625</xdr:colOff>
      <xdr:row>12</xdr:row>
      <xdr:rowOff>150813</xdr:rowOff>
    </xdr:from>
    <xdr:to>
      <xdr:col>11</xdr:col>
      <xdr:colOff>915156</xdr:colOff>
      <xdr:row>25</xdr:row>
      <xdr:rowOff>45501</xdr:rowOff>
    </xdr:to>
    <xdr:graphicFrame macro="">
      <xdr:nvGraphicFramePr>
        <xdr:cNvPr id="8" name="Gráfico 7">
          <a:extLst>
            <a:ext uri="{FF2B5EF4-FFF2-40B4-BE49-F238E27FC236}">
              <a16:creationId xmlns:a16="http://schemas.microsoft.com/office/drawing/2014/main" id="{0345F3C3-17BE-4724-9D96-21C8D2F8E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1127126</xdr:colOff>
      <xdr:row>12</xdr:row>
      <xdr:rowOff>150813</xdr:rowOff>
    </xdr:from>
    <xdr:to>
      <xdr:col>14</xdr:col>
      <xdr:colOff>756407</xdr:colOff>
      <xdr:row>25</xdr:row>
      <xdr:rowOff>45501</xdr:rowOff>
    </xdr:to>
    <xdr:graphicFrame macro="">
      <xdr:nvGraphicFramePr>
        <xdr:cNvPr id="9" name="Gráfico 8">
          <a:extLst>
            <a:ext uri="{FF2B5EF4-FFF2-40B4-BE49-F238E27FC236}">
              <a16:creationId xmlns:a16="http://schemas.microsoft.com/office/drawing/2014/main" id="{974C04A6-3379-44D2-8E9F-57F05AEF8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769937</xdr:colOff>
      <xdr:row>26</xdr:row>
      <xdr:rowOff>166687</xdr:rowOff>
    </xdr:from>
    <xdr:to>
      <xdr:col>8</xdr:col>
      <xdr:colOff>978656</xdr:colOff>
      <xdr:row>39</xdr:row>
      <xdr:rowOff>61375</xdr:rowOff>
    </xdr:to>
    <xdr:graphicFrame macro="">
      <xdr:nvGraphicFramePr>
        <xdr:cNvPr id="10" name="Gráfico 9">
          <a:extLst>
            <a:ext uri="{FF2B5EF4-FFF2-40B4-BE49-F238E27FC236}">
              <a16:creationId xmlns:a16="http://schemas.microsoft.com/office/drawing/2014/main" id="{62A2DF57-AB76-4C40-9106-D690580E7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134937</xdr:colOff>
      <xdr:row>26</xdr:row>
      <xdr:rowOff>150812</xdr:rowOff>
    </xdr:from>
    <xdr:to>
      <xdr:col>11</xdr:col>
      <xdr:colOff>1073906</xdr:colOff>
      <xdr:row>39</xdr:row>
      <xdr:rowOff>45500</xdr:rowOff>
    </xdr:to>
    <xdr:graphicFrame macro="">
      <xdr:nvGraphicFramePr>
        <xdr:cNvPr id="12" name="Gráfico 11">
          <a:extLst>
            <a:ext uri="{FF2B5EF4-FFF2-40B4-BE49-F238E27FC236}">
              <a16:creationId xmlns:a16="http://schemas.microsoft.com/office/drawing/2014/main" id="{7B67636D-0DFD-461A-9516-AF7A1D497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639537</xdr:colOff>
      <xdr:row>0</xdr:row>
      <xdr:rowOff>195674</xdr:rowOff>
    </xdr:from>
    <xdr:to>
      <xdr:col>3</xdr:col>
      <xdr:colOff>353786</xdr:colOff>
      <xdr:row>2</xdr:row>
      <xdr:rowOff>292077</xdr:rowOff>
    </xdr:to>
    <xdr:pic>
      <xdr:nvPicPr>
        <xdr:cNvPr id="11" name="29 Imagen">
          <a:extLst>
            <a:ext uri="{FF2B5EF4-FFF2-40B4-BE49-F238E27FC236}">
              <a16:creationId xmlns:a16="http://schemas.microsoft.com/office/drawing/2014/main" id="{ABC424D2-45F9-401A-BB9B-6AB5E64BC7A5}"/>
            </a:ext>
          </a:extLst>
        </xdr:cNvPr>
        <xdr:cNvPicPr>
          <a:picLocks noChangeAspect="1"/>
        </xdr:cNvPicPr>
      </xdr:nvPicPr>
      <xdr:blipFill>
        <a:blip xmlns:r="http://schemas.openxmlformats.org/officeDocument/2006/relationships" r:embed="rId6"/>
        <a:stretch>
          <a:fillRect/>
        </a:stretch>
      </xdr:blipFill>
      <xdr:spPr>
        <a:xfrm>
          <a:off x="639537" y="195674"/>
          <a:ext cx="2272392" cy="8584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345282</xdr:colOff>
      <xdr:row>0</xdr:row>
      <xdr:rowOff>53113</xdr:rowOff>
    </xdr:from>
    <xdr:to>
      <xdr:col>1</xdr:col>
      <xdr:colOff>1190625</xdr:colOff>
      <xdr:row>0</xdr:row>
      <xdr:rowOff>1132319</xdr:rowOff>
    </xdr:to>
    <xdr:pic>
      <xdr:nvPicPr>
        <xdr:cNvPr id="3" name="29 Imagen">
          <a:extLst>
            <a:ext uri="{FF2B5EF4-FFF2-40B4-BE49-F238E27FC236}">
              <a16:creationId xmlns:a16="http://schemas.microsoft.com/office/drawing/2014/main" id="{88421597-D06E-46BA-ACB5-AF4F461B8C0D}"/>
            </a:ext>
          </a:extLst>
        </xdr:cNvPr>
        <xdr:cNvPicPr>
          <a:picLocks noChangeAspect="1"/>
        </xdr:cNvPicPr>
      </xdr:nvPicPr>
      <xdr:blipFill>
        <a:blip xmlns:r="http://schemas.openxmlformats.org/officeDocument/2006/relationships" r:embed="rId1"/>
        <a:stretch>
          <a:fillRect/>
        </a:stretch>
      </xdr:blipFill>
      <xdr:spPr>
        <a:xfrm>
          <a:off x="345282" y="53113"/>
          <a:ext cx="2631281" cy="10792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314900</xdr:colOff>
      <xdr:row>60</xdr:row>
      <xdr:rowOff>163809</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20121</xdr:colOff>
      <xdr:row>117</xdr:row>
      <xdr:rowOff>31750</xdr:rowOff>
    </xdr:from>
    <xdr:to>
      <xdr:col>6</xdr:col>
      <xdr:colOff>707941</xdr:colOff>
      <xdr:row>130</xdr:row>
      <xdr:rowOff>54758</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1047151</xdr:colOff>
      <xdr:row>56</xdr:row>
      <xdr:rowOff>159794</xdr:rowOff>
    </xdr:from>
    <xdr:to>
      <xdr:col>6</xdr:col>
      <xdr:colOff>314900</xdr:colOff>
      <xdr:row>59</xdr:row>
      <xdr:rowOff>163808</xdr:rowOff>
    </xdr:to>
    <xdr:pic>
      <xdr:nvPicPr>
        <xdr:cNvPr id="2" name="Imagen 1">
          <a:extLst>
            <a:ext uri="{FF2B5EF4-FFF2-40B4-BE49-F238E27FC236}">
              <a16:creationId xmlns:a16="http://schemas.microsoft.com/office/drawing/2014/main" id="{444F5CF2-841F-4F3D-971C-453444ACE6EA}"/>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5228626" y="20200394"/>
          <a:ext cx="1629949" cy="1147014"/>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96</xdr:row>
      <xdr:rowOff>95983</xdr:rowOff>
    </xdr:from>
    <xdr:ext cx="65" cy="172227"/>
    <xdr:sp macro="" textlink="">
      <xdr:nvSpPr>
        <xdr:cNvPr id="3" name="CuadroTexto 2">
          <a:extLst>
            <a:ext uri="{FF2B5EF4-FFF2-40B4-BE49-F238E27FC236}">
              <a16:creationId xmlns:a16="http://schemas.microsoft.com/office/drawing/2014/main" id="{17884A8C-46A0-4E97-926F-3C6EF02FBFA9}"/>
            </a:ext>
          </a:extLst>
        </xdr:cNvPr>
        <xdr:cNvSpPr txBox="1"/>
      </xdr:nvSpPr>
      <xdr:spPr>
        <a:xfrm>
          <a:off x="228600" y="330810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96</xdr:row>
      <xdr:rowOff>95983</xdr:rowOff>
    </xdr:from>
    <xdr:ext cx="65" cy="172227"/>
    <xdr:sp macro="" textlink="">
      <xdr:nvSpPr>
        <xdr:cNvPr id="4" name="CuadroTexto 3">
          <a:extLst>
            <a:ext uri="{FF2B5EF4-FFF2-40B4-BE49-F238E27FC236}">
              <a16:creationId xmlns:a16="http://schemas.microsoft.com/office/drawing/2014/main" id="{DCFEA0BF-AFF1-4E82-AB45-17873F7F1E2F}"/>
            </a:ext>
          </a:extLst>
        </xdr:cNvPr>
        <xdr:cNvSpPr txBox="1"/>
      </xdr:nvSpPr>
      <xdr:spPr>
        <a:xfrm>
          <a:off x="228600" y="330810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131</xdr:row>
      <xdr:rowOff>86445</xdr:rowOff>
    </xdr:from>
    <xdr:ext cx="3400931" cy="244928"/>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2FFBD448-6890-4A78-8F96-764DAD08ECF1}"/>
                </a:ext>
              </a:extLst>
            </xdr:cNvPr>
            <xdr:cNvSpPr txBox="1"/>
          </xdr:nvSpPr>
          <xdr:spPr>
            <a:xfrm>
              <a:off x="2247819" y="4441579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5" name="CuadroTexto 4">
              <a:extLst>
                <a:ext uri="{FF2B5EF4-FFF2-40B4-BE49-F238E27FC236}">
                  <a16:creationId xmlns:a16="http://schemas.microsoft.com/office/drawing/2014/main" id="{2FFBD448-6890-4A78-8F96-764DAD08ECF1}"/>
                </a:ext>
              </a:extLst>
            </xdr:cNvPr>
            <xdr:cNvSpPr txBox="1"/>
          </xdr:nvSpPr>
          <xdr:spPr>
            <a:xfrm>
              <a:off x="2247819" y="4441579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20121</xdr:colOff>
      <xdr:row>116</xdr:row>
      <xdr:rowOff>31750</xdr:rowOff>
    </xdr:from>
    <xdr:to>
      <xdr:col>6</xdr:col>
      <xdr:colOff>707941</xdr:colOff>
      <xdr:row>129</xdr:row>
      <xdr:rowOff>54758</xdr:rowOff>
    </xdr:to>
    <xdr:graphicFrame macro="">
      <xdr:nvGraphicFramePr>
        <xdr:cNvPr id="6" name="Gráfico 5">
          <a:extLst>
            <a:ext uri="{FF2B5EF4-FFF2-40B4-BE49-F238E27FC236}">
              <a16:creationId xmlns:a16="http://schemas.microsoft.com/office/drawing/2014/main" id="{58F18524-1EDA-491A-8822-284C28DFD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its2sicgov.sharepoint.com/Users/eaguirre/Desktop/Directos/Funcionarios/SISTEMA%20GESTION%20DE%20CALIDAD/Laboratorios%20de%20masas%20y%20volumen%20(RT03)/Calibraciones%20Balanzas/Calibraciones%20casa%20consumidor%20Popayan/CER%200.012%20Casa%20del%20Consumidor%20Popayan.xlsx?BB241053" TargetMode="External"/><Relationship Id="rId1" Type="http://schemas.openxmlformats.org/officeDocument/2006/relationships/externalLinkPath" Target="file:///\\BB241053\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ts2sicgov.sharepoint.com/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Luis Henry Barreto Rojas" id="{D17579F1-7002-4AAA-AAED-5688929B5CF1}" userId="Luis Henry Barreto Roj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H124" dT="2020-08-24T21:24:22.16" personId="{D17579F1-7002-4AAA-AAED-5688929B5CF1}" id="{5C34B39C-EAA2-487A-8A9D-B9A81BD5EEB0}">
    <text>Valor agregado algebraicamente al resultado no corregido de una medición para compensar un error sistemático. Nota: la corrección es igual al error sistemático, con signo negativo.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xlFile://Root/C:/Users/CA32F~1.YAH/AppData/Local/Temp/Rar$DIa0.424/RT03-F12.Vr.1(2017-04-47).xlsx" TargetMode="External"/><Relationship Id="rId1" Type="http://schemas.openxmlformats.org/officeDocument/2006/relationships/externalLinkPath" Target="xlFile://Root/C:/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BO255"/>
  <sheetViews>
    <sheetView showGridLines="0" view="pageBreakPreview" zoomScale="90" zoomScaleNormal="20" zoomScaleSheetLayoutView="90" workbookViewId="0">
      <selection activeCell="E185" sqref="E185:F185"/>
    </sheetView>
  </sheetViews>
  <sheetFormatPr baseColWidth="10" defaultColWidth="15.7109375" defaultRowHeight="18" x14ac:dyDescent="0.2"/>
  <cols>
    <col min="1" max="1" width="15.7109375" style="49"/>
    <col min="2" max="4" width="20.7109375" style="49" customWidth="1"/>
    <col min="5" max="5" width="25.5703125" style="49" customWidth="1"/>
    <col min="6" max="6" width="25" style="49" customWidth="1"/>
    <col min="7" max="7" width="22" style="49" customWidth="1"/>
    <col min="8" max="8" width="20.140625" style="49" customWidth="1"/>
    <col min="9" max="9" width="26.85546875" style="49" customWidth="1"/>
    <col min="10" max="10" width="24.28515625" style="49" customWidth="1"/>
    <col min="11" max="12" width="20.7109375" style="49" customWidth="1"/>
    <col min="13" max="13" width="19.140625" style="49" customWidth="1"/>
    <col min="14" max="14" width="19.42578125" style="49" customWidth="1"/>
    <col min="15" max="16" width="20.7109375" style="50" customWidth="1"/>
    <col min="17" max="17" width="24.28515625" style="50" customWidth="1"/>
    <col min="18" max="21" width="20.7109375" style="50" customWidth="1"/>
    <col min="22" max="22" width="22.140625" style="281" customWidth="1"/>
    <col min="23" max="26" width="20.7109375" style="50" customWidth="1"/>
    <col min="27" max="33" width="20.7109375" style="49" customWidth="1"/>
    <col min="34" max="34" width="19.85546875" style="49" bestFit="1" customWidth="1"/>
    <col min="35" max="38" width="15.85546875" style="49" bestFit="1" customWidth="1"/>
    <col min="39" max="43" width="16" style="49" customWidth="1"/>
    <col min="44" max="47" width="10.7109375" style="49" customWidth="1"/>
    <col min="48" max="48" width="16" style="49" bestFit="1" customWidth="1"/>
    <col min="49" max="49" width="15.85546875" style="49" bestFit="1" customWidth="1"/>
    <col min="50" max="50" width="20.7109375" style="49" bestFit="1" customWidth="1"/>
    <col min="51" max="51" width="15.85546875" style="49" bestFit="1" customWidth="1"/>
    <col min="52" max="52" width="15.7109375" style="49"/>
    <col min="53" max="53" width="20" style="49" customWidth="1"/>
    <col min="54" max="55" width="10.7109375" style="49" customWidth="1"/>
    <col min="56" max="16384" width="15.7109375" style="49"/>
  </cols>
  <sheetData>
    <row r="1" spans="1:26" ht="39.950000000000003" customHeight="1" x14ac:dyDescent="0.2">
      <c r="A1" s="948"/>
      <c r="B1" s="948"/>
      <c r="C1" s="948"/>
      <c r="D1" s="948"/>
      <c r="E1" s="951" t="s">
        <v>0</v>
      </c>
      <c r="F1" s="951"/>
      <c r="G1" s="951"/>
      <c r="H1" s="951"/>
      <c r="I1" s="951"/>
      <c r="J1" s="951"/>
      <c r="K1" s="951"/>
      <c r="L1" s="951"/>
      <c r="M1" s="951"/>
      <c r="N1" s="951"/>
      <c r="O1" s="951"/>
      <c r="P1" s="951"/>
      <c r="Q1" s="951"/>
      <c r="R1" s="951"/>
      <c r="S1" s="951"/>
      <c r="T1" s="951"/>
      <c r="U1" s="951"/>
      <c r="V1" s="951"/>
    </row>
    <row r="2" spans="1:26" ht="39.950000000000003" customHeight="1" x14ac:dyDescent="0.2">
      <c r="A2" s="949"/>
      <c r="B2" s="949"/>
      <c r="C2" s="949"/>
      <c r="D2" s="949"/>
      <c r="E2" s="952"/>
      <c r="F2" s="952"/>
      <c r="G2" s="952"/>
      <c r="H2" s="952"/>
      <c r="I2" s="952"/>
      <c r="J2" s="952"/>
      <c r="K2" s="952"/>
      <c r="L2" s="952"/>
      <c r="M2" s="952"/>
      <c r="N2" s="952"/>
      <c r="O2" s="952"/>
      <c r="P2" s="952"/>
      <c r="Q2" s="952"/>
      <c r="R2" s="952"/>
      <c r="S2" s="952"/>
      <c r="T2" s="952"/>
      <c r="U2" s="952"/>
      <c r="V2" s="952"/>
    </row>
    <row r="3" spans="1:26" ht="39.950000000000003" customHeight="1" thickBot="1" x14ac:dyDescent="0.25">
      <c r="A3" s="950"/>
      <c r="B3" s="950"/>
      <c r="C3" s="950"/>
      <c r="D3" s="950"/>
      <c r="E3" s="953"/>
      <c r="F3" s="953"/>
      <c r="G3" s="953"/>
      <c r="H3" s="953"/>
      <c r="I3" s="953"/>
      <c r="J3" s="953"/>
      <c r="K3" s="953"/>
      <c r="L3" s="953"/>
      <c r="M3" s="953"/>
      <c r="N3" s="953"/>
      <c r="O3" s="953"/>
      <c r="P3" s="953"/>
      <c r="Q3" s="953"/>
      <c r="R3" s="953"/>
      <c r="S3" s="953"/>
      <c r="T3" s="953"/>
      <c r="U3" s="953"/>
      <c r="V3" s="953"/>
    </row>
    <row r="4" spans="1:26" ht="30" customHeight="1" thickBot="1" x14ac:dyDescent="0.25"/>
    <row r="5" spans="1:26" ht="30" customHeight="1" x14ac:dyDescent="0.2">
      <c r="C5" s="1043" t="s">
        <v>1</v>
      </c>
      <c r="D5" s="1044"/>
      <c r="E5" s="1044"/>
      <c r="F5" s="1044"/>
      <c r="G5" s="1044"/>
      <c r="H5" s="1044"/>
      <c r="I5" s="1044"/>
      <c r="J5" s="1044"/>
      <c r="K5" s="1044"/>
      <c r="L5" s="1044"/>
      <c r="M5" s="1044"/>
      <c r="N5" s="1069"/>
      <c r="V5" s="50"/>
    </row>
    <row r="6" spans="1:26" ht="30" customHeight="1" thickBot="1" x14ac:dyDescent="0.25">
      <c r="C6" s="1070"/>
      <c r="D6" s="1071"/>
      <c r="E6" s="1071"/>
      <c r="F6" s="1071"/>
      <c r="G6" s="1071"/>
      <c r="H6" s="1071"/>
      <c r="I6" s="1071"/>
      <c r="J6" s="1071"/>
      <c r="K6" s="1071"/>
      <c r="L6" s="1071"/>
      <c r="M6" s="1071"/>
      <c r="N6" s="1072"/>
      <c r="V6" s="50"/>
    </row>
    <row r="7" spans="1:26" ht="30" customHeight="1" x14ac:dyDescent="0.2">
      <c r="C7" s="1089" t="s">
        <v>2</v>
      </c>
      <c r="D7" s="1073" t="s">
        <v>3</v>
      </c>
      <c r="E7" s="1073" t="s">
        <v>4</v>
      </c>
      <c r="F7" s="1073" t="s">
        <v>5</v>
      </c>
      <c r="G7" s="1073" t="s">
        <v>6</v>
      </c>
      <c r="H7" s="1073" t="s">
        <v>7</v>
      </c>
      <c r="I7" s="1073" t="s">
        <v>8</v>
      </c>
      <c r="J7" s="1073" t="s">
        <v>9</v>
      </c>
      <c r="K7" s="1073" t="s">
        <v>10</v>
      </c>
      <c r="L7" s="1075"/>
      <c r="M7" s="1095" t="s">
        <v>11</v>
      </c>
      <c r="N7" s="1097" t="s">
        <v>12</v>
      </c>
      <c r="V7" s="50"/>
    </row>
    <row r="8" spans="1:26" ht="30" customHeight="1" thickBot="1" x14ac:dyDescent="0.25">
      <c r="C8" s="1090"/>
      <c r="D8" s="1074"/>
      <c r="E8" s="1074"/>
      <c r="F8" s="1074"/>
      <c r="G8" s="1074"/>
      <c r="H8" s="1074"/>
      <c r="I8" s="1074"/>
      <c r="J8" s="1074"/>
      <c r="K8" s="1074"/>
      <c r="L8" s="1076"/>
      <c r="M8" s="1096" t="s">
        <v>13</v>
      </c>
      <c r="N8" s="1098"/>
      <c r="V8" s="50"/>
    </row>
    <row r="9" spans="1:26" ht="30" customHeight="1" x14ac:dyDescent="0.2">
      <c r="C9" s="775"/>
      <c r="D9" s="776"/>
      <c r="E9" s="776"/>
      <c r="F9" s="776"/>
      <c r="G9" s="776"/>
      <c r="H9" s="776"/>
      <c r="I9" s="776"/>
      <c r="J9" s="776"/>
      <c r="K9" s="776"/>
      <c r="L9" s="776"/>
      <c r="M9" s="663"/>
      <c r="N9" s="664"/>
      <c r="V9" s="50"/>
    </row>
    <row r="10" spans="1:26" ht="75" customHeight="1" x14ac:dyDescent="0.25">
      <c r="C10" s="137">
        <v>1</v>
      </c>
      <c r="D10" s="566"/>
      <c r="E10" s="567"/>
      <c r="F10" s="565"/>
      <c r="G10" s="565"/>
      <c r="H10" s="568"/>
      <c r="I10" s="567"/>
      <c r="J10" s="565"/>
      <c r="K10" s="566"/>
      <c r="L10" s="627"/>
      <c r="M10" s="774">
        <v>2</v>
      </c>
      <c r="N10" s="187">
        <v>0.95</v>
      </c>
      <c r="O10" s="49"/>
      <c r="P10" s="49"/>
      <c r="Q10" s="49"/>
      <c r="R10" s="49"/>
      <c r="S10" s="49"/>
      <c r="T10" s="49"/>
      <c r="U10" s="49"/>
      <c r="V10" s="282"/>
      <c r="W10" s="49"/>
      <c r="X10" s="49"/>
      <c r="Y10" s="49"/>
      <c r="Z10" s="49"/>
    </row>
    <row r="11" spans="1:26" ht="30" customHeight="1" thickBot="1" x14ac:dyDescent="0.3">
      <c r="C11" s="51"/>
      <c r="D11" s="52"/>
      <c r="E11" s="52"/>
      <c r="F11" s="52"/>
      <c r="G11" s="52"/>
      <c r="H11" s="52"/>
      <c r="I11" s="52"/>
      <c r="J11" s="52"/>
      <c r="K11" s="52"/>
      <c r="L11" s="52"/>
      <c r="M11" s="52"/>
      <c r="N11" s="60"/>
      <c r="O11" s="49"/>
      <c r="P11" s="49"/>
      <c r="Q11" s="49"/>
      <c r="R11" s="49"/>
      <c r="S11" s="49"/>
      <c r="T11" s="49"/>
      <c r="U11" s="49"/>
      <c r="V11" s="282"/>
      <c r="W11" s="49"/>
      <c r="X11" s="49"/>
      <c r="Y11" s="49"/>
      <c r="Z11" s="49"/>
    </row>
    <row r="12" spans="1:26" ht="30" customHeight="1" x14ac:dyDescent="0.25">
      <c r="O12" s="49"/>
      <c r="P12" s="49"/>
      <c r="Q12" s="49"/>
      <c r="R12" s="49"/>
      <c r="S12" s="49"/>
      <c r="T12" s="49"/>
      <c r="U12" s="49"/>
      <c r="V12" s="282"/>
      <c r="W12" s="49"/>
      <c r="X12" s="49"/>
      <c r="Y12" s="49"/>
      <c r="Z12" s="49"/>
    </row>
    <row r="13" spans="1:26" ht="30" customHeight="1" thickBot="1" x14ac:dyDescent="0.3">
      <c r="O13" s="49"/>
      <c r="P13" s="49"/>
      <c r="Q13" s="49"/>
      <c r="R13" s="49"/>
      <c r="S13" s="49"/>
      <c r="T13" s="49"/>
      <c r="U13" s="49"/>
      <c r="V13" s="282"/>
      <c r="W13" s="49"/>
      <c r="X13" s="49"/>
      <c r="Y13" s="49"/>
      <c r="Z13" s="49"/>
    </row>
    <row r="14" spans="1:26" ht="30" customHeight="1" x14ac:dyDescent="0.25">
      <c r="C14" s="1043" t="s">
        <v>15</v>
      </c>
      <c r="D14" s="1044"/>
      <c r="E14" s="1044"/>
      <c r="F14" s="1044"/>
      <c r="G14" s="1044"/>
      <c r="H14" s="1044"/>
      <c r="I14" s="1044"/>
      <c r="J14" s="1044"/>
      <c r="K14" s="1044"/>
      <c r="L14" s="1069"/>
      <c r="O14" s="49"/>
      <c r="P14" s="49"/>
      <c r="Q14" s="49"/>
      <c r="R14" s="49"/>
      <c r="S14" s="49"/>
      <c r="T14" s="49"/>
      <c r="U14" s="49"/>
      <c r="V14" s="282"/>
      <c r="W14" s="49"/>
      <c r="X14" s="49"/>
      <c r="Y14" s="49"/>
      <c r="Z14" s="49"/>
    </row>
    <row r="15" spans="1:26" ht="30" customHeight="1" thickBot="1" x14ac:dyDescent="0.25">
      <c r="C15" s="1070"/>
      <c r="D15" s="1071"/>
      <c r="E15" s="1071"/>
      <c r="F15" s="1071"/>
      <c r="G15" s="1071"/>
      <c r="H15" s="1071"/>
      <c r="I15" s="1071"/>
      <c r="J15" s="1071"/>
      <c r="K15" s="1071"/>
      <c r="L15" s="1072"/>
    </row>
    <row r="16" spans="1:26" ht="30" customHeight="1" x14ac:dyDescent="0.2">
      <c r="C16" s="1099" t="s">
        <v>2</v>
      </c>
      <c r="D16" s="1101" t="s">
        <v>16</v>
      </c>
      <c r="E16" s="1101" t="s">
        <v>17</v>
      </c>
      <c r="F16" s="1101" t="s">
        <v>18</v>
      </c>
      <c r="G16" s="1103" t="s">
        <v>19</v>
      </c>
      <c r="H16" s="1103" t="s">
        <v>20</v>
      </c>
      <c r="I16" s="1101" t="s">
        <v>21</v>
      </c>
      <c r="J16" s="1101" t="s">
        <v>22</v>
      </c>
      <c r="K16" s="1105" t="s">
        <v>23</v>
      </c>
      <c r="L16" s="1091" t="s">
        <v>10</v>
      </c>
    </row>
    <row r="17" spans="2:22" ht="30" customHeight="1" thickBot="1" x14ac:dyDescent="0.25">
      <c r="C17" s="1100"/>
      <c r="D17" s="1102"/>
      <c r="E17" s="1102"/>
      <c r="F17" s="1102"/>
      <c r="G17" s="1104"/>
      <c r="H17" s="1104"/>
      <c r="I17" s="1102"/>
      <c r="J17" s="1102"/>
      <c r="K17" s="1106"/>
      <c r="L17" s="1092"/>
    </row>
    <row r="18" spans="2:22" ht="30" customHeight="1" thickBot="1" x14ac:dyDescent="0.25">
      <c r="C18" s="722"/>
      <c r="D18" s="723"/>
      <c r="E18" s="723"/>
      <c r="F18" s="723"/>
      <c r="G18" s="723"/>
      <c r="H18" s="723"/>
      <c r="I18" s="723"/>
      <c r="J18" s="723"/>
      <c r="K18" s="723"/>
      <c r="L18" s="724"/>
    </row>
    <row r="19" spans="2:22" x14ac:dyDescent="0.2">
      <c r="C19" s="725" t="s">
        <v>24</v>
      </c>
      <c r="D19" s="829" t="s">
        <v>62</v>
      </c>
      <c r="E19" s="829" t="s">
        <v>591</v>
      </c>
      <c r="F19" s="853">
        <v>27106560</v>
      </c>
      <c r="G19" s="853">
        <v>8200</v>
      </c>
      <c r="H19" s="853">
        <v>5</v>
      </c>
      <c r="I19" s="727">
        <v>0.1</v>
      </c>
      <c r="J19" s="727">
        <v>1</v>
      </c>
      <c r="K19" s="830">
        <f>J10</f>
        <v>0</v>
      </c>
      <c r="L19" s="831">
        <f>K10</f>
        <v>0</v>
      </c>
    </row>
    <row r="20" spans="2:22" ht="30" customHeight="1" x14ac:dyDescent="0.2">
      <c r="C20" s="143" t="s">
        <v>26</v>
      </c>
      <c r="D20" s="627"/>
      <c r="E20" s="627"/>
      <c r="F20" s="627"/>
      <c r="G20" s="627"/>
      <c r="H20" s="627"/>
      <c r="I20" s="627"/>
      <c r="J20" s="627"/>
      <c r="K20" s="627"/>
      <c r="L20" s="832"/>
    </row>
    <row r="21" spans="2:22" ht="30" customHeight="1" thickBot="1" x14ac:dyDescent="0.25">
      <c r="C21" s="726" t="s">
        <v>27</v>
      </c>
      <c r="D21" s="833"/>
      <c r="E21" s="833"/>
      <c r="F21" s="833"/>
      <c r="G21" s="834"/>
      <c r="H21" s="834"/>
      <c r="I21" s="833"/>
      <c r="J21" s="833"/>
      <c r="K21" s="834"/>
      <c r="L21" s="835"/>
    </row>
    <row r="22" spans="2:22" ht="30" customHeight="1" x14ac:dyDescent="0.2"/>
    <row r="23" spans="2:22" ht="30" customHeight="1" x14ac:dyDescent="0.2"/>
    <row r="24" spans="2:22" ht="30" customHeight="1" thickBot="1" x14ac:dyDescent="0.25"/>
    <row r="25" spans="2:22" ht="30" customHeight="1" x14ac:dyDescent="0.2">
      <c r="C25" s="1043" t="s">
        <v>28</v>
      </c>
      <c r="D25" s="1044"/>
      <c r="E25" s="1044"/>
      <c r="F25" s="1044"/>
      <c r="G25" s="1044"/>
      <c r="H25" s="1044"/>
      <c r="I25" s="1044"/>
      <c r="J25" s="1044"/>
      <c r="K25" s="1044"/>
      <c r="L25" s="1044"/>
      <c r="M25" s="1044"/>
      <c r="N25" s="1044"/>
      <c r="O25" s="1044"/>
      <c r="P25" s="1044"/>
      <c r="Q25" s="1044"/>
      <c r="R25" s="1044"/>
      <c r="S25" s="1044"/>
      <c r="T25" s="1044"/>
      <c r="U25" s="1003"/>
      <c r="V25" s="1004"/>
    </row>
    <row r="26" spans="2:22" ht="30" customHeight="1" thickBot="1" x14ac:dyDescent="0.25">
      <c r="C26" s="1045"/>
      <c r="D26" s="1046"/>
      <c r="E26" s="1046"/>
      <c r="F26" s="1046"/>
      <c r="G26" s="1046"/>
      <c r="H26" s="1046"/>
      <c r="I26" s="1046"/>
      <c r="J26" s="1046"/>
      <c r="K26" s="1046"/>
      <c r="L26" s="1046"/>
      <c r="M26" s="1046"/>
      <c r="N26" s="1046"/>
      <c r="O26" s="1046"/>
      <c r="P26" s="1046"/>
      <c r="Q26" s="1046"/>
      <c r="R26" s="1046"/>
      <c r="S26" s="1046"/>
      <c r="T26" s="1046"/>
      <c r="U26" s="1005"/>
      <c r="V26" s="1006"/>
    </row>
    <row r="27" spans="2:22" ht="30" customHeight="1" x14ac:dyDescent="0.2">
      <c r="C27" s="1081" t="s">
        <v>29</v>
      </c>
      <c r="D27" s="1077" t="s">
        <v>30</v>
      </c>
      <c r="E27" s="1077" t="s">
        <v>16</v>
      </c>
      <c r="F27" s="1077" t="s">
        <v>18</v>
      </c>
      <c r="G27" s="1077" t="s">
        <v>31</v>
      </c>
      <c r="H27" s="1083" t="s">
        <v>32</v>
      </c>
      <c r="I27" s="1083" t="s">
        <v>33</v>
      </c>
      <c r="J27" s="1079" t="s">
        <v>34</v>
      </c>
      <c r="K27" s="1083" t="s">
        <v>35</v>
      </c>
      <c r="L27" s="1083" t="s">
        <v>36</v>
      </c>
      <c r="M27" s="1079" t="s">
        <v>37</v>
      </c>
      <c r="N27" s="1083" t="s">
        <v>38</v>
      </c>
      <c r="O27" s="639" t="s">
        <v>39</v>
      </c>
      <c r="P27" s="1079" t="s">
        <v>40</v>
      </c>
      <c r="Q27" s="1079" t="s">
        <v>41</v>
      </c>
      <c r="R27" s="1079" t="s">
        <v>42</v>
      </c>
      <c r="S27" s="1077" t="s">
        <v>43</v>
      </c>
      <c r="T27" s="1079" t="s">
        <v>44</v>
      </c>
      <c r="U27" s="1085" t="s">
        <v>45</v>
      </c>
      <c r="V27" s="1087" t="s">
        <v>46</v>
      </c>
    </row>
    <row r="28" spans="2:22" ht="42.75" customHeight="1" thickBot="1" x14ac:dyDescent="0.25">
      <c r="C28" s="1082"/>
      <c r="D28" s="1078"/>
      <c r="E28" s="1078"/>
      <c r="F28" s="1078"/>
      <c r="G28" s="1078"/>
      <c r="H28" s="1084"/>
      <c r="I28" s="1084"/>
      <c r="J28" s="1080"/>
      <c r="K28" s="1084"/>
      <c r="L28" s="1084"/>
      <c r="M28" s="1080"/>
      <c r="N28" s="1084"/>
      <c r="O28" s="662" t="s">
        <v>47</v>
      </c>
      <c r="P28" s="1080"/>
      <c r="Q28" s="1080"/>
      <c r="R28" s="1080"/>
      <c r="S28" s="1078"/>
      <c r="T28" s="1080"/>
      <c r="U28" s="1086"/>
      <c r="V28" s="1088"/>
    </row>
    <row r="29" spans="2:22" ht="30" customHeight="1" thickBot="1" x14ac:dyDescent="0.25">
      <c r="C29" s="66"/>
      <c r="D29" s="663"/>
      <c r="E29" s="663"/>
      <c r="F29" s="663"/>
      <c r="G29" s="663"/>
      <c r="H29" s="663"/>
      <c r="I29" s="663"/>
      <c r="J29" s="843"/>
      <c r="K29" s="843"/>
      <c r="L29" s="843"/>
      <c r="M29" s="363"/>
      <c r="N29" s="363"/>
      <c r="O29" s="663"/>
      <c r="P29" s="363"/>
      <c r="Q29" s="663"/>
      <c r="R29" s="363"/>
      <c r="S29" s="363"/>
      <c r="T29" s="670"/>
      <c r="U29" s="663"/>
      <c r="V29" s="664"/>
    </row>
    <row r="30" spans="2:22" ht="30" customHeight="1" x14ac:dyDescent="0.2">
      <c r="B30" s="1007" t="s">
        <v>48</v>
      </c>
      <c r="C30" s="487" t="s">
        <v>49</v>
      </c>
      <c r="D30" s="191" t="s">
        <v>50</v>
      </c>
      <c r="E30" s="191" t="s">
        <v>51</v>
      </c>
      <c r="F30" s="191">
        <v>27696</v>
      </c>
      <c r="G30" s="191" t="s">
        <v>52</v>
      </c>
      <c r="H30" s="573">
        <v>4694</v>
      </c>
      <c r="I30" s="606">
        <v>44077</v>
      </c>
      <c r="J30" s="490">
        <v>5</v>
      </c>
      <c r="K30" s="627">
        <v>7.0000000000000007E-2</v>
      </c>
      <c r="L30" s="627">
        <v>7.0000000000000007E-2</v>
      </c>
      <c r="M30" s="501">
        <f t="shared" ref="M30:M36" si="0">J30+(K30)/1000</f>
        <v>5.00007</v>
      </c>
      <c r="N30" s="501">
        <f t="shared" ref="N30:N36" si="1">J30+(L30)/1000</f>
        <v>5.00007</v>
      </c>
      <c r="O30" s="609">
        <f>ABS(N30-M30)/SQRT(3)*1000</f>
        <v>0</v>
      </c>
      <c r="P30" s="490">
        <v>0.05</v>
      </c>
      <c r="Q30" s="645">
        <f>(0.34848*((752.2+752.9)/2)-0.009024*((47+54.1)/2)*EXP(0.0612*((19.7+21.3)/2)))/(273.15+((19.7+21.3)/2))</f>
        <v>0.88761831143467929</v>
      </c>
      <c r="R30" s="191" t="s">
        <v>53</v>
      </c>
      <c r="S30" s="635" t="s">
        <v>14</v>
      </c>
      <c r="T30" s="1018">
        <v>2</v>
      </c>
      <c r="U30" s="615">
        <v>1</v>
      </c>
      <c r="V30" s="492">
        <v>1</v>
      </c>
    </row>
    <row r="31" spans="2:22" ht="30" customHeight="1" x14ac:dyDescent="0.2">
      <c r="B31" s="1008"/>
      <c r="C31" s="487" t="s">
        <v>54</v>
      </c>
      <c r="D31" s="191" t="s">
        <v>50</v>
      </c>
      <c r="E31" s="191" t="s">
        <v>51</v>
      </c>
      <c r="F31" s="191">
        <v>27696</v>
      </c>
      <c r="G31" s="191" t="s">
        <v>52</v>
      </c>
      <c r="H31" s="573">
        <f>$H$30</f>
        <v>4694</v>
      </c>
      <c r="I31" s="606">
        <f>$I$30</f>
        <v>44077</v>
      </c>
      <c r="J31" s="490">
        <v>200</v>
      </c>
      <c r="K31" s="627">
        <v>0.1</v>
      </c>
      <c r="L31" s="627">
        <v>0.1</v>
      </c>
      <c r="M31" s="502">
        <f t="shared" si="0"/>
        <v>200.0001</v>
      </c>
      <c r="N31" s="502">
        <f t="shared" si="1"/>
        <v>200.0001</v>
      </c>
      <c r="O31" s="609">
        <f t="shared" ref="O31:O94" si="2">ABS(N31-M31)/SQRT(3)*1000</f>
        <v>0</v>
      </c>
      <c r="P31" s="493">
        <v>0.33</v>
      </c>
      <c r="Q31" s="645">
        <f>(0.34848*((752.2+752.9)/2)-0.009024*((47+54.1)/2)*EXP(0.0612*((19.7+21.3)/2)))/(273.15+((19.7+21.3)/2))</f>
        <v>0.88761831143467929</v>
      </c>
      <c r="R31" s="191" t="s">
        <v>53</v>
      </c>
      <c r="S31" s="635" t="s">
        <v>14</v>
      </c>
      <c r="T31" s="1019"/>
      <c r="U31" s="615">
        <v>2</v>
      </c>
      <c r="V31" s="492">
        <v>2</v>
      </c>
    </row>
    <row r="32" spans="2:22" ht="30" customHeight="1" x14ac:dyDescent="0.2">
      <c r="B32" s="1008"/>
      <c r="C32" s="487" t="s">
        <v>55</v>
      </c>
      <c r="D32" s="191" t="s">
        <v>50</v>
      </c>
      <c r="E32" s="191" t="s">
        <v>51</v>
      </c>
      <c r="F32" s="191">
        <v>27696</v>
      </c>
      <c r="G32" s="191" t="s">
        <v>52</v>
      </c>
      <c r="H32" s="573">
        <f t="shared" ref="H32:H36" si="3">$H$30</f>
        <v>4694</v>
      </c>
      <c r="I32" s="606">
        <f t="shared" ref="I32:I36" si="4">$I$30</f>
        <v>44077</v>
      </c>
      <c r="J32" s="490">
        <v>1000</v>
      </c>
      <c r="K32" s="627">
        <v>-0.6</v>
      </c>
      <c r="L32" s="627">
        <v>-0.6</v>
      </c>
      <c r="M32" s="491">
        <f t="shared" si="0"/>
        <v>999.99940000000004</v>
      </c>
      <c r="N32" s="491">
        <f t="shared" si="1"/>
        <v>999.99940000000004</v>
      </c>
      <c r="O32" s="609">
        <f t="shared" si="2"/>
        <v>0</v>
      </c>
      <c r="P32" s="493">
        <v>1.6</v>
      </c>
      <c r="Q32" s="645">
        <f>(0.34848*((752.2+752.9)/2)-0.009024*((47+54.1)/2)*EXP(0.0612*((19.7+21.3)/2)))/(273.15+((19.7+21.3)/2))</f>
        <v>0.88761831143467929</v>
      </c>
      <c r="R32" s="191" t="s">
        <v>53</v>
      </c>
      <c r="S32" s="635" t="s">
        <v>14</v>
      </c>
      <c r="T32" s="1019"/>
      <c r="U32" s="615">
        <v>5</v>
      </c>
      <c r="V32" s="492">
        <v>5</v>
      </c>
    </row>
    <row r="33" spans="2:22" ht="30" customHeight="1" x14ac:dyDescent="0.2">
      <c r="B33" s="1008"/>
      <c r="C33" s="487" t="s">
        <v>56</v>
      </c>
      <c r="D33" s="191" t="s">
        <v>50</v>
      </c>
      <c r="E33" s="191" t="s">
        <v>51</v>
      </c>
      <c r="F33" s="191">
        <v>27696</v>
      </c>
      <c r="G33" s="191" t="s">
        <v>52</v>
      </c>
      <c r="H33" s="573">
        <f t="shared" si="3"/>
        <v>4694</v>
      </c>
      <c r="I33" s="606">
        <f t="shared" si="4"/>
        <v>44077</v>
      </c>
      <c r="J33" s="490">
        <v>2000</v>
      </c>
      <c r="K33" s="627">
        <v>3.5</v>
      </c>
      <c r="L33" s="627">
        <v>3.4</v>
      </c>
      <c r="M33" s="503">
        <f t="shared" si="0"/>
        <v>2000.0035</v>
      </c>
      <c r="N33" s="503">
        <f t="shared" si="1"/>
        <v>2000.0034000000001</v>
      </c>
      <c r="O33" s="609">
        <f t="shared" si="2"/>
        <v>5.7735026904469904E-2</v>
      </c>
      <c r="P33" s="493">
        <v>3</v>
      </c>
      <c r="Q33" s="645">
        <f>(0.34848*((752.2+752.9)/2)-0.009024*((47+54.1)/2)*EXP(0.0612*((19.7+21.3)/2)))/(273.15+((19.7+21.3)/2))</f>
        <v>0.88761831143467929</v>
      </c>
      <c r="R33" s="191" t="s">
        <v>53</v>
      </c>
      <c r="S33" s="635" t="s">
        <v>14</v>
      </c>
      <c r="T33" s="1019"/>
      <c r="U33" s="615">
        <v>10</v>
      </c>
      <c r="V33" s="492">
        <v>10</v>
      </c>
    </row>
    <row r="34" spans="2:22" ht="30" customHeight="1" x14ac:dyDescent="0.2">
      <c r="B34" s="1008"/>
      <c r="C34" s="487" t="s">
        <v>57</v>
      </c>
      <c r="D34" s="191" t="s">
        <v>50</v>
      </c>
      <c r="E34" s="191" t="s">
        <v>51</v>
      </c>
      <c r="F34" s="191">
        <v>27696</v>
      </c>
      <c r="G34" s="191" t="s">
        <v>52</v>
      </c>
      <c r="H34" s="573">
        <f t="shared" si="3"/>
        <v>4694</v>
      </c>
      <c r="I34" s="606">
        <f t="shared" si="4"/>
        <v>44077</v>
      </c>
      <c r="J34" s="490">
        <v>5000</v>
      </c>
      <c r="K34" s="627">
        <v>3.6</v>
      </c>
      <c r="L34" s="627">
        <v>3.4</v>
      </c>
      <c r="M34" s="503">
        <f t="shared" si="0"/>
        <v>5000.0036</v>
      </c>
      <c r="N34" s="503">
        <f t="shared" si="1"/>
        <v>5000.0033999999996</v>
      </c>
      <c r="O34" s="609">
        <f t="shared" si="2"/>
        <v>0.11547005407148832</v>
      </c>
      <c r="P34" s="493">
        <v>8</v>
      </c>
      <c r="Q34" s="645">
        <f>(0.34848*((752.2+752.9)/2)-0.009024*((47+54.1)/2)*EXP(0.0612*((19.7+21.3)/2)))/(273.15+((19.7+21.3)/2))</f>
        <v>0.88761831143467929</v>
      </c>
      <c r="R34" s="191" t="s">
        <v>53</v>
      </c>
      <c r="S34" s="635" t="s">
        <v>14</v>
      </c>
      <c r="T34" s="1019"/>
      <c r="U34" s="615">
        <v>20</v>
      </c>
      <c r="V34" s="492">
        <v>20</v>
      </c>
    </row>
    <row r="35" spans="2:22" ht="30" customHeight="1" x14ac:dyDescent="0.2">
      <c r="B35" s="1008"/>
      <c r="C35" s="487" t="s">
        <v>58</v>
      </c>
      <c r="D35" s="191" t="s">
        <v>50</v>
      </c>
      <c r="E35" s="191" t="s">
        <v>51</v>
      </c>
      <c r="F35" s="191">
        <v>27696</v>
      </c>
      <c r="G35" s="191" t="s">
        <v>52</v>
      </c>
      <c r="H35" s="573">
        <f t="shared" si="3"/>
        <v>4694</v>
      </c>
      <c r="I35" s="606">
        <f t="shared" si="4"/>
        <v>44077</v>
      </c>
      <c r="J35" s="490">
        <v>6000</v>
      </c>
      <c r="K35" s="627">
        <f>K34+K32</f>
        <v>3</v>
      </c>
      <c r="L35" s="627">
        <f>L34+L32</f>
        <v>2.8</v>
      </c>
      <c r="M35" s="503">
        <f t="shared" si="0"/>
        <v>6000.0029999999997</v>
      </c>
      <c r="N35" s="503">
        <f t="shared" si="1"/>
        <v>6000.0028000000002</v>
      </c>
      <c r="O35" s="609">
        <f t="shared" si="2"/>
        <v>0.1154700535463913</v>
      </c>
      <c r="P35" s="493">
        <f>P34+P32</f>
        <v>9.6</v>
      </c>
      <c r="Q35" s="645">
        <f t="shared" ref="Q35:Q36" si="5">(0.34848*((752.2+752.9)/2)-0.009024*((47+54.1)/2)*EXP(0.0612*((19.7+21.3)/2)))/(273.15+((19.7+21.3)/2))</f>
        <v>0.88761831143467929</v>
      </c>
      <c r="R35" s="191" t="s">
        <v>53</v>
      </c>
      <c r="S35" s="635" t="s">
        <v>14</v>
      </c>
      <c r="T35" s="1019"/>
      <c r="U35" s="615">
        <v>50</v>
      </c>
      <c r="V35" s="492">
        <v>50</v>
      </c>
    </row>
    <row r="36" spans="2:22" ht="30" customHeight="1" thickBot="1" x14ac:dyDescent="0.25">
      <c r="B36" s="1009"/>
      <c r="C36" s="489" t="s">
        <v>59</v>
      </c>
      <c r="D36" s="364" t="s">
        <v>50</v>
      </c>
      <c r="E36" s="364" t="s">
        <v>51</v>
      </c>
      <c r="F36" s="364">
        <v>27696</v>
      </c>
      <c r="G36" s="364" t="s">
        <v>52</v>
      </c>
      <c r="H36" s="577">
        <f t="shared" si="3"/>
        <v>4694</v>
      </c>
      <c r="I36" s="608">
        <f t="shared" si="4"/>
        <v>44077</v>
      </c>
      <c r="J36" s="844">
        <v>8200</v>
      </c>
      <c r="K36" s="833">
        <f>K34+K33+K32+K31</f>
        <v>6.6</v>
      </c>
      <c r="L36" s="833">
        <f>L34+L33+L32+L31</f>
        <v>6.3</v>
      </c>
      <c r="M36" s="618">
        <f t="shared" si="0"/>
        <v>8200.0066000000006</v>
      </c>
      <c r="N36" s="618">
        <f t="shared" si="1"/>
        <v>8200.0062999999991</v>
      </c>
      <c r="O36" s="638">
        <f t="shared" si="2"/>
        <v>0.17320508163232948</v>
      </c>
      <c r="P36" s="499">
        <f>P34+P33+P32+P31</f>
        <v>12.93</v>
      </c>
      <c r="Q36" s="646">
        <f t="shared" si="5"/>
        <v>0.88761831143467929</v>
      </c>
      <c r="R36" s="364" t="s">
        <v>53</v>
      </c>
      <c r="S36" s="636" t="s">
        <v>14</v>
      </c>
      <c r="T36" s="1020"/>
      <c r="U36" s="669">
        <v>100</v>
      </c>
      <c r="V36" s="495">
        <v>100</v>
      </c>
    </row>
    <row r="37" spans="2:22" ht="30" customHeight="1" thickBot="1" x14ac:dyDescent="0.25">
      <c r="B37" s="53"/>
      <c r="C37" s="616"/>
      <c r="D37" s="610"/>
      <c r="E37" s="610"/>
      <c r="F37" s="610"/>
      <c r="G37" s="610"/>
      <c r="H37" s="611"/>
      <c r="I37" s="612"/>
      <c r="J37" s="845"/>
      <c r="K37" s="846"/>
      <c r="L37" s="846"/>
      <c r="M37" s="623"/>
      <c r="N37" s="613"/>
      <c r="O37" s="643">
        <f t="shared" si="2"/>
        <v>0</v>
      </c>
      <c r="P37" s="610"/>
      <c r="Q37" s="647"/>
      <c r="R37" s="610"/>
      <c r="S37" s="610"/>
      <c r="T37" s="617"/>
      <c r="U37" s="610">
        <v>200</v>
      </c>
      <c r="V37" s="610">
        <v>200</v>
      </c>
    </row>
    <row r="38" spans="2:22" ht="30" customHeight="1" thickBot="1" x14ac:dyDescent="0.25">
      <c r="B38" s="53"/>
      <c r="C38" s="563"/>
      <c r="D38" s="191"/>
      <c r="E38" s="191"/>
      <c r="F38" s="191"/>
      <c r="G38" s="191"/>
      <c r="H38" s="573"/>
      <c r="I38" s="606"/>
      <c r="J38" s="490"/>
      <c r="K38" s="627"/>
      <c r="L38" s="627"/>
      <c r="M38" s="501"/>
      <c r="N38" s="491"/>
      <c r="O38" s="637">
        <f t="shared" si="2"/>
        <v>0</v>
      </c>
      <c r="P38" s="191"/>
      <c r="Q38" s="573"/>
      <c r="R38" s="191"/>
      <c r="S38" s="191"/>
      <c r="T38" s="614"/>
      <c r="U38" s="191">
        <v>500</v>
      </c>
      <c r="V38" s="191">
        <v>500</v>
      </c>
    </row>
    <row r="39" spans="2:22" ht="30" customHeight="1" thickBot="1" x14ac:dyDescent="0.25">
      <c r="C39" s="619"/>
      <c r="D39" s="619"/>
      <c r="E39" s="619"/>
      <c r="F39" s="619"/>
      <c r="G39" s="619"/>
      <c r="H39" s="620"/>
      <c r="I39" s="620"/>
      <c r="J39" s="847"/>
      <c r="K39" s="848"/>
      <c r="L39" s="848"/>
      <c r="M39" s="624"/>
      <c r="N39" s="619"/>
      <c r="O39" s="657">
        <f t="shared" si="2"/>
        <v>0</v>
      </c>
      <c r="P39" s="619"/>
      <c r="Q39" s="648"/>
      <c r="R39" s="619"/>
      <c r="S39" s="619"/>
      <c r="T39" s="622"/>
      <c r="U39" s="658">
        <v>1000</v>
      </c>
      <c r="V39" s="659">
        <v>1000</v>
      </c>
    </row>
    <row r="40" spans="2:22" ht="30" customHeight="1" x14ac:dyDescent="0.2">
      <c r="B40" s="1007"/>
      <c r="C40" s="488" t="s">
        <v>60</v>
      </c>
      <c r="D40" s="363" t="s">
        <v>61</v>
      </c>
      <c r="E40" s="363" t="s">
        <v>62</v>
      </c>
      <c r="F40" s="363">
        <v>27129360</v>
      </c>
      <c r="G40" s="363" t="s">
        <v>63</v>
      </c>
      <c r="H40" s="570">
        <v>4786</v>
      </c>
      <c r="I40" s="607">
        <v>44483</v>
      </c>
      <c r="J40" s="500">
        <v>1</v>
      </c>
      <c r="K40" s="626">
        <v>8.9999999999999993E-3</v>
      </c>
      <c r="L40" s="626">
        <v>8.0000000000000002E-3</v>
      </c>
      <c r="M40" s="504">
        <f t="shared" ref="M40:M71" si="6">J40+(K40)/1000</f>
        <v>1.0000089999999999</v>
      </c>
      <c r="N40" s="504">
        <f t="shared" ref="N40:N71" si="7">J40+(L40)/1000</f>
        <v>1.000008</v>
      </c>
      <c r="O40" s="637">
        <f t="shared" si="2"/>
        <v>5.7735026914212918E-4</v>
      </c>
      <c r="P40" s="496">
        <v>0.01</v>
      </c>
      <c r="Q40" s="644">
        <f>(0.34848*((751.2+755.4)/2)-0.009024*((48.4+57.9)/2)*EXP(0.0612*((19.5+20.7)/2)))/(273.15+((19.5+20.7)/2))</f>
        <v>0.88957844095478944</v>
      </c>
      <c r="R40" s="363" t="s">
        <v>64</v>
      </c>
      <c r="S40" s="634" t="s">
        <v>65</v>
      </c>
      <c r="T40" s="1018">
        <v>2</v>
      </c>
      <c r="U40" s="667">
        <v>2000</v>
      </c>
      <c r="V40" s="497">
        <v>1500</v>
      </c>
    </row>
    <row r="41" spans="2:22" ht="30" customHeight="1" x14ac:dyDescent="0.2">
      <c r="B41" s="1008"/>
      <c r="C41" s="487" t="s">
        <v>66</v>
      </c>
      <c r="D41" s="191" t="s">
        <v>61</v>
      </c>
      <c r="E41" s="191" t="s">
        <v>62</v>
      </c>
      <c r="F41" s="191">
        <v>27129360</v>
      </c>
      <c r="G41" s="191" t="s">
        <v>67</v>
      </c>
      <c r="H41" s="573">
        <v>4786</v>
      </c>
      <c r="I41" s="606">
        <v>44483</v>
      </c>
      <c r="J41" s="490">
        <v>2</v>
      </c>
      <c r="K41" s="627">
        <v>0.01</v>
      </c>
      <c r="L41" s="627">
        <v>1.0999999999999999E-2</v>
      </c>
      <c r="M41" s="501">
        <f t="shared" si="6"/>
        <v>2.0000100000000001</v>
      </c>
      <c r="N41" s="501">
        <f t="shared" si="7"/>
        <v>2.0000110000000002</v>
      </c>
      <c r="O41" s="609">
        <f t="shared" si="2"/>
        <v>5.7735026927032665E-4</v>
      </c>
      <c r="P41" s="191">
        <v>1.2E-2</v>
      </c>
      <c r="Q41" s="645">
        <f>(0.34848*((751.2+755.4)/2)-0.009024*((48.4+57.9)/2)*EXP(0.0612*((19.5+20.7)/2)))/(273.15+((19.5+20.7)/2))</f>
        <v>0.88957844095478944</v>
      </c>
      <c r="R41" s="191" t="str">
        <f t="shared" ref="R41:R56" si="8">R40</f>
        <v>M-001</v>
      </c>
      <c r="S41" s="635" t="s">
        <v>65</v>
      </c>
      <c r="T41" s="1019"/>
      <c r="U41" s="621">
        <v>4000</v>
      </c>
      <c r="V41" s="492">
        <v>5000</v>
      </c>
    </row>
    <row r="42" spans="2:22" ht="30" customHeight="1" x14ac:dyDescent="0.2">
      <c r="B42" s="1008"/>
      <c r="C42" s="487" t="s">
        <v>68</v>
      </c>
      <c r="D42" s="191" t="s">
        <v>61</v>
      </c>
      <c r="E42" s="191" t="s">
        <v>62</v>
      </c>
      <c r="F42" s="191">
        <v>27129360</v>
      </c>
      <c r="G42" s="191" t="s">
        <v>69</v>
      </c>
      <c r="H42" s="573">
        <v>4786</v>
      </c>
      <c r="I42" s="606">
        <v>44483</v>
      </c>
      <c r="J42" s="490">
        <v>2</v>
      </c>
      <c r="K42" s="627">
        <v>1.7000000000000001E-2</v>
      </c>
      <c r="L42" s="627">
        <v>1.6E-2</v>
      </c>
      <c r="M42" s="501">
        <f t="shared" si="6"/>
        <v>2.0000170000000002</v>
      </c>
      <c r="N42" s="501">
        <f t="shared" si="7"/>
        <v>2.000016</v>
      </c>
      <c r="O42" s="609">
        <f t="shared" si="2"/>
        <v>5.7735026927032665E-4</v>
      </c>
      <c r="P42" s="191">
        <v>1.2E-2</v>
      </c>
      <c r="Q42" s="645">
        <f>(0.34848*((751.2+755.4)/2)-0.009024*((48.4+57.9)/2)*EXP(0.0612*((19.5+20.7)/2)))/(273.15+((19.5+20.7)/2))</f>
        <v>0.88957844095478944</v>
      </c>
      <c r="R42" s="191" t="str">
        <f t="shared" si="8"/>
        <v>M-001</v>
      </c>
      <c r="S42" s="635" t="s">
        <v>65</v>
      </c>
      <c r="T42" s="1019"/>
      <c r="U42" s="621">
        <v>5000</v>
      </c>
      <c r="V42" s="492">
        <v>6000</v>
      </c>
    </row>
    <row r="43" spans="2:22" ht="30" customHeight="1" x14ac:dyDescent="0.2">
      <c r="B43" s="1008"/>
      <c r="C43" s="487" t="s">
        <v>70</v>
      </c>
      <c r="D43" s="191" t="s">
        <v>61</v>
      </c>
      <c r="E43" s="191" t="s">
        <v>62</v>
      </c>
      <c r="F43" s="191">
        <v>27129360</v>
      </c>
      <c r="G43" s="191" t="s">
        <v>71</v>
      </c>
      <c r="H43" s="573">
        <v>4786</v>
      </c>
      <c r="I43" s="606">
        <v>44483</v>
      </c>
      <c r="J43" s="490">
        <v>5</v>
      </c>
      <c r="K43" s="627">
        <v>2E-3</v>
      </c>
      <c r="L43" s="627">
        <v>2E-3</v>
      </c>
      <c r="M43" s="501">
        <f t="shared" si="6"/>
        <v>5.0000020000000003</v>
      </c>
      <c r="N43" s="501">
        <f t="shared" si="7"/>
        <v>5.0000020000000003</v>
      </c>
      <c r="O43" s="609">
        <f t="shared" si="2"/>
        <v>0</v>
      </c>
      <c r="P43" s="191">
        <v>1.6E-2</v>
      </c>
      <c r="Q43" s="645">
        <f>(0.34848*((751.2+755.4)/2)-0.009024*((48.4+57.9)/2)*EXP(0.0612*((19.5+20.7)/2)))/(273.15+((19.5+20.7)/2))</f>
        <v>0.88957844095478944</v>
      </c>
      <c r="R43" s="191" t="str">
        <f t="shared" si="8"/>
        <v>M-001</v>
      </c>
      <c r="S43" s="635" t="s">
        <v>65</v>
      </c>
      <c r="T43" s="1019"/>
      <c r="U43" s="621">
        <v>10000</v>
      </c>
      <c r="V43" s="492">
        <v>8000</v>
      </c>
    </row>
    <row r="44" spans="2:22" ht="30" customHeight="1" x14ac:dyDescent="0.2">
      <c r="B44" s="1008"/>
      <c r="C44" s="487" t="s">
        <v>72</v>
      </c>
      <c r="D44" s="191" t="s">
        <v>61</v>
      </c>
      <c r="E44" s="191" t="s">
        <v>62</v>
      </c>
      <c r="F44" s="191">
        <v>27129360</v>
      </c>
      <c r="G44" s="191" t="s">
        <v>73</v>
      </c>
      <c r="H44" s="573">
        <v>4786</v>
      </c>
      <c r="I44" s="606">
        <v>44483</v>
      </c>
      <c r="J44" s="490">
        <v>10</v>
      </c>
      <c r="K44" s="627">
        <v>1.9E-2</v>
      </c>
      <c r="L44" s="627">
        <v>1.9E-2</v>
      </c>
      <c r="M44" s="501">
        <f t="shared" si="6"/>
        <v>10.000019</v>
      </c>
      <c r="N44" s="501">
        <f t="shared" si="7"/>
        <v>10.000019</v>
      </c>
      <c r="O44" s="609">
        <f t="shared" si="2"/>
        <v>0</v>
      </c>
      <c r="P44" s="498">
        <v>0.02</v>
      </c>
      <c r="Q44" s="645">
        <f t="shared" ref="Q44:Q56" si="9">(0.34848*((751.2+755.4)/2)-0.009024*((48.4+57.9)/2)*EXP(0.0612*((19.5+20.7)/2)))/(273.15+((19.5+20.7)/2))</f>
        <v>0.88957844095478944</v>
      </c>
      <c r="R44" s="191" t="str">
        <f t="shared" si="8"/>
        <v>M-001</v>
      </c>
      <c r="S44" s="635" t="s">
        <v>65</v>
      </c>
      <c r="T44" s="1019"/>
      <c r="U44" s="621">
        <v>15000</v>
      </c>
      <c r="V44" s="492">
        <v>8100</v>
      </c>
    </row>
    <row r="45" spans="2:22" ht="30" customHeight="1" x14ac:dyDescent="0.2">
      <c r="B45" s="1008"/>
      <c r="C45" s="487" t="s">
        <v>74</v>
      </c>
      <c r="D45" s="191" t="s">
        <v>61</v>
      </c>
      <c r="E45" s="191" t="s">
        <v>62</v>
      </c>
      <c r="F45" s="191">
        <v>27129360</v>
      </c>
      <c r="G45" s="191" t="s">
        <v>75</v>
      </c>
      <c r="H45" s="573">
        <v>4786</v>
      </c>
      <c r="I45" s="606">
        <v>44483</v>
      </c>
      <c r="J45" s="490">
        <v>20</v>
      </c>
      <c r="K45" s="627">
        <v>2.5999999999999999E-2</v>
      </c>
      <c r="L45" s="627">
        <v>1E-3</v>
      </c>
      <c r="M45" s="501">
        <f t="shared" si="6"/>
        <v>20.000025999999998</v>
      </c>
      <c r="N45" s="501">
        <f t="shared" si="7"/>
        <v>20.000001000000001</v>
      </c>
      <c r="O45" s="609">
        <f t="shared" si="2"/>
        <v>1.4433756728168635E-2</v>
      </c>
      <c r="P45" s="191">
        <v>2.5000000000000001E-2</v>
      </c>
      <c r="Q45" s="645">
        <f t="shared" si="9"/>
        <v>0.88957844095478944</v>
      </c>
      <c r="R45" s="191" t="str">
        <f t="shared" si="8"/>
        <v>M-001</v>
      </c>
      <c r="S45" s="635" t="s">
        <v>65</v>
      </c>
      <c r="T45" s="1019"/>
      <c r="U45" s="621">
        <v>20000</v>
      </c>
      <c r="V45" s="492">
        <v>8200</v>
      </c>
    </row>
    <row r="46" spans="2:22" ht="30" customHeight="1" x14ac:dyDescent="0.2">
      <c r="B46" s="1008"/>
      <c r="C46" s="487" t="s">
        <v>76</v>
      </c>
      <c r="D46" s="191" t="s">
        <v>61</v>
      </c>
      <c r="E46" s="191" t="s">
        <v>62</v>
      </c>
      <c r="F46" s="191">
        <v>27129360</v>
      </c>
      <c r="G46" s="191" t="s">
        <v>77</v>
      </c>
      <c r="H46" s="573">
        <v>4786</v>
      </c>
      <c r="I46" s="606">
        <v>44483</v>
      </c>
      <c r="J46" s="490">
        <v>20</v>
      </c>
      <c r="K46" s="627">
        <v>7.0000000000000001E-3</v>
      </c>
      <c r="L46" s="627">
        <v>1.0999999999999999E-2</v>
      </c>
      <c r="M46" s="501">
        <f t="shared" si="6"/>
        <v>20.000007</v>
      </c>
      <c r="N46" s="501">
        <f t="shared" si="7"/>
        <v>20.000011000000001</v>
      </c>
      <c r="O46" s="609">
        <f t="shared" si="2"/>
        <v>2.3094010770813066E-3</v>
      </c>
      <c r="P46" s="191">
        <v>2.5000000000000001E-2</v>
      </c>
      <c r="Q46" s="645">
        <f t="shared" si="9"/>
        <v>0.88957844095478944</v>
      </c>
      <c r="R46" s="191" t="str">
        <f t="shared" si="8"/>
        <v>M-001</v>
      </c>
      <c r="S46" s="635" t="s">
        <v>65</v>
      </c>
      <c r="T46" s="1019"/>
      <c r="U46" s="621">
        <v>25000</v>
      </c>
      <c r="V46" s="492">
        <v>10000</v>
      </c>
    </row>
    <row r="47" spans="2:22" ht="30" customHeight="1" x14ac:dyDescent="0.2">
      <c r="B47" s="1008"/>
      <c r="C47" s="487" t="s">
        <v>78</v>
      </c>
      <c r="D47" s="191" t="s">
        <v>61</v>
      </c>
      <c r="E47" s="191" t="s">
        <v>62</v>
      </c>
      <c r="F47" s="191">
        <v>27129360</v>
      </c>
      <c r="G47" s="191" t="s">
        <v>79</v>
      </c>
      <c r="H47" s="573">
        <v>4786</v>
      </c>
      <c r="I47" s="606">
        <v>44483</v>
      </c>
      <c r="J47" s="490">
        <v>50</v>
      </c>
      <c r="K47" s="627">
        <v>0.03</v>
      </c>
      <c r="L47" s="627">
        <v>0.03</v>
      </c>
      <c r="M47" s="501">
        <f t="shared" si="6"/>
        <v>50.000030000000002</v>
      </c>
      <c r="N47" s="502">
        <f t="shared" si="7"/>
        <v>50.000030000000002</v>
      </c>
      <c r="O47" s="609">
        <f t="shared" si="2"/>
        <v>0</v>
      </c>
      <c r="P47" s="191">
        <v>0.03</v>
      </c>
      <c r="Q47" s="645">
        <f t="shared" si="9"/>
        <v>0.88957844095478944</v>
      </c>
      <c r="R47" s="191" t="str">
        <f t="shared" si="8"/>
        <v>M-001</v>
      </c>
      <c r="S47" s="635" t="s">
        <v>65</v>
      </c>
      <c r="T47" s="1019"/>
      <c r="U47" s="621">
        <v>30000</v>
      </c>
      <c r="V47" s="492">
        <v>12000</v>
      </c>
    </row>
    <row r="48" spans="2:22" ht="30" customHeight="1" x14ac:dyDescent="0.2">
      <c r="B48" s="1008"/>
      <c r="C48" s="487" t="s">
        <v>80</v>
      </c>
      <c r="D48" s="191" t="s">
        <v>61</v>
      </c>
      <c r="E48" s="191" t="s">
        <v>62</v>
      </c>
      <c r="F48" s="191">
        <v>27129360</v>
      </c>
      <c r="G48" s="191" t="s">
        <v>81</v>
      </c>
      <c r="H48" s="573">
        <v>4786</v>
      </c>
      <c r="I48" s="606">
        <v>44483</v>
      </c>
      <c r="J48" s="490">
        <v>100</v>
      </c>
      <c r="K48" s="627">
        <v>0.06</v>
      </c>
      <c r="L48" s="627">
        <v>0.06</v>
      </c>
      <c r="M48" s="501">
        <f t="shared" si="6"/>
        <v>100.00006</v>
      </c>
      <c r="N48" s="502">
        <f t="shared" si="7"/>
        <v>100.00006</v>
      </c>
      <c r="O48" s="609">
        <f t="shared" si="2"/>
        <v>0</v>
      </c>
      <c r="P48" s="191">
        <v>0.05</v>
      </c>
      <c r="Q48" s="645">
        <f t="shared" si="9"/>
        <v>0.88957844095478944</v>
      </c>
      <c r="R48" s="191" t="str">
        <f t="shared" si="8"/>
        <v>M-001</v>
      </c>
      <c r="S48" s="635" t="s">
        <v>65</v>
      </c>
      <c r="T48" s="1019"/>
      <c r="U48" s="621">
        <v>35000</v>
      </c>
      <c r="V48" s="665">
        <v>15000</v>
      </c>
    </row>
    <row r="49" spans="2:22" ht="30" customHeight="1" x14ac:dyDescent="0.2">
      <c r="B49" s="1008"/>
      <c r="C49" s="487" t="s">
        <v>82</v>
      </c>
      <c r="D49" s="191" t="s">
        <v>61</v>
      </c>
      <c r="E49" s="191" t="s">
        <v>62</v>
      </c>
      <c r="F49" s="191">
        <v>27129360</v>
      </c>
      <c r="G49" s="191" t="s">
        <v>83</v>
      </c>
      <c r="H49" s="573">
        <v>4786</v>
      </c>
      <c r="I49" s="606">
        <v>44483</v>
      </c>
      <c r="J49" s="490">
        <v>200</v>
      </c>
      <c r="K49" s="627">
        <v>-7.0000000000000007E-2</v>
      </c>
      <c r="L49" s="627">
        <v>-0.05</v>
      </c>
      <c r="M49" s="501">
        <f t="shared" si="6"/>
        <v>199.99993000000001</v>
      </c>
      <c r="N49" s="502">
        <f t="shared" si="7"/>
        <v>199.99995000000001</v>
      </c>
      <c r="O49" s="609">
        <f t="shared" si="2"/>
        <v>1.1547005387457693E-2</v>
      </c>
      <c r="P49" s="490">
        <v>0.1</v>
      </c>
      <c r="Q49" s="645">
        <f t="shared" si="9"/>
        <v>0.88957844095478944</v>
      </c>
      <c r="R49" s="191" t="str">
        <f t="shared" si="8"/>
        <v>M-001</v>
      </c>
      <c r="S49" s="635" t="s">
        <v>65</v>
      </c>
      <c r="T49" s="1019"/>
      <c r="U49" s="621">
        <v>40000</v>
      </c>
      <c r="V49" s="665">
        <v>20000</v>
      </c>
    </row>
    <row r="50" spans="2:22" ht="30" customHeight="1" x14ac:dyDescent="0.2">
      <c r="B50" s="1008"/>
      <c r="C50" s="487" t="s">
        <v>84</v>
      </c>
      <c r="D50" s="191" t="s">
        <v>61</v>
      </c>
      <c r="E50" s="191" t="s">
        <v>62</v>
      </c>
      <c r="F50" s="191">
        <v>27129360</v>
      </c>
      <c r="G50" s="191" t="s">
        <v>85</v>
      </c>
      <c r="H50" s="573">
        <v>4786</v>
      </c>
      <c r="I50" s="606">
        <v>44483</v>
      </c>
      <c r="J50" s="490">
        <v>200</v>
      </c>
      <c r="K50" s="627">
        <v>0.15</v>
      </c>
      <c r="L50" s="627">
        <v>0.16</v>
      </c>
      <c r="M50" s="501">
        <f t="shared" si="6"/>
        <v>200.00014999999999</v>
      </c>
      <c r="N50" s="502">
        <f t="shared" si="7"/>
        <v>200.00015999999999</v>
      </c>
      <c r="O50" s="609">
        <f t="shared" si="2"/>
        <v>5.7735026937288467E-3</v>
      </c>
      <c r="P50" s="490">
        <v>0.1</v>
      </c>
      <c r="Q50" s="645">
        <f t="shared" si="9"/>
        <v>0.88957844095478944</v>
      </c>
      <c r="R50" s="191" t="str">
        <f t="shared" si="8"/>
        <v>M-001</v>
      </c>
      <c r="S50" s="635" t="s">
        <v>65</v>
      </c>
      <c r="T50" s="1019"/>
      <c r="U50" s="621" t="s">
        <v>86</v>
      </c>
      <c r="V50" s="665">
        <v>25000</v>
      </c>
    </row>
    <row r="51" spans="2:22" ht="30" customHeight="1" x14ac:dyDescent="0.2">
      <c r="B51" s="1008"/>
      <c r="C51" s="487" t="s">
        <v>87</v>
      </c>
      <c r="D51" s="191" t="s">
        <v>61</v>
      </c>
      <c r="E51" s="191" t="s">
        <v>62</v>
      </c>
      <c r="F51" s="191">
        <v>27129360</v>
      </c>
      <c r="G51" s="191" t="s">
        <v>88</v>
      </c>
      <c r="H51" s="573">
        <v>4786</v>
      </c>
      <c r="I51" s="606">
        <v>44483</v>
      </c>
      <c r="J51" s="490">
        <v>500</v>
      </c>
      <c r="K51" s="627">
        <v>0.33</v>
      </c>
      <c r="L51" s="627">
        <v>0.34</v>
      </c>
      <c r="M51" s="501">
        <f t="shared" si="6"/>
        <v>500.00033000000002</v>
      </c>
      <c r="N51" s="502">
        <f t="shared" si="7"/>
        <v>500.00033999999999</v>
      </c>
      <c r="O51" s="609">
        <f t="shared" si="2"/>
        <v>5.7735026773195657E-3</v>
      </c>
      <c r="P51" s="191">
        <v>0.25</v>
      </c>
      <c r="Q51" s="645">
        <f t="shared" si="9"/>
        <v>0.88957844095478944</v>
      </c>
      <c r="R51" s="191" t="str">
        <f t="shared" si="8"/>
        <v>M-001</v>
      </c>
      <c r="S51" s="635" t="s">
        <v>65</v>
      </c>
      <c r="T51" s="1019"/>
      <c r="U51" s="621" t="s">
        <v>86</v>
      </c>
      <c r="V51" s="665">
        <v>35000</v>
      </c>
    </row>
    <row r="52" spans="2:22" ht="30" customHeight="1" x14ac:dyDescent="0.2">
      <c r="B52" s="1008"/>
      <c r="C52" s="487" t="s">
        <v>89</v>
      </c>
      <c r="D52" s="191" t="s">
        <v>61</v>
      </c>
      <c r="E52" s="191" t="s">
        <v>62</v>
      </c>
      <c r="F52" s="191">
        <v>27129360</v>
      </c>
      <c r="G52" s="191" t="s">
        <v>90</v>
      </c>
      <c r="H52" s="573">
        <v>4786</v>
      </c>
      <c r="I52" s="606">
        <v>44483</v>
      </c>
      <c r="J52" s="490">
        <v>1000</v>
      </c>
      <c r="K52" s="627">
        <v>0.7</v>
      </c>
      <c r="L52" s="627">
        <v>0.7</v>
      </c>
      <c r="M52" s="501">
        <f t="shared" si="6"/>
        <v>1000.0007000000001</v>
      </c>
      <c r="N52" s="491">
        <f t="shared" si="7"/>
        <v>1000.0007000000001</v>
      </c>
      <c r="O52" s="609">
        <f t="shared" si="2"/>
        <v>0</v>
      </c>
      <c r="P52" s="191">
        <v>0.5</v>
      </c>
      <c r="Q52" s="645">
        <f t="shared" si="9"/>
        <v>0.88957844095478944</v>
      </c>
      <c r="R52" s="191" t="str">
        <f t="shared" si="8"/>
        <v>M-001</v>
      </c>
      <c r="S52" s="635" t="s">
        <v>65</v>
      </c>
      <c r="T52" s="1019"/>
      <c r="U52" s="621" t="s">
        <v>86</v>
      </c>
      <c r="V52" s="665">
        <v>40000</v>
      </c>
    </row>
    <row r="53" spans="2:22" ht="30" customHeight="1" x14ac:dyDescent="0.2">
      <c r="B53" s="1008"/>
      <c r="C53" s="487" t="s">
        <v>91</v>
      </c>
      <c r="D53" s="191" t="s">
        <v>61</v>
      </c>
      <c r="E53" s="191" t="s">
        <v>62</v>
      </c>
      <c r="F53" s="191">
        <v>27129360</v>
      </c>
      <c r="G53" s="191" t="s">
        <v>92</v>
      </c>
      <c r="H53" s="573">
        <v>4786</v>
      </c>
      <c r="I53" s="606">
        <v>44483</v>
      </c>
      <c r="J53" s="490">
        <v>2000</v>
      </c>
      <c r="K53" s="627">
        <v>1.1000000000000001</v>
      </c>
      <c r="L53" s="627">
        <v>1.1000000000000001</v>
      </c>
      <c r="M53" s="501">
        <f t="shared" si="6"/>
        <v>2000.0011</v>
      </c>
      <c r="N53" s="491">
        <f t="shared" si="7"/>
        <v>2000.0011</v>
      </c>
      <c r="O53" s="609">
        <f t="shared" si="2"/>
        <v>0</v>
      </c>
      <c r="P53" s="493">
        <v>1</v>
      </c>
      <c r="Q53" s="645">
        <f t="shared" si="9"/>
        <v>0.88957844095478944</v>
      </c>
      <c r="R53" s="191" t="str">
        <f t="shared" si="8"/>
        <v>M-001</v>
      </c>
      <c r="S53" s="635" t="s">
        <v>65</v>
      </c>
      <c r="T53" s="1019"/>
      <c r="U53" s="621" t="s">
        <v>86</v>
      </c>
      <c r="V53" s="665">
        <v>45000</v>
      </c>
    </row>
    <row r="54" spans="2:22" ht="30" customHeight="1" x14ac:dyDescent="0.2">
      <c r="B54" s="1008"/>
      <c r="C54" s="487" t="s">
        <v>93</v>
      </c>
      <c r="D54" s="191" t="s">
        <v>61</v>
      </c>
      <c r="E54" s="191" t="s">
        <v>62</v>
      </c>
      <c r="F54" s="191">
        <v>27129360</v>
      </c>
      <c r="G54" s="191" t="s">
        <v>94</v>
      </c>
      <c r="H54" s="573">
        <v>4786</v>
      </c>
      <c r="I54" s="606">
        <v>44483</v>
      </c>
      <c r="J54" s="490">
        <v>2000</v>
      </c>
      <c r="K54" s="627">
        <v>1</v>
      </c>
      <c r="L54" s="627">
        <v>1</v>
      </c>
      <c r="M54" s="501">
        <f t="shared" si="6"/>
        <v>2000.001</v>
      </c>
      <c r="N54" s="491">
        <f t="shared" si="7"/>
        <v>2000.001</v>
      </c>
      <c r="O54" s="609">
        <f t="shared" si="2"/>
        <v>0</v>
      </c>
      <c r="P54" s="493">
        <v>1</v>
      </c>
      <c r="Q54" s="645">
        <f t="shared" si="9"/>
        <v>0.88957844095478944</v>
      </c>
      <c r="R54" s="191" t="str">
        <f t="shared" si="8"/>
        <v>M-001</v>
      </c>
      <c r="S54" s="635" t="s">
        <v>65</v>
      </c>
      <c r="T54" s="1019"/>
      <c r="U54" s="621" t="s">
        <v>86</v>
      </c>
      <c r="V54" s="665">
        <v>50000</v>
      </c>
    </row>
    <row r="55" spans="2:22" ht="30" customHeight="1" x14ac:dyDescent="0.2">
      <c r="B55" s="1008"/>
      <c r="C55" s="487" t="s">
        <v>95</v>
      </c>
      <c r="D55" s="191" t="s">
        <v>61</v>
      </c>
      <c r="E55" s="191" t="s">
        <v>62</v>
      </c>
      <c r="F55" s="191">
        <v>27129360</v>
      </c>
      <c r="G55" s="191" t="s">
        <v>96</v>
      </c>
      <c r="H55" s="573">
        <v>4786</v>
      </c>
      <c r="I55" s="606">
        <v>44483</v>
      </c>
      <c r="J55" s="490">
        <v>5000</v>
      </c>
      <c r="K55" s="627">
        <v>3.5</v>
      </c>
      <c r="L55" s="627">
        <v>3.5</v>
      </c>
      <c r="M55" s="501">
        <f t="shared" si="6"/>
        <v>5000.0034999999998</v>
      </c>
      <c r="N55" s="491">
        <f t="shared" si="7"/>
        <v>5000.0034999999998</v>
      </c>
      <c r="O55" s="609">
        <f t="shared" si="2"/>
        <v>0</v>
      </c>
      <c r="P55" s="191">
        <v>2.5</v>
      </c>
      <c r="Q55" s="645">
        <f t="shared" si="9"/>
        <v>0.88957844095478944</v>
      </c>
      <c r="R55" s="191" t="str">
        <f t="shared" si="8"/>
        <v>M-001</v>
      </c>
      <c r="S55" s="635" t="s">
        <v>65</v>
      </c>
      <c r="T55" s="1019"/>
      <c r="U55" s="621" t="s">
        <v>86</v>
      </c>
      <c r="V55" s="666">
        <v>55000</v>
      </c>
    </row>
    <row r="56" spans="2:22" ht="30" customHeight="1" thickBot="1" x14ac:dyDescent="0.25">
      <c r="B56" s="1009"/>
      <c r="C56" s="489" t="s">
        <v>97</v>
      </c>
      <c r="D56" s="364" t="s">
        <v>61</v>
      </c>
      <c r="E56" s="364" t="s">
        <v>62</v>
      </c>
      <c r="F56" s="364">
        <v>27129360</v>
      </c>
      <c r="G56" s="364" t="s">
        <v>98</v>
      </c>
      <c r="H56" s="577">
        <v>4786</v>
      </c>
      <c r="I56" s="608">
        <v>44483</v>
      </c>
      <c r="J56" s="844">
        <v>10000</v>
      </c>
      <c r="K56" s="833">
        <v>8.1999999999999993</v>
      </c>
      <c r="L56" s="833">
        <v>8.4</v>
      </c>
      <c r="M56" s="625">
        <f t="shared" si="6"/>
        <v>10000.0082</v>
      </c>
      <c r="N56" s="494">
        <f t="shared" si="7"/>
        <v>10000.008400000001</v>
      </c>
      <c r="O56" s="638">
        <f t="shared" si="2"/>
        <v>0.11547005407148832</v>
      </c>
      <c r="P56" s="499">
        <v>5</v>
      </c>
      <c r="Q56" s="646">
        <f t="shared" si="9"/>
        <v>0.88957844095478944</v>
      </c>
      <c r="R56" s="364" t="str">
        <f t="shared" si="8"/>
        <v>M-001</v>
      </c>
      <c r="S56" s="636" t="s">
        <v>65</v>
      </c>
      <c r="T56" s="1020"/>
      <c r="U56" s="668" t="s">
        <v>86</v>
      </c>
      <c r="V56" s="631">
        <v>60000</v>
      </c>
    </row>
    <row r="57" spans="2:22" ht="30" customHeight="1" x14ac:dyDescent="0.2">
      <c r="B57" s="1008"/>
      <c r="C57" s="488" t="s">
        <v>99</v>
      </c>
      <c r="D57" s="363" t="s">
        <v>100</v>
      </c>
      <c r="E57" s="363" t="s">
        <v>25</v>
      </c>
      <c r="F57" s="363">
        <v>11119515</v>
      </c>
      <c r="G57" s="363">
        <v>1</v>
      </c>
      <c r="H57" s="570">
        <v>5701</v>
      </c>
      <c r="I57" s="607">
        <v>44559</v>
      </c>
      <c r="J57" s="500">
        <v>1</v>
      </c>
      <c r="K57" s="626">
        <v>0.04</v>
      </c>
      <c r="L57" s="626">
        <v>0.04</v>
      </c>
      <c r="M57" s="363">
        <f t="shared" si="6"/>
        <v>1.00004</v>
      </c>
      <c r="N57" s="505">
        <f t="shared" si="7"/>
        <v>1.00004</v>
      </c>
      <c r="O57" s="637">
        <f t="shared" si="2"/>
        <v>0</v>
      </c>
      <c r="P57" s="363">
        <v>0.03</v>
      </c>
      <c r="Q57" s="644">
        <f>(0.34848*((750.7+754.5)/2)-0.009024*((52.2+58.7)/2)*EXP(0.0612*((20+20.6)/2)))/(273.15+((20+20.6)/2))</f>
        <v>0.88782702273489045</v>
      </c>
      <c r="R57" s="363" t="s">
        <v>101</v>
      </c>
      <c r="S57" s="634" t="s">
        <v>65</v>
      </c>
      <c r="T57" s="1018">
        <v>2</v>
      </c>
      <c r="U57" s="667" t="s">
        <v>86</v>
      </c>
      <c r="V57" s="630" t="s">
        <v>86</v>
      </c>
    </row>
    <row r="58" spans="2:22" ht="30" customHeight="1" x14ac:dyDescent="0.2">
      <c r="B58" s="1008"/>
      <c r="C58" s="487" t="s">
        <v>102</v>
      </c>
      <c r="D58" s="191" t="s">
        <v>100</v>
      </c>
      <c r="E58" s="191" t="s">
        <v>25</v>
      </c>
      <c r="F58" s="191">
        <v>11119515</v>
      </c>
      <c r="G58" s="191" t="s">
        <v>103</v>
      </c>
      <c r="H58" s="573">
        <v>5701</v>
      </c>
      <c r="I58" s="606">
        <v>44559</v>
      </c>
      <c r="J58" s="490">
        <v>2</v>
      </c>
      <c r="K58" s="627">
        <v>0.04</v>
      </c>
      <c r="L58" s="627">
        <v>0.04</v>
      </c>
      <c r="M58" s="191">
        <f t="shared" si="6"/>
        <v>2.0000399999999998</v>
      </c>
      <c r="N58" s="502">
        <f t="shared" si="7"/>
        <v>2.0000399999999998</v>
      </c>
      <c r="O58" s="609">
        <f t="shared" si="2"/>
        <v>0</v>
      </c>
      <c r="P58" s="191">
        <v>0.04</v>
      </c>
      <c r="Q58" s="645">
        <f>(0.34848*((750.7+753.7)/2)-0.009*((50.2+54.2)/2)*EXP(0.0612*((21.9+23.1)/2)))/(273.15+((21.9+23.1)/2))</f>
        <v>0.88031402349675059</v>
      </c>
      <c r="R58" s="191" t="str">
        <f t="shared" ref="R58:R72" si="10">R57</f>
        <v>M-002</v>
      </c>
      <c r="S58" s="635" t="s">
        <v>65</v>
      </c>
      <c r="T58" s="1019"/>
      <c r="U58" s="621" t="s">
        <v>86</v>
      </c>
      <c r="V58" s="666" t="s">
        <v>86</v>
      </c>
    </row>
    <row r="59" spans="2:22" ht="30" customHeight="1" x14ac:dyDescent="0.2">
      <c r="B59" s="1008"/>
      <c r="C59" s="487" t="s">
        <v>104</v>
      </c>
      <c r="D59" s="191" t="s">
        <v>100</v>
      </c>
      <c r="E59" s="191" t="s">
        <v>25</v>
      </c>
      <c r="F59" s="191">
        <v>11119515</v>
      </c>
      <c r="G59" s="191">
        <v>2</v>
      </c>
      <c r="H59" s="573">
        <v>5701</v>
      </c>
      <c r="I59" s="606">
        <v>44559</v>
      </c>
      <c r="J59" s="490">
        <v>2</v>
      </c>
      <c r="K59" s="627">
        <v>0.06</v>
      </c>
      <c r="L59" s="627">
        <v>0.05</v>
      </c>
      <c r="M59" s="191">
        <f t="shared" si="6"/>
        <v>2.0000599999999999</v>
      </c>
      <c r="N59" s="502">
        <f t="shared" si="7"/>
        <v>2.0000499999999999</v>
      </c>
      <c r="O59" s="609">
        <f t="shared" si="2"/>
        <v>5.773502691934081E-3</v>
      </c>
      <c r="P59" s="191">
        <v>0.04</v>
      </c>
      <c r="Q59" s="645">
        <f t="shared" ref="Q59:Q72" si="11">(0.34848*((750.7+753.7)/2)-0.009*((50.2+54.2)/2)*EXP(0.0612*((21.9+23.1)/2)))/(273.15+((21.9+23.1)/2))</f>
        <v>0.88031402349675059</v>
      </c>
      <c r="R59" s="191" t="str">
        <f t="shared" si="10"/>
        <v>M-002</v>
      </c>
      <c r="S59" s="635" t="s">
        <v>65</v>
      </c>
      <c r="T59" s="1019"/>
      <c r="U59" s="621" t="s">
        <v>86</v>
      </c>
      <c r="V59" s="666" t="s">
        <v>86</v>
      </c>
    </row>
    <row r="60" spans="2:22" ht="30" customHeight="1" x14ac:dyDescent="0.2">
      <c r="B60" s="1008"/>
      <c r="C60" s="487" t="s">
        <v>105</v>
      </c>
      <c r="D60" s="191" t="s">
        <v>100</v>
      </c>
      <c r="E60" s="191" t="s">
        <v>25</v>
      </c>
      <c r="F60" s="191">
        <v>11119515</v>
      </c>
      <c r="G60" s="191">
        <v>5</v>
      </c>
      <c r="H60" s="573">
        <v>5701</v>
      </c>
      <c r="I60" s="606">
        <v>44559</v>
      </c>
      <c r="J60" s="490">
        <v>5</v>
      </c>
      <c r="K60" s="627">
        <v>0.01</v>
      </c>
      <c r="L60" s="627">
        <v>0.06</v>
      </c>
      <c r="M60" s="191">
        <f t="shared" si="6"/>
        <v>5.0000099999999996</v>
      </c>
      <c r="N60" s="502">
        <f t="shared" si="7"/>
        <v>5.0000600000000004</v>
      </c>
      <c r="O60" s="609">
        <f t="shared" si="2"/>
        <v>2.8867513459926802E-2</v>
      </c>
      <c r="P60" s="191">
        <v>0.05</v>
      </c>
      <c r="Q60" s="645">
        <f t="shared" si="11"/>
        <v>0.88031402349675059</v>
      </c>
      <c r="R60" s="191" t="str">
        <f t="shared" si="10"/>
        <v>M-002</v>
      </c>
      <c r="S60" s="635" t="s">
        <v>65</v>
      </c>
      <c r="T60" s="1019"/>
      <c r="U60" s="621" t="s">
        <v>86</v>
      </c>
      <c r="V60" s="666" t="s">
        <v>86</v>
      </c>
    </row>
    <row r="61" spans="2:22" ht="30" customHeight="1" x14ac:dyDescent="0.2">
      <c r="B61" s="1008"/>
      <c r="C61" s="487" t="s">
        <v>106</v>
      </c>
      <c r="D61" s="191" t="s">
        <v>100</v>
      </c>
      <c r="E61" s="191" t="s">
        <v>25</v>
      </c>
      <c r="F61" s="191">
        <v>11119515</v>
      </c>
      <c r="G61" s="191">
        <v>10</v>
      </c>
      <c r="H61" s="573">
        <v>5701</v>
      </c>
      <c r="I61" s="606">
        <v>44559</v>
      </c>
      <c r="J61" s="490">
        <v>10</v>
      </c>
      <c r="K61" s="627">
        <v>7.0000000000000007E-2</v>
      </c>
      <c r="L61" s="627">
        <v>0</v>
      </c>
      <c r="M61" s="191">
        <f t="shared" si="6"/>
        <v>10.000069999999999</v>
      </c>
      <c r="N61" s="502">
        <f t="shared" si="7"/>
        <v>10</v>
      </c>
      <c r="O61" s="609">
        <f t="shared" si="2"/>
        <v>4.0414518842769385E-2</v>
      </c>
      <c r="P61" s="191">
        <v>0.06</v>
      </c>
      <c r="Q61" s="645">
        <f t="shared" si="11"/>
        <v>0.88031402349675059</v>
      </c>
      <c r="R61" s="191" t="str">
        <f t="shared" si="10"/>
        <v>M-002</v>
      </c>
      <c r="S61" s="635" t="s">
        <v>65</v>
      </c>
      <c r="T61" s="1019"/>
      <c r="U61" s="621" t="s">
        <v>86</v>
      </c>
      <c r="V61" s="666" t="s">
        <v>86</v>
      </c>
    </row>
    <row r="62" spans="2:22" ht="30" customHeight="1" x14ac:dyDescent="0.2">
      <c r="B62" s="1008"/>
      <c r="C62" s="487" t="s">
        <v>107</v>
      </c>
      <c r="D62" s="191" t="s">
        <v>100</v>
      </c>
      <c r="E62" s="191" t="s">
        <v>25</v>
      </c>
      <c r="F62" s="191">
        <v>11119515</v>
      </c>
      <c r="G62" s="191" t="s">
        <v>108</v>
      </c>
      <c r="H62" s="573">
        <v>5701</v>
      </c>
      <c r="I62" s="606">
        <v>44559</v>
      </c>
      <c r="J62" s="490">
        <v>20</v>
      </c>
      <c r="K62" s="627">
        <v>0.08</v>
      </c>
      <c r="L62" s="627">
        <v>7.0000000000000007E-2</v>
      </c>
      <c r="M62" s="191">
        <f t="shared" si="6"/>
        <v>20.000080000000001</v>
      </c>
      <c r="N62" s="502">
        <f t="shared" si="7"/>
        <v>20.000070000000001</v>
      </c>
      <c r="O62" s="609">
        <f t="shared" si="2"/>
        <v>5.7735026916776863E-3</v>
      </c>
      <c r="P62" s="191">
        <v>0.08</v>
      </c>
      <c r="Q62" s="645">
        <f t="shared" si="11"/>
        <v>0.88031402349675059</v>
      </c>
      <c r="R62" s="191" t="str">
        <f t="shared" si="10"/>
        <v>M-002</v>
      </c>
      <c r="S62" s="635" t="s">
        <v>65</v>
      </c>
      <c r="T62" s="1019"/>
      <c r="U62" s="621" t="s">
        <v>86</v>
      </c>
      <c r="V62" s="666" t="s">
        <v>86</v>
      </c>
    </row>
    <row r="63" spans="2:22" ht="30" customHeight="1" x14ac:dyDescent="0.2">
      <c r="B63" s="1008"/>
      <c r="C63" s="487" t="s">
        <v>109</v>
      </c>
      <c r="D63" s="191" t="s">
        <v>100</v>
      </c>
      <c r="E63" s="191" t="s">
        <v>25</v>
      </c>
      <c r="F63" s="191">
        <v>11119515</v>
      </c>
      <c r="G63" s="191">
        <v>20</v>
      </c>
      <c r="H63" s="573">
        <v>5701</v>
      </c>
      <c r="I63" s="606">
        <v>44559</v>
      </c>
      <c r="J63" s="490">
        <v>20</v>
      </c>
      <c r="K63" s="627">
        <v>7.0000000000000007E-2</v>
      </c>
      <c r="L63" s="627">
        <v>0.09</v>
      </c>
      <c r="M63" s="191">
        <f t="shared" si="6"/>
        <v>20.000070000000001</v>
      </c>
      <c r="N63" s="502">
        <f t="shared" si="7"/>
        <v>20.00009</v>
      </c>
      <c r="O63" s="609">
        <f t="shared" si="2"/>
        <v>1.1547005383355373E-2</v>
      </c>
      <c r="P63" s="191">
        <v>0.08</v>
      </c>
      <c r="Q63" s="645">
        <f t="shared" si="11"/>
        <v>0.88031402349675059</v>
      </c>
      <c r="R63" s="191" t="str">
        <f t="shared" si="10"/>
        <v>M-002</v>
      </c>
      <c r="S63" s="635" t="s">
        <v>65</v>
      </c>
      <c r="T63" s="1019"/>
      <c r="U63" s="621" t="s">
        <v>86</v>
      </c>
      <c r="V63" s="666" t="s">
        <v>86</v>
      </c>
    </row>
    <row r="64" spans="2:22" ht="30" customHeight="1" x14ac:dyDescent="0.2">
      <c r="B64" s="1008"/>
      <c r="C64" s="487" t="s">
        <v>110</v>
      </c>
      <c r="D64" s="191" t="s">
        <v>100</v>
      </c>
      <c r="E64" s="191" t="s">
        <v>25</v>
      </c>
      <c r="F64" s="191">
        <v>11119515</v>
      </c>
      <c r="G64" s="191">
        <v>50</v>
      </c>
      <c r="H64" s="573">
        <v>5701</v>
      </c>
      <c r="I64" s="606">
        <v>44559</v>
      </c>
      <c r="J64" s="490">
        <v>50</v>
      </c>
      <c r="K64" s="627">
        <v>0.13</v>
      </c>
      <c r="L64" s="627">
        <v>7.0000000000000007E-2</v>
      </c>
      <c r="M64" s="191">
        <f t="shared" si="6"/>
        <v>50.000129999999999</v>
      </c>
      <c r="N64" s="502">
        <f t="shared" si="7"/>
        <v>50.000070000000001</v>
      </c>
      <c r="O64" s="609">
        <f t="shared" si="2"/>
        <v>3.4641016150066116E-2</v>
      </c>
      <c r="P64" s="490">
        <v>0.1</v>
      </c>
      <c r="Q64" s="645">
        <f t="shared" si="11"/>
        <v>0.88031402349675059</v>
      </c>
      <c r="R64" s="191" t="str">
        <f t="shared" si="10"/>
        <v>M-002</v>
      </c>
      <c r="S64" s="635" t="s">
        <v>65</v>
      </c>
      <c r="T64" s="1019"/>
      <c r="U64" s="621" t="s">
        <v>86</v>
      </c>
      <c r="V64" s="666" t="s">
        <v>86</v>
      </c>
    </row>
    <row r="65" spans="2:50" ht="30" customHeight="1" x14ac:dyDescent="0.2">
      <c r="B65" s="1008"/>
      <c r="C65" s="487" t="s">
        <v>111</v>
      </c>
      <c r="D65" s="191" t="s">
        <v>100</v>
      </c>
      <c r="E65" s="191" t="s">
        <v>25</v>
      </c>
      <c r="F65" s="191">
        <v>11119515</v>
      </c>
      <c r="G65" s="191">
        <v>100</v>
      </c>
      <c r="H65" s="573">
        <v>5701</v>
      </c>
      <c r="I65" s="606">
        <v>44559</v>
      </c>
      <c r="J65" s="490">
        <v>100</v>
      </c>
      <c r="K65" s="627">
        <v>0.14000000000000001</v>
      </c>
      <c r="L65" s="627">
        <v>0.13</v>
      </c>
      <c r="M65" s="191">
        <f t="shared" si="6"/>
        <v>100.00014</v>
      </c>
      <c r="N65" s="502">
        <f t="shared" si="7"/>
        <v>100.00013</v>
      </c>
      <c r="O65" s="609">
        <f t="shared" si="2"/>
        <v>5.7735026937288467E-3</v>
      </c>
      <c r="P65" s="191">
        <v>0.16</v>
      </c>
      <c r="Q65" s="645">
        <f t="shared" si="11"/>
        <v>0.88031402349675059</v>
      </c>
      <c r="R65" s="191" t="str">
        <f t="shared" si="10"/>
        <v>M-002</v>
      </c>
      <c r="S65" s="635" t="s">
        <v>65</v>
      </c>
      <c r="T65" s="1019"/>
      <c r="U65" s="621" t="s">
        <v>86</v>
      </c>
      <c r="V65" s="666" t="s">
        <v>86</v>
      </c>
    </row>
    <row r="66" spans="2:50" ht="30" customHeight="1" x14ac:dyDescent="0.2">
      <c r="B66" s="1008"/>
      <c r="C66" s="487" t="s">
        <v>112</v>
      </c>
      <c r="D66" s="191" t="s">
        <v>100</v>
      </c>
      <c r="E66" s="191" t="s">
        <v>25</v>
      </c>
      <c r="F66" s="191">
        <v>11119515</v>
      </c>
      <c r="G66" s="191" t="s">
        <v>113</v>
      </c>
      <c r="H66" s="573">
        <v>5701</v>
      </c>
      <c r="I66" s="606">
        <v>44559</v>
      </c>
      <c r="J66" s="490">
        <v>200</v>
      </c>
      <c r="K66" s="627">
        <v>0.3</v>
      </c>
      <c r="L66" s="627">
        <v>0.14000000000000001</v>
      </c>
      <c r="M66" s="191">
        <f t="shared" si="6"/>
        <v>200.00030000000001</v>
      </c>
      <c r="N66" s="491">
        <f t="shared" si="7"/>
        <v>200.00013999999999</v>
      </c>
      <c r="O66" s="609">
        <f t="shared" si="2"/>
        <v>9.2376043083252271E-2</v>
      </c>
      <c r="P66" s="191">
        <v>0.3</v>
      </c>
      <c r="Q66" s="645">
        <f t="shared" si="11"/>
        <v>0.88031402349675059</v>
      </c>
      <c r="R66" s="191" t="str">
        <f t="shared" si="10"/>
        <v>M-002</v>
      </c>
      <c r="S66" s="635" t="s">
        <v>65</v>
      </c>
      <c r="T66" s="1019"/>
      <c r="U66" s="621" t="s">
        <v>86</v>
      </c>
      <c r="V66" s="666" t="s">
        <v>86</v>
      </c>
    </row>
    <row r="67" spans="2:50" ht="30" customHeight="1" x14ac:dyDescent="0.2">
      <c r="B67" s="1008"/>
      <c r="C67" s="487" t="s">
        <v>114</v>
      </c>
      <c r="D67" s="191" t="s">
        <v>100</v>
      </c>
      <c r="E67" s="191" t="s">
        <v>25</v>
      </c>
      <c r="F67" s="191">
        <v>11119515</v>
      </c>
      <c r="G67" s="191">
        <v>200</v>
      </c>
      <c r="H67" s="573">
        <v>5701</v>
      </c>
      <c r="I67" s="606">
        <v>44559</v>
      </c>
      <c r="J67" s="490">
        <v>200</v>
      </c>
      <c r="K67" s="627">
        <v>0.2</v>
      </c>
      <c r="L67" s="627">
        <v>0.3</v>
      </c>
      <c r="M67" s="191">
        <f t="shared" si="6"/>
        <v>200.00020000000001</v>
      </c>
      <c r="N67" s="491">
        <f t="shared" si="7"/>
        <v>200.00030000000001</v>
      </c>
      <c r="O67" s="609">
        <f t="shared" si="2"/>
        <v>5.773502692087918E-2</v>
      </c>
      <c r="P67" s="191">
        <v>0.3</v>
      </c>
      <c r="Q67" s="645">
        <f t="shared" si="11"/>
        <v>0.88031402349675059</v>
      </c>
      <c r="R67" s="191" t="str">
        <f t="shared" si="10"/>
        <v>M-002</v>
      </c>
      <c r="S67" s="635" t="s">
        <v>65</v>
      </c>
      <c r="T67" s="1019"/>
      <c r="U67" s="621" t="s">
        <v>86</v>
      </c>
      <c r="V67" s="666" t="s">
        <v>86</v>
      </c>
    </row>
    <row r="68" spans="2:50" ht="30" customHeight="1" x14ac:dyDescent="0.2">
      <c r="B68" s="1008"/>
      <c r="C68" s="487" t="s">
        <v>115</v>
      </c>
      <c r="D68" s="191" t="s">
        <v>100</v>
      </c>
      <c r="E68" s="191" t="s">
        <v>25</v>
      </c>
      <c r="F68" s="191">
        <v>11119515</v>
      </c>
      <c r="G68" s="191">
        <v>500</v>
      </c>
      <c r="H68" s="573">
        <v>5701</v>
      </c>
      <c r="I68" s="606">
        <v>44559</v>
      </c>
      <c r="J68" s="490">
        <v>500</v>
      </c>
      <c r="K68" s="627">
        <v>0.8</v>
      </c>
      <c r="L68" s="627">
        <v>0.2</v>
      </c>
      <c r="M68" s="191">
        <f t="shared" si="6"/>
        <v>500.00080000000003</v>
      </c>
      <c r="N68" s="491">
        <f t="shared" si="7"/>
        <v>500.00020000000001</v>
      </c>
      <c r="O68" s="609">
        <f t="shared" si="2"/>
        <v>0.3464101615252751</v>
      </c>
      <c r="P68" s="191">
        <v>0.8</v>
      </c>
      <c r="Q68" s="645">
        <f t="shared" si="11"/>
        <v>0.88031402349675059</v>
      </c>
      <c r="R68" s="191" t="str">
        <f t="shared" si="10"/>
        <v>M-002</v>
      </c>
      <c r="S68" s="635" t="s">
        <v>65</v>
      </c>
      <c r="T68" s="1019"/>
      <c r="U68" s="621" t="s">
        <v>86</v>
      </c>
      <c r="V68" s="666" t="s">
        <v>86</v>
      </c>
      <c r="AJ68" s="54"/>
      <c r="AK68" s="54"/>
      <c r="AQ68" s="54"/>
      <c r="AR68" s="54"/>
    </row>
    <row r="69" spans="2:50" ht="30" customHeight="1" x14ac:dyDescent="0.2">
      <c r="B69" s="1008"/>
      <c r="C69" s="487" t="s">
        <v>116</v>
      </c>
      <c r="D69" s="191" t="s">
        <v>100</v>
      </c>
      <c r="E69" s="191" t="s">
        <v>25</v>
      </c>
      <c r="F69" s="191">
        <v>11119515</v>
      </c>
      <c r="G69" s="191">
        <v>1</v>
      </c>
      <c r="H69" s="573">
        <v>5701</v>
      </c>
      <c r="I69" s="606">
        <v>44559</v>
      </c>
      <c r="J69" s="490">
        <v>1000</v>
      </c>
      <c r="K69" s="627">
        <v>1.9</v>
      </c>
      <c r="L69" s="627">
        <v>0.8</v>
      </c>
      <c r="M69" s="191">
        <f t="shared" si="6"/>
        <v>1000.0019</v>
      </c>
      <c r="N69" s="491">
        <f t="shared" si="7"/>
        <v>1000.0008</v>
      </c>
      <c r="O69" s="609">
        <f t="shared" si="2"/>
        <v>0.63508529608044317</v>
      </c>
      <c r="P69" s="191">
        <v>1.6</v>
      </c>
      <c r="Q69" s="645">
        <f t="shared" si="11"/>
        <v>0.88031402349675059</v>
      </c>
      <c r="R69" s="191" t="str">
        <f t="shared" si="10"/>
        <v>M-002</v>
      </c>
      <c r="S69" s="635" t="s">
        <v>65</v>
      </c>
      <c r="T69" s="1019"/>
      <c r="U69" s="621" t="s">
        <v>86</v>
      </c>
      <c r="V69" s="666" t="s">
        <v>86</v>
      </c>
      <c r="AJ69" s="55"/>
      <c r="AK69" s="55"/>
      <c r="AQ69" s="55"/>
      <c r="AR69" s="55"/>
      <c r="AS69" s="55"/>
      <c r="AT69" s="55"/>
      <c r="AU69" s="55"/>
      <c r="AV69" s="55"/>
      <c r="AW69" s="55"/>
      <c r="AX69" s="55"/>
    </row>
    <row r="70" spans="2:50" ht="30" customHeight="1" x14ac:dyDescent="0.2">
      <c r="B70" s="1008"/>
      <c r="C70" s="487" t="s">
        <v>117</v>
      </c>
      <c r="D70" s="191" t="s">
        <v>100</v>
      </c>
      <c r="E70" s="191" t="s">
        <v>25</v>
      </c>
      <c r="F70" s="191">
        <v>11119515</v>
      </c>
      <c r="G70" s="191" t="s">
        <v>103</v>
      </c>
      <c r="H70" s="573">
        <v>5701</v>
      </c>
      <c r="I70" s="606">
        <v>44559</v>
      </c>
      <c r="J70" s="490">
        <v>2000</v>
      </c>
      <c r="K70" s="627">
        <v>1.9</v>
      </c>
      <c r="L70" s="627">
        <v>1.9</v>
      </c>
      <c r="M70" s="191">
        <f t="shared" si="6"/>
        <v>2000.0019</v>
      </c>
      <c r="N70" s="491">
        <f t="shared" si="7"/>
        <v>2000.0019</v>
      </c>
      <c r="O70" s="609">
        <f t="shared" si="2"/>
        <v>0</v>
      </c>
      <c r="P70" s="493">
        <v>3</v>
      </c>
      <c r="Q70" s="645">
        <f t="shared" si="11"/>
        <v>0.88031402349675059</v>
      </c>
      <c r="R70" s="191" t="str">
        <f t="shared" si="10"/>
        <v>M-002</v>
      </c>
      <c r="S70" s="635" t="s">
        <v>65</v>
      </c>
      <c r="T70" s="1019"/>
      <c r="U70" s="621" t="s">
        <v>86</v>
      </c>
      <c r="V70" s="666" t="s">
        <v>86</v>
      </c>
      <c r="AJ70" s="55"/>
      <c r="AK70" s="55"/>
      <c r="AQ70" s="55"/>
      <c r="AR70" s="55"/>
      <c r="AS70" s="55"/>
      <c r="AT70" s="55"/>
      <c r="AU70" s="55"/>
      <c r="AV70" s="55"/>
      <c r="AW70" s="55"/>
      <c r="AX70" s="55"/>
    </row>
    <row r="71" spans="2:50" ht="30" customHeight="1" x14ac:dyDescent="0.2">
      <c r="B71" s="1008"/>
      <c r="C71" s="487" t="s">
        <v>118</v>
      </c>
      <c r="D71" s="191" t="s">
        <v>100</v>
      </c>
      <c r="E71" s="191" t="s">
        <v>25</v>
      </c>
      <c r="F71" s="191">
        <v>11119515</v>
      </c>
      <c r="G71" s="191">
        <v>2</v>
      </c>
      <c r="H71" s="573">
        <v>5701</v>
      </c>
      <c r="I71" s="606">
        <v>44559</v>
      </c>
      <c r="J71" s="490">
        <v>2000</v>
      </c>
      <c r="K71" s="627">
        <v>2.1</v>
      </c>
      <c r="L71" s="627">
        <v>1.9</v>
      </c>
      <c r="M71" s="191">
        <f t="shared" si="6"/>
        <v>2000.0020999999999</v>
      </c>
      <c r="N71" s="491">
        <f t="shared" si="7"/>
        <v>2000.0019</v>
      </c>
      <c r="O71" s="609">
        <f t="shared" si="2"/>
        <v>0.11547005380893981</v>
      </c>
      <c r="P71" s="493">
        <v>3</v>
      </c>
      <c r="Q71" s="645">
        <f t="shared" si="11"/>
        <v>0.88031402349675059</v>
      </c>
      <c r="R71" s="191" t="str">
        <f t="shared" si="10"/>
        <v>M-002</v>
      </c>
      <c r="S71" s="635" t="s">
        <v>65</v>
      </c>
      <c r="T71" s="1019"/>
      <c r="U71" s="621" t="s">
        <v>86</v>
      </c>
      <c r="V71" s="666" t="s">
        <v>86</v>
      </c>
      <c r="AJ71" s="55"/>
      <c r="AK71" s="55"/>
      <c r="AQ71" s="55"/>
      <c r="AR71" s="55"/>
      <c r="AS71" s="55"/>
      <c r="AT71" s="55"/>
      <c r="AU71" s="55"/>
      <c r="AV71" s="55"/>
      <c r="AW71" s="55"/>
      <c r="AX71" s="55"/>
    </row>
    <row r="72" spans="2:50" ht="30" customHeight="1" thickBot="1" x14ac:dyDescent="0.25">
      <c r="B72" s="1008"/>
      <c r="C72" s="489" t="s">
        <v>119</v>
      </c>
      <c r="D72" s="364" t="s">
        <v>100</v>
      </c>
      <c r="E72" s="364" t="s">
        <v>25</v>
      </c>
      <c r="F72" s="364">
        <v>11119515</v>
      </c>
      <c r="G72" s="364">
        <v>5</v>
      </c>
      <c r="H72" s="577">
        <v>5701</v>
      </c>
      <c r="I72" s="608">
        <v>44559</v>
      </c>
      <c r="J72" s="844">
        <v>5000</v>
      </c>
      <c r="K72" s="833">
        <v>5.8</v>
      </c>
      <c r="L72" s="833">
        <v>2.1</v>
      </c>
      <c r="M72" s="364">
        <f t="shared" ref="M72:M92" si="12">J72+(K72)/1000</f>
        <v>5000.0057999999999</v>
      </c>
      <c r="N72" s="494">
        <f t="shared" ref="N72:N94" si="13">J72+(L72)/1000</f>
        <v>5000.0020999999997</v>
      </c>
      <c r="O72" s="638">
        <f t="shared" si="2"/>
        <v>2.1361959961217574</v>
      </c>
      <c r="P72" s="499">
        <v>8</v>
      </c>
      <c r="Q72" s="646">
        <f t="shared" si="11"/>
        <v>0.88031402349675059</v>
      </c>
      <c r="R72" s="364" t="str">
        <f t="shared" si="10"/>
        <v>M-002</v>
      </c>
      <c r="S72" s="636" t="s">
        <v>65</v>
      </c>
      <c r="T72" s="1020"/>
      <c r="U72" s="668" t="s">
        <v>86</v>
      </c>
      <c r="V72" s="631" t="s">
        <v>86</v>
      </c>
      <c r="AJ72" s="55"/>
      <c r="AK72" s="55"/>
      <c r="AQ72" s="55"/>
      <c r="AR72" s="55"/>
      <c r="AS72" s="55"/>
      <c r="AT72" s="55"/>
      <c r="AU72" s="55"/>
      <c r="AV72" s="55"/>
      <c r="AW72" s="55"/>
      <c r="AX72" s="55"/>
    </row>
    <row r="73" spans="2:50" ht="30" customHeight="1" thickBot="1" x14ac:dyDescent="0.25">
      <c r="B73" s="1021"/>
      <c r="C73" s="488" t="s">
        <v>120</v>
      </c>
      <c r="D73" s="363" t="s">
        <v>100</v>
      </c>
      <c r="E73" s="363" t="s">
        <v>25</v>
      </c>
      <c r="F73" s="363">
        <v>11119467</v>
      </c>
      <c r="G73" s="363">
        <v>10</v>
      </c>
      <c r="H73" s="570">
        <v>5259</v>
      </c>
      <c r="I73" s="607">
        <v>44347</v>
      </c>
      <c r="J73" s="500">
        <v>10000</v>
      </c>
      <c r="K73" s="626">
        <v>7</v>
      </c>
      <c r="L73" s="626">
        <v>5.9</v>
      </c>
      <c r="M73" s="363">
        <f t="shared" si="12"/>
        <v>10000.007</v>
      </c>
      <c r="N73" s="496">
        <f t="shared" si="13"/>
        <v>10000.0059</v>
      </c>
      <c r="O73" s="637">
        <f t="shared" si="2"/>
        <v>0.63508529581789464</v>
      </c>
      <c r="P73" s="363">
        <v>16</v>
      </c>
      <c r="Q73" s="644">
        <f>(0.34848*((753.6+754.6)/2)-0.009*((54.8+55)/2)*EXP(0.0612*((21.6+21.7)/2)))/(273.15+((21.6+21.7)/2))</f>
        <v>0.88510824081966932</v>
      </c>
      <c r="R73" s="363" t="s">
        <v>121</v>
      </c>
      <c r="S73" s="634" t="s">
        <v>65</v>
      </c>
      <c r="T73" s="651">
        <v>2</v>
      </c>
      <c r="U73" s="667" t="s">
        <v>86</v>
      </c>
      <c r="V73" s="630" t="s">
        <v>86</v>
      </c>
      <c r="AJ73" s="55"/>
      <c r="AK73" s="55"/>
      <c r="AQ73" s="55"/>
      <c r="AR73" s="55"/>
      <c r="AS73" s="55"/>
      <c r="AT73" s="55"/>
      <c r="AU73" s="55"/>
      <c r="AV73" s="55"/>
      <c r="AW73" s="55"/>
      <c r="AX73" s="55"/>
    </row>
    <row r="74" spans="2:50" ht="30" customHeight="1" thickBot="1" x14ac:dyDescent="0.25">
      <c r="B74" s="1022"/>
      <c r="C74" s="728" t="s">
        <v>122</v>
      </c>
      <c r="D74" s="619" t="s">
        <v>100</v>
      </c>
      <c r="E74" s="619" t="s">
        <v>25</v>
      </c>
      <c r="F74" s="619">
        <v>11119468</v>
      </c>
      <c r="G74" s="619">
        <v>20</v>
      </c>
      <c r="H74" s="620">
        <v>5488</v>
      </c>
      <c r="I74" s="729">
        <v>44476</v>
      </c>
      <c r="J74" s="847">
        <v>20000</v>
      </c>
      <c r="K74" s="848">
        <v>-4</v>
      </c>
      <c r="L74" s="848">
        <v>-6</v>
      </c>
      <c r="M74" s="619">
        <f t="shared" si="12"/>
        <v>19999.995999999999</v>
      </c>
      <c r="N74" s="730">
        <f t="shared" si="13"/>
        <v>19999.993999999999</v>
      </c>
      <c r="O74" s="731">
        <f t="shared" si="2"/>
        <v>1.1547005386144951</v>
      </c>
      <c r="P74" s="619">
        <v>30</v>
      </c>
      <c r="Q74" s="648">
        <f>(0.34848*((749.2+749.3)/2)-0.009*((48.9+49.3)/2)*EXP(0.0612*((21.1+21.2)/2)))/(273.15+((21.1+21.2)/2))</f>
        <v>0.88170664241106156</v>
      </c>
      <c r="R74" s="619" t="s">
        <v>123</v>
      </c>
      <c r="S74" s="732" t="s">
        <v>65</v>
      </c>
      <c r="T74" s="651">
        <v>2</v>
      </c>
      <c r="U74" s="734" t="s">
        <v>86</v>
      </c>
      <c r="V74" s="735" t="s">
        <v>86</v>
      </c>
      <c r="AJ74" s="55"/>
      <c r="AK74" s="55"/>
      <c r="AQ74" s="55"/>
      <c r="AR74" s="55"/>
      <c r="AS74" s="55"/>
      <c r="AT74" s="55"/>
      <c r="AU74" s="55"/>
      <c r="AV74" s="55"/>
      <c r="AW74" s="55"/>
      <c r="AX74" s="55"/>
    </row>
    <row r="75" spans="2:50" ht="30" customHeight="1" x14ac:dyDescent="0.2">
      <c r="B75" s="957" t="s">
        <v>124</v>
      </c>
      <c r="C75" s="925" t="s">
        <v>125</v>
      </c>
      <c r="D75" s="363" t="s">
        <v>100</v>
      </c>
      <c r="E75" s="363" t="s">
        <v>51</v>
      </c>
      <c r="F75" s="363" t="s">
        <v>126</v>
      </c>
      <c r="G75" s="363" t="s">
        <v>52</v>
      </c>
      <c r="H75" s="570">
        <v>4788</v>
      </c>
      <c r="I75" s="607">
        <v>44509</v>
      </c>
      <c r="J75" s="500">
        <v>1</v>
      </c>
      <c r="K75" s="626">
        <v>0.04</v>
      </c>
      <c r="L75" s="626"/>
      <c r="M75" s="363">
        <f t="shared" si="12"/>
        <v>1.00004</v>
      </c>
      <c r="N75" s="505">
        <f t="shared" si="13"/>
        <v>1</v>
      </c>
      <c r="O75" s="637">
        <f t="shared" si="2"/>
        <v>2.3094010767608128E-2</v>
      </c>
      <c r="P75" s="500">
        <v>3.3000000000000002E-2</v>
      </c>
      <c r="Q75" s="644">
        <f>(0.34848*((751.2+755.7)/2)-0.009024*((48.4+57.9)/2)*EXP(0.0612*((19.5+20.7)/2)))/(273.15+((19.5+20.7)/2))</f>
        <v>0.88975669159417592</v>
      </c>
      <c r="R75" s="363" t="s">
        <v>127</v>
      </c>
      <c r="S75" s="497" t="s">
        <v>65</v>
      </c>
      <c r="T75" s="963">
        <v>2</v>
      </c>
      <c r="U75" s="736" t="s">
        <v>86</v>
      </c>
      <c r="V75" s="630" t="s">
        <v>86</v>
      </c>
      <c r="AJ75" s="55"/>
      <c r="AK75" s="55"/>
      <c r="AL75" s="55"/>
      <c r="AM75" s="55"/>
      <c r="AN75" s="55"/>
      <c r="AO75" s="55"/>
      <c r="AP75" s="55"/>
      <c r="AQ75" s="55"/>
      <c r="AR75" s="55"/>
      <c r="AS75" s="55"/>
      <c r="AT75" s="55"/>
      <c r="AU75" s="55"/>
      <c r="AV75" s="55"/>
      <c r="AW75" s="55"/>
      <c r="AX75" s="55"/>
    </row>
    <row r="76" spans="2:50" ht="30" customHeight="1" x14ac:dyDescent="0.2">
      <c r="B76" s="958"/>
      <c r="C76" s="926" t="s">
        <v>128</v>
      </c>
      <c r="D76" s="191" t="s">
        <v>100</v>
      </c>
      <c r="E76" s="191" t="s">
        <v>51</v>
      </c>
      <c r="F76" s="191" t="s">
        <v>126</v>
      </c>
      <c r="G76" s="191" t="s">
        <v>52</v>
      </c>
      <c r="H76" s="573">
        <v>4788</v>
      </c>
      <c r="I76" s="606">
        <v>44509</v>
      </c>
      <c r="J76" s="490">
        <v>2</v>
      </c>
      <c r="K76" s="627">
        <v>0.04</v>
      </c>
      <c r="L76" s="627"/>
      <c r="M76" s="191">
        <f t="shared" si="12"/>
        <v>2.0000399999999998</v>
      </c>
      <c r="N76" s="502">
        <f t="shared" si="13"/>
        <v>2</v>
      </c>
      <c r="O76" s="609">
        <f t="shared" si="2"/>
        <v>2.3094010767479932E-2</v>
      </c>
      <c r="P76" s="490">
        <v>0.04</v>
      </c>
      <c r="Q76" s="645">
        <f t="shared" ref="Q76:Q94" si="14">(0.34848*((751.2+755.7)/2)-0.009024*((48.4+57.9)/2)*EXP(0.0612*((19.5+20.7)/2)))/(273.15+((19.5+20.7)/2))</f>
        <v>0.88975669159417592</v>
      </c>
      <c r="R76" s="191" t="str">
        <f t="shared" ref="R76:R88" si="15">R75</f>
        <v>M-016</v>
      </c>
      <c r="S76" s="492" t="s">
        <v>65</v>
      </c>
      <c r="T76" s="964"/>
      <c r="U76" s="737" t="s">
        <v>86</v>
      </c>
      <c r="V76" s="666" t="s">
        <v>86</v>
      </c>
      <c r="AJ76" s="55"/>
      <c r="AK76" s="55"/>
      <c r="AL76" s="55"/>
      <c r="AM76" s="55"/>
      <c r="AN76" s="55"/>
      <c r="AO76" s="55"/>
      <c r="AP76" s="55"/>
      <c r="AQ76" s="55"/>
      <c r="AR76" s="55"/>
      <c r="AS76" s="55"/>
      <c r="AT76" s="55"/>
      <c r="AU76" s="55"/>
      <c r="AV76" s="55"/>
      <c r="AW76" s="55"/>
      <c r="AX76" s="55"/>
    </row>
    <row r="77" spans="2:50" ht="30" customHeight="1" x14ac:dyDescent="0.2">
      <c r="B77" s="958"/>
      <c r="C77" s="926" t="s">
        <v>129</v>
      </c>
      <c r="D77" s="191" t="s">
        <v>100</v>
      </c>
      <c r="E77" s="191" t="s">
        <v>51</v>
      </c>
      <c r="F77" s="191" t="s">
        <v>126</v>
      </c>
      <c r="G77" s="191" t="s">
        <v>130</v>
      </c>
      <c r="H77" s="573">
        <v>4788</v>
      </c>
      <c r="I77" s="606">
        <v>44509</v>
      </c>
      <c r="J77" s="490">
        <v>2</v>
      </c>
      <c r="K77" s="627">
        <v>0.05</v>
      </c>
      <c r="L77" s="627"/>
      <c r="M77" s="191">
        <f t="shared" si="12"/>
        <v>2.0000499999999999</v>
      </c>
      <c r="N77" s="501">
        <f t="shared" si="13"/>
        <v>2</v>
      </c>
      <c r="O77" s="609">
        <f t="shared" si="2"/>
        <v>2.8867513459414011E-2</v>
      </c>
      <c r="P77" s="490">
        <v>0.04</v>
      </c>
      <c r="Q77" s="645">
        <f t="shared" si="14"/>
        <v>0.88975669159417592</v>
      </c>
      <c r="R77" s="191" t="str">
        <f t="shared" si="15"/>
        <v>M-016</v>
      </c>
      <c r="S77" s="492" t="s">
        <v>65</v>
      </c>
      <c r="T77" s="964"/>
      <c r="U77" s="737" t="s">
        <v>86</v>
      </c>
      <c r="V77" s="666" t="s">
        <v>86</v>
      </c>
      <c r="AJ77" s="55"/>
      <c r="AK77" s="55"/>
      <c r="AL77" s="55"/>
      <c r="AM77" s="55"/>
      <c r="AN77" s="55"/>
      <c r="AO77" s="55"/>
      <c r="AP77" s="55"/>
      <c r="AQ77" s="55"/>
      <c r="AR77" s="55"/>
      <c r="AS77" s="55"/>
      <c r="AT77" s="55"/>
      <c r="AU77" s="55"/>
      <c r="AV77" s="55"/>
      <c r="AW77" s="55"/>
      <c r="AX77" s="55"/>
    </row>
    <row r="78" spans="2:50" ht="30" customHeight="1" x14ac:dyDescent="0.2">
      <c r="B78" s="958"/>
      <c r="C78" s="926" t="s">
        <v>131</v>
      </c>
      <c r="D78" s="191" t="s">
        <v>100</v>
      </c>
      <c r="E78" s="191" t="s">
        <v>51</v>
      </c>
      <c r="F78" s="191" t="s">
        <v>126</v>
      </c>
      <c r="G78" s="191" t="s">
        <v>52</v>
      </c>
      <c r="H78" s="573">
        <v>4788</v>
      </c>
      <c r="I78" s="606">
        <v>44509</v>
      </c>
      <c r="J78" s="490">
        <v>5</v>
      </c>
      <c r="K78" s="627">
        <v>7.0000000000000007E-2</v>
      </c>
      <c r="L78" s="627">
        <v>0.04</v>
      </c>
      <c r="M78" s="191">
        <f t="shared" si="12"/>
        <v>5.00007</v>
      </c>
      <c r="N78" s="501">
        <f t="shared" si="13"/>
        <v>5.0000400000000003</v>
      </c>
      <c r="O78" s="609">
        <f t="shared" si="2"/>
        <v>1.7320508075545849E-2</v>
      </c>
      <c r="P78" s="490">
        <v>0.05</v>
      </c>
      <c r="Q78" s="645">
        <f t="shared" si="14"/>
        <v>0.88975669159417592</v>
      </c>
      <c r="R78" s="191" t="str">
        <f t="shared" si="15"/>
        <v>M-016</v>
      </c>
      <c r="S78" s="492" t="s">
        <v>65</v>
      </c>
      <c r="T78" s="964"/>
      <c r="U78" s="737" t="s">
        <v>86</v>
      </c>
      <c r="V78" s="666" t="s">
        <v>86</v>
      </c>
      <c r="AJ78" s="55"/>
      <c r="AK78" s="55"/>
      <c r="AL78" s="55"/>
      <c r="AM78" s="55"/>
      <c r="AN78" s="55"/>
      <c r="AO78" s="55"/>
      <c r="AP78" s="55"/>
      <c r="AQ78" s="55"/>
      <c r="AR78" s="55"/>
      <c r="AS78" s="55"/>
      <c r="AT78" s="55"/>
      <c r="AU78" s="55"/>
      <c r="AV78" s="55"/>
      <c r="AW78" s="55"/>
      <c r="AX78" s="55"/>
    </row>
    <row r="79" spans="2:50" ht="30" customHeight="1" x14ac:dyDescent="0.2">
      <c r="B79" s="958"/>
      <c r="C79" s="926" t="s">
        <v>132</v>
      </c>
      <c r="D79" s="191" t="s">
        <v>100</v>
      </c>
      <c r="E79" s="191" t="s">
        <v>51</v>
      </c>
      <c r="F79" s="191" t="s">
        <v>126</v>
      </c>
      <c r="G79" s="191" t="s">
        <v>52</v>
      </c>
      <c r="H79" s="573">
        <v>4788</v>
      </c>
      <c r="I79" s="606">
        <v>44509</v>
      </c>
      <c r="J79" s="490">
        <v>10</v>
      </c>
      <c r="K79" s="627">
        <v>0.09</v>
      </c>
      <c r="L79" s="627">
        <v>0.03</v>
      </c>
      <c r="M79" s="191">
        <f t="shared" si="12"/>
        <v>10.00009</v>
      </c>
      <c r="N79" s="501">
        <f t="shared" si="13"/>
        <v>10.000030000000001</v>
      </c>
      <c r="O79" s="609">
        <f t="shared" si="2"/>
        <v>3.4641016151091698E-2</v>
      </c>
      <c r="P79" s="490">
        <v>0.06</v>
      </c>
      <c r="Q79" s="645">
        <f t="shared" si="14"/>
        <v>0.88975669159417592</v>
      </c>
      <c r="R79" s="191" t="str">
        <f t="shared" si="15"/>
        <v>M-016</v>
      </c>
      <c r="S79" s="492" t="s">
        <v>65</v>
      </c>
      <c r="T79" s="964"/>
      <c r="U79" s="737" t="s">
        <v>86</v>
      </c>
      <c r="V79" s="666" t="s">
        <v>86</v>
      </c>
      <c r="AJ79" s="55"/>
      <c r="AK79" s="55"/>
      <c r="AL79" s="55"/>
      <c r="AM79" s="55"/>
      <c r="AN79" s="55"/>
      <c r="AO79" s="55"/>
      <c r="AP79" s="55"/>
      <c r="AQ79" s="55"/>
      <c r="AR79" s="55"/>
      <c r="AS79" s="55"/>
      <c r="AT79" s="55"/>
      <c r="AU79" s="55"/>
      <c r="AV79" s="55"/>
      <c r="AW79" s="55"/>
      <c r="AX79" s="55"/>
    </row>
    <row r="80" spans="2:50" ht="30" customHeight="1" x14ac:dyDescent="0.2">
      <c r="B80" s="958"/>
      <c r="C80" s="926" t="s">
        <v>133</v>
      </c>
      <c r="D80" s="191" t="s">
        <v>100</v>
      </c>
      <c r="E80" s="191" t="s">
        <v>51</v>
      </c>
      <c r="F80" s="191" t="s">
        <v>126</v>
      </c>
      <c r="G80" s="191" t="s">
        <v>52</v>
      </c>
      <c r="H80" s="573">
        <v>4788</v>
      </c>
      <c r="I80" s="606">
        <v>44509</v>
      </c>
      <c r="J80" s="490">
        <v>20</v>
      </c>
      <c r="K80" s="627">
        <v>0.11</v>
      </c>
      <c r="L80" s="627">
        <v>0.05</v>
      </c>
      <c r="M80" s="191">
        <f t="shared" si="12"/>
        <v>20.000109999999999</v>
      </c>
      <c r="N80" s="501">
        <f t="shared" si="13"/>
        <v>20.000050000000002</v>
      </c>
      <c r="O80" s="609">
        <f t="shared" si="2"/>
        <v>3.4641016150066116E-2</v>
      </c>
      <c r="P80" s="490">
        <v>8.3000000000000004E-2</v>
      </c>
      <c r="Q80" s="645">
        <f t="shared" si="14"/>
        <v>0.88975669159417592</v>
      </c>
      <c r="R80" s="191" t="str">
        <f t="shared" si="15"/>
        <v>M-016</v>
      </c>
      <c r="S80" s="492" t="s">
        <v>65</v>
      </c>
      <c r="T80" s="964"/>
      <c r="U80" s="737" t="s">
        <v>86</v>
      </c>
      <c r="V80" s="666" t="s">
        <v>86</v>
      </c>
      <c r="AJ80" s="55"/>
      <c r="AK80" s="55"/>
      <c r="AL80" s="55"/>
      <c r="AM80" s="55"/>
      <c r="AN80" s="55"/>
      <c r="AO80" s="55"/>
      <c r="AP80" s="55"/>
      <c r="AQ80" s="55"/>
      <c r="AR80" s="55"/>
      <c r="AS80" s="55"/>
      <c r="AT80" s="55"/>
      <c r="AU80" s="55"/>
      <c r="AV80" s="55"/>
      <c r="AW80" s="55"/>
      <c r="AX80" s="55"/>
    </row>
    <row r="81" spans="2:50" ht="30" customHeight="1" x14ac:dyDescent="0.2">
      <c r="B81" s="958"/>
      <c r="C81" s="926" t="s">
        <v>134</v>
      </c>
      <c r="D81" s="191" t="s">
        <v>100</v>
      </c>
      <c r="E81" s="191" t="s">
        <v>51</v>
      </c>
      <c r="F81" s="191" t="s">
        <v>126</v>
      </c>
      <c r="G81" s="191" t="s">
        <v>130</v>
      </c>
      <c r="H81" s="573">
        <v>4788</v>
      </c>
      <c r="I81" s="606">
        <v>44509</v>
      </c>
      <c r="J81" s="490">
        <v>20</v>
      </c>
      <c r="K81" s="627">
        <v>0.1</v>
      </c>
      <c r="L81" s="627">
        <v>7.0000000000000007E-2</v>
      </c>
      <c r="M81" s="191">
        <f t="shared" si="12"/>
        <v>20.0001</v>
      </c>
      <c r="N81" s="501">
        <f t="shared" si="13"/>
        <v>20.000070000000001</v>
      </c>
      <c r="O81" s="609">
        <f t="shared" si="2"/>
        <v>1.7320508075033058E-2</v>
      </c>
      <c r="P81" s="490">
        <v>8.3000000000000004E-2</v>
      </c>
      <c r="Q81" s="645">
        <f t="shared" si="14"/>
        <v>0.88975669159417592</v>
      </c>
      <c r="R81" s="191" t="str">
        <f t="shared" si="15"/>
        <v>M-016</v>
      </c>
      <c r="S81" s="492" t="s">
        <v>65</v>
      </c>
      <c r="T81" s="964"/>
      <c r="U81" s="737" t="s">
        <v>86</v>
      </c>
      <c r="V81" s="666" t="s">
        <v>86</v>
      </c>
      <c r="AJ81" s="55"/>
      <c r="AK81" s="55"/>
      <c r="AL81" s="55"/>
      <c r="AM81" s="55"/>
      <c r="AN81" s="55"/>
      <c r="AO81" s="55"/>
      <c r="AP81" s="55"/>
      <c r="AQ81" s="55"/>
      <c r="AR81" s="55"/>
      <c r="AS81" s="55"/>
      <c r="AT81" s="55"/>
      <c r="AU81" s="55"/>
      <c r="AV81" s="55"/>
      <c r="AW81" s="55"/>
      <c r="AX81" s="55"/>
    </row>
    <row r="82" spans="2:50" ht="30" customHeight="1" x14ac:dyDescent="0.2">
      <c r="B82" s="958"/>
      <c r="C82" s="926" t="s">
        <v>135</v>
      </c>
      <c r="D82" s="191" t="s">
        <v>100</v>
      </c>
      <c r="E82" s="191" t="s">
        <v>51</v>
      </c>
      <c r="F82" s="191" t="s">
        <v>126</v>
      </c>
      <c r="G82" s="191" t="s">
        <v>52</v>
      </c>
      <c r="H82" s="573">
        <v>4788</v>
      </c>
      <c r="I82" s="606">
        <v>44509</v>
      </c>
      <c r="J82" s="490">
        <v>50</v>
      </c>
      <c r="K82" s="627">
        <v>0.1</v>
      </c>
      <c r="L82" s="627">
        <v>0.08</v>
      </c>
      <c r="M82" s="191">
        <f t="shared" si="12"/>
        <v>50.000100000000003</v>
      </c>
      <c r="N82" s="502">
        <f t="shared" si="13"/>
        <v>50.000079999999997</v>
      </c>
      <c r="O82" s="609">
        <f t="shared" si="2"/>
        <v>1.1547005387457693E-2</v>
      </c>
      <c r="P82" s="490">
        <v>0.1</v>
      </c>
      <c r="Q82" s="645">
        <f t="shared" si="14"/>
        <v>0.88975669159417592</v>
      </c>
      <c r="R82" s="191" t="str">
        <f t="shared" si="15"/>
        <v>M-016</v>
      </c>
      <c r="S82" s="492" t="s">
        <v>65</v>
      </c>
      <c r="T82" s="964"/>
      <c r="U82" s="737" t="s">
        <v>86</v>
      </c>
      <c r="V82" s="666" t="s">
        <v>86</v>
      </c>
      <c r="AJ82" s="55"/>
      <c r="AK82" s="55"/>
      <c r="AL82" s="55"/>
      <c r="AM82" s="55"/>
      <c r="AN82" s="55"/>
      <c r="AO82" s="55"/>
      <c r="AP82" s="55"/>
      <c r="AQ82" s="55"/>
      <c r="AR82" s="55"/>
      <c r="AS82" s="55"/>
      <c r="AT82" s="55"/>
      <c r="AU82" s="55"/>
      <c r="AV82" s="55"/>
      <c r="AW82" s="55"/>
      <c r="AX82" s="55"/>
    </row>
    <row r="83" spans="2:50" ht="30" customHeight="1" x14ac:dyDescent="0.2">
      <c r="B83" s="958"/>
      <c r="C83" s="926" t="s">
        <v>136</v>
      </c>
      <c r="D83" s="191" t="s">
        <v>100</v>
      </c>
      <c r="E83" s="191" t="s">
        <v>51</v>
      </c>
      <c r="F83" s="191" t="s">
        <v>126</v>
      </c>
      <c r="G83" s="191" t="s">
        <v>52</v>
      </c>
      <c r="H83" s="573">
        <v>4788</v>
      </c>
      <c r="I83" s="606">
        <v>44509</v>
      </c>
      <c r="J83" s="490">
        <v>100</v>
      </c>
      <c r="K83" s="627">
        <v>0.12</v>
      </c>
      <c r="L83" s="627">
        <v>0.11</v>
      </c>
      <c r="M83" s="191">
        <f t="shared" si="12"/>
        <v>100.00012</v>
      </c>
      <c r="N83" s="502">
        <f t="shared" si="13"/>
        <v>100.00011000000001</v>
      </c>
      <c r="O83" s="609">
        <f t="shared" si="2"/>
        <v>5.7735026855242058E-3</v>
      </c>
      <c r="P83" s="191">
        <v>0.16</v>
      </c>
      <c r="Q83" s="645">
        <f t="shared" si="14"/>
        <v>0.88975669159417592</v>
      </c>
      <c r="R83" s="191" t="str">
        <f t="shared" si="15"/>
        <v>M-016</v>
      </c>
      <c r="S83" s="492" t="s">
        <v>65</v>
      </c>
      <c r="T83" s="964"/>
      <c r="U83" s="737" t="s">
        <v>86</v>
      </c>
      <c r="V83" s="666" t="s">
        <v>86</v>
      </c>
      <c r="AJ83" s="55"/>
      <c r="AK83" s="55"/>
      <c r="AV83" s="55"/>
      <c r="AW83" s="55"/>
      <c r="AX83" s="55"/>
    </row>
    <row r="84" spans="2:50" ht="30" customHeight="1" x14ac:dyDescent="0.2">
      <c r="B84" s="958"/>
      <c r="C84" s="926" t="s">
        <v>137</v>
      </c>
      <c r="D84" s="191" t="s">
        <v>100</v>
      </c>
      <c r="E84" s="191" t="s">
        <v>51</v>
      </c>
      <c r="F84" s="191" t="s">
        <v>126</v>
      </c>
      <c r="G84" s="191" t="s">
        <v>52</v>
      </c>
      <c r="H84" s="573">
        <v>4788</v>
      </c>
      <c r="I84" s="606">
        <v>44509</v>
      </c>
      <c r="J84" s="490">
        <v>200</v>
      </c>
      <c r="K84" s="627">
        <v>0.3</v>
      </c>
      <c r="L84" s="627">
        <v>0.1</v>
      </c>
      <c r="M84" s="191">
        <f t="shared" si="12"/>
        <v>200.00030000000001</v>
      </c>
      <c r="N84" s="502">
        <f t="shared" si="13"/>
        <v>200.0001</v>
      </c>
      <c r="O84" s="609">
        <f t="shared" si="2"/>
        <v>0.11547005384175836</v>
      </c>
      <c r="P84" s="493">
        <v>0.33</v>
      </c>
      <c r="Q84" s="645">
        <f t="shared" si="14"/>
        <v>0.88975669159417592</v>
      </c>
      <c r="R84" s="191" t="str">
        <f t="shared" si="15"/>
        <v>M-016</v>
      </c>
      <c r="S84" s="492" t="s">
        <v>65</v>
      </c>
      <c r="T84" s="964"/>
      <c r="U84" s="737" t="s">
        <v>86</v>
      </c>
      <c r="V84" s="666" t="s">
        <v>86</v>
      </c>
      <c r="AJ84" s="55"/>
      <c r="AK84" s="55"/>
      <c r="AV84" s="55"/>
      <c r="AW84" s="55"/>
      <c r="AX84" s="55"/>
    </row>
    <row r="85" spans="2:50" ht="30" customHeight="1" x14ac:dyDescent="0.2">
      <c r="B85" s="958"/>
      <c r="C85" s="926" t="s">
        <v>138</v>
      </c>
      <c r="D85" s="191" t="s">
        <v>100</v>
      </c>
      <c r="E85" s="191" t="s">
        <v>51</v>
      </c>
      <c r="F85" s="191" t="s">
        <v>126</v>
      </c>
      <c r="G85" s="191" t="s">
        <v>130</v>
      </c>
      <c r="H85" s="573">
        <v>4788</v>
      </c>
      <c r="I85" s="606">
        <v>44509</v>
      </c>
      <c r="J85" s="490">
        <v>200</v>
      </c>
      <c r="K85" s="627">
        <v>0.4</v>
      </c>
      <c r="L85" s="627">
        <v>0.08</v>
      </c>
      <c r="M85" s="191">
        <f t="shared" si="12"/>
        <v>200.00040000000001</v>
      </c>
      <c r="N85" s="502">
        <f t="shared" si="13"/>
        <v>200.00008</v>
      </c>
      <c r="O85" s="609">
        <f t="shared" si="2"/>
        <v>0.18475208615009525</v>
      </c>
      <c r="P85" s="493">
        <v>0.33</v>
      </c>
      <c r="Q85" s="645">
        <f t="shared" si="14"/>
        <v>0.88975669159417592</v>
      </c>
      <c r="R85" s="191" t="str">
        <f t="shared" si="15"/>
        <v>M-016</v>
      </c>
      <c r="S85" s="492" t="s">
        <v>65</v>
      </c>
      <c r="T85" s="964"/>
      <c r="U85" s="737" t="s">
        <v>86</v>
      </c>
      <c r="V85" s="666" t="s">
        <v>86</v>
      </c>
      <c r="AJ85" s="55"/>
      <c r="AK85" s="55"/>
      <c r="AV85" s="55"/>
      <c r="AW85" s="55"/>
      <c r="AX85" s="55"/>
    </row>
    <row r="86" spans="2:50" ht="30" customHeight="1" x14ac:dyDescent="0.2">
      <c r="B86" s="958"/>
      <c r="C86" s="926" t="s">
        <v>139</v>
      </c>
      <c r="D86" s="191" t="s">
        <v>100</v>
      </c>
      <c r="E86" s="191" t="s">
        <v>51</v>
      </c>
      <c r="F86" s="191" t="s">
        <v>126</v>
      </c>
      <c r="G86" s="191" t="s">
        <v>52</v>
      </c>
      <c r="H86" s="573">
        <v>4788</v>
      </c>
      <c r="I86" s="606">
        <v>44509</v>
      </c>
      <c r="J86" s="490">
        <v>500</v>
      </c>
      <c r="K86" s="627">
        <v>0.9</v>
      </c>
      <c r="L86" s="627">
        <v>0.11</v>
      </c>
      <c r="M86" s="191">
        <f t="shared" si="12"/>
        <v>500.0009</v>
      </c>
      <c r="N86" s="502">
        <f t="shared" si="13"/>
        <v>500.00011000000001</v>
      </c>
      <c r="O86" s="609">
        <f t="shared" si="2"/>
        <v>0.4561067126568954</v>
      </c>
      <c r="P86" s="493">
        <v>0.83</v>
      </c>
      <c r="Q86" s="645">
        <f t="shared" si="14"/>
        <v>0.88975669159417592</v>
      </c>
      <c r="R86" s="191" t="str">
        <f t="shared" si="15"/>
        <v>M-016</v>
      </c>
      <c r="S86" s="492" t="s">
        <v>65</v>
      </c>
      <c r="T86" s="964"/>
      <c r="U86" s="737" t="s">
        <v>86</v>
      </c>
      <c r="V86" s="666" t="s">
        <v>86</v>
      </c>
      <c r="AJ86" s="55"/>
      <c r="AK86" s="55"/>
      <c r="AV86" s="55"/>
      <c r="AW86" s="55"/>
      <c r="AX86" s="55"/>
    </row>
    <row r="87" spans="2:50" ht="30" customHeight="1" x14ac:dyDescent="0.2">
      <c r="B87" s="958"/>
      <c r="C87" s="926" t="s">
        <v>140</v>
      </c>
      <c r="D87" s="191" t="s">
        <v>100</v>
      </c>
      <c r="E87" s="191" t="s">
        <v>51</v>
      </c>
      <c r="F87" s="191" t="s">
        <v>126</v>
      </c>
      <c r="G87" s="191" t="s">
        <v>52</v>
      </c>
      <c r="H87" s="573">
        <v>4788</v>
      </c>
      <c r="I87" s="606">
        <v>44509</v>
      </c>
      <c r="J87" s="490">
        <v>1000</v>
      </c>
      <c r="K87" s="627">
        <v>-0.5</v>
      </c>
      <c r="L87" s="627">
        <v>0.3</v>
      </c>
      <c r="M87" s="191">
        <f t="shared" si="12"/>
        <v>999.99950000000001</v>
      </c>
      <c r="N87" s="491">
        <f t="shared" si="13"/>
        <v>1000.0003</v>
      </c>
      <c r="O87" s="609">
        <f t="shared" si="2"/>
        <v>0.46188021536703344</v>
      </c>
      <c r="P87" s="191">
        <v>1.6</v>
      </c>
      <c r="Q87" s="645">
        <f t="shared" si="14"/>
        <v>0.88975669159417592</v>
      </c>
      <c r="R87" s="191" t="str">
        <f t="shared" si="15"/>
        <v>M-016</v>
      </c>
      <c r="S87" s="492" t="s">
        <v>65</v>
      </c>
      <c r="T87" s="964"/>
      <c r="U87" s="737" t="s">
        <v>86</v>
      </c>
      <c r="V87" s="666" t="s">
        <v>86</v>
      </c>
      <c r="AJ87" s="55"/>
      <c r="AK87" s="55"/>
      <c r="AV87" s="55"/>
      <c r="AW87" s="55"/>
      <c r="AX87" s="55"/>
    </row>
    <row r="88" spans="2:50" ht="30" customHeight="1" x14ac:dyDescent="0.2">
      <c r="B88" s="958"/>
      <c r="C88" s="926" t="s">
        <v>141</v>
      </c>
      <c r="D88" s="191" t="s">
        <v>100</v>
      </c>
      <c r="E88" s="191" t="s">
        <v>51</v>
      </c>
      <c r="F88" s="191" t="s">
        <v>126</v>
      </c>
      <c r="G88" s="191" t="s">
        <v>52</v>
      </c>
      <c r="H88" s="573">
        <v>4788</v>
      </c>
      <c r="I88" s="660" t="s">
        <v>142</v>
      </c>
      <c r="J88" s="490">
        <v>2000</v>
      </c>
      <c r="K88" s="627">
        <v>3.1</v>
      </c>
      <c r="L88" s="627">
        <v>0.3</v>
      </c>
      <c r="M88" s="191">
        <f t="shared" si="12"/>
        <v>2000.0030999999999</v>
      </c>
      <c r="N88" s="491">
        <f t="shared" si="13"/>
        <v>2000.0002999999999</v>
      </c>
      <c r="O88" s="609">
        <f t="shared" si="2"/>
        <v>1.61658075371898</v>
      </c>
      <c r="P88" s="493">
        <v>3</v>
      </c>
      <c r="Q88" s="645">
        <f t="shared" si="14"/>
        <v>0.88975669159417592</v>
      </c>
      <c r="R88" s="191" t="str">
        <f t="shared" si="15"/>
        <v>M-016</v>
      </c>
      <c r="S88" s="492" t="s">
        <v>65</v>
      </c>
      <c r="T88" s="964"/>
      <c r="U88" s="737" t="s">
        <v>86</v>
      </c>
      <c r="V88" s="666" t="s">
        <v>86</v>
      </c>
      <c r="AJ88" s="55"/>
      <c r="AK88" s="55"/>
      <c r="AV88" s="55"/>
      <c r="AW88" s="55"/>
      <c r="AX88" s="55"/>
    </row>
    <row r="89" spans="2:50" ht="30" customHeight="1" x14ac:dyDescent="0.2">
      <c r="B89" s="958"/>
      <c r="C89" s="926" t="s">
        <v>143</v>
      </c>
      <c r="D89" s="191" t="s">
        <v>100</v>
      </c>
      <c r="E89" s="191" t="s">
        <v>51</v>
      </c>
      <c r="F89" s="191" t="s">
        <v>126</v>
      </c>
      <c r="G89" s="191" t="s">
        <v>130</v>
      </c>
      <c r="H89" s="573">
        <v>4788</v>
      </c>
      <c r="I89" s="606">
        <v>44509</v>
      </c>
      <c r="J89" s="490">
        <v>2000</v>
      </c>
      <c r="K89" s="627">
        <v>3.2</v>
      </c>
      <c r="L89" s="627">
        <v>0.8</v>
      </c>
      <c r="M89" s="191">
        <f t="shared" si="12"/>
        <v>2000.0032000000001</v>
      </c>
      <c r="N89" s="491">
        <f t="shared" si="13"/>
        <v>2000.0008</v>
      </c>
      <c r="O89" s="609">
        <f t="shared" si="2"/>
        <v>1.3856406461011004</v>
      </c>
      <c r="P89" s="493">
        <v>3</v>
      </c>
      <c r="Q89" s="645">
        <f t="shared" si="14"/>
        <v>0.88975669159417592</v>
      </c>
      <c r="R89" s="191" t="str">
        <f>R88</f>
        <v>M-016</v>
      </c>
      <c r="S89" s="492" t="s">
        <v>65</v>
      </c>
      <c r="T89" s="964"/>
      <c r="U89" s="737" t="s">
        <v>86</v>
      </c>
      <c r="V89" s="666" t="s">
        <v>86</v>
      </c>
      <c r="AJ89" s="55"/>
      <c r="AK89" s="55"/>
      <c r="AV89" s="55"/>
      <c r="AW89" s="55"/>
      <c r="AX89" s="55"/>
    </row>
    <row r="90" spans="2:50" ht="30" customHeight="1" x14ac:dyDescent="0.2">
      <c r="B90" s="958"/>
      <c r="C90" s="926" t="s">
        <v>144</v>
      </c>
      <c r="D90" s="191" t="s">
        <v>100</v>
      </c>
      <c r="E90" s="191" t="s">
        <v>51</v>
      </c>
      <c r="F90" s="191" t="s">
        <v>126</v>
      </c>
      <c r="G90" s="191" t="s">
        <v>130</v>
      </c>
      <c r="H90" s="573">
        <v>4788</v>
      </c>
      <c r="I90" s="606">
        <v>44509</v>
      </c>
      <c r="J90" s="490">
        <f>SUM(J88:J89)</f>
        <v>4000</v>
      </c>
      <c r="K90" s="627">
        <f>SUM(K88:K89)</f>
        <v>6.3000000000000007</v>
      </c>
      <c r="L90" s="627">
        <f>SUM(L88:L89)</f>
        <v>1.1000000000000001</v>
      </c>
      <c r="M90" s="491">
        <f t="shared" si="12"/>
        <v>4000.0063</v>
      </c>
      <c r="N90" s="491">
        <f t="shared" si="13"/>
        <v>4000.0011</v>
      </c>
      <c r="O90" s="609">
        <f t="shared" si="2"/>
        <v>3.0022213998200806</v>
      </c>
      <c r="P90" s="493">
        <f>P89+P88</f>
        <v>6</v>
      </c>
      <c r="Q90" s="645">
        <f t="shared" si="14"/>
        <v>0.88975669159417592</v>
      </c>
      <c r="R90" s="191" t="str">
        <f t="shared" ref="R90:R93" si="16">R89</f>
        <v>M-016</v>
      </c>
      <c r="S90" s="492" t="s">
        <v>65</v>
      </c>
      <c r="T90" s="964"/>
      <c r="U90" s="737" t="s">
        <v>86</v>
      </c>
      <c r="V90" s="666" t="s">
        <v>86</v>
      </c>
      <c r="AJ90" s="55"/>
      <c r="AK90" s="55"/>
      <c r="AV90" s="55"/>
      <c r="AW90" s="55"/>
      <c r="AX90" s="55"/>
    </row>
    <row r="91" spans="2:50" ht="30" customHeight="1" x14ac:dyDescent="0.2">
      <c r="B91" s="958"/>
      <c r="C91" s="926" t="s">
        <v>145</v>
      </c>
      <c r="D91" s="191" t="s">
        <v>100</v>
      </c>
      <c r="E91" s="191" t="s">
        <v>51</v>
      </c>
      <c r="F91" s="191" t="s">
        <v>126</v>
      </c>
      <c r="G91" s="191" t="s">
        <v>52</v>
      </c>
      <c r="H91" s="573">
        <v>4788</v>
      </c>
      <c r="I91" s="606">
        <v>44509</v>
      </c>
      <c r="J91" s="490">
        <v>5000</v>
      </c>
      <c r="K91" s="627">
        <v>7.9</v>
      </c>
      <c r="L91" s="627">
        <v>7.8</v>
      </c>
      <c r="M91" s="191">
        <f t="shared" si="12"/>
        <v>5000.0078999999996</v>
      </c>
      <c r="N91" s="491">
        <f t="shared" si="13"/>
        <v>5000.0078000000003</v>
      </c>
      <c r="O91" s="609">
        <f t="shared" si="2"/>
        <v>5.7735026510647144E-2</v>
      </c>
      <c r="P91" s="493">
        <v>8</v>
      </c>
      <c r="Q91" s="645">
        <f t="shared" si="14"/>
        <v>0.88975669159417592</v>
      </c>
      <c r="R91" s="191" t="str">
        <f t="shared" si="16"/>
        <v>M-016</v>
      </c>
      <c r="S91" s="492" t="s">
        <v>65</v>
      </c>
      <c r="T91" s="964"/>
      <c r="U91" s="737" t="s">
        <v>86</v>
      </c>
      <c r="V91" s="666" t="s">
        <v>86</v>
      </c>
      <c r="AJ91" s="55"/>
      <c r="AK91" s="55"/>
      <c r="AV91" s="55"/>
      <c r="AW91" s="55"/>
      <c r="AX91" s="55"/>
    </row>
    <row r="92" spans="2:50" ht="30" customHeight="1" x14ac:dyDescent="0.2">
      <c r="B92" s="958"/>
      <c r="C92" s="926" t="s">
        <v>146</v>
      </c>
      <c r="D92" s="191" t="s">
        <v>100</v>
      </c>
      <c r="E92" s="191" t="s">
        <v>51</v>
      </c>
      <c r="F92" s="191" t="s">
        <v>126</v>
      </c>
      <c r="G92" s="191" t="s">
        <v>52</v>
      </c>
      <c r="H92" s="573">
        <v>4788</v>
      </c>
      <c r="I92" s="606">
        <v>44509</v>
      </c>
      <c r="J92" s="490">
        <f>J91+J87</f>
        <v>6000</v>
      </c>
      <c r="K92" s="627">
        <f>K91+K87</f>
        <v>7.4</v>
      </c>
      <c r="L92" s="627">
        <f>L91+L87</f>
        <v>8.1</v>
      </c>
      <c r="M92" s="191">
        <f t="shared" si="12"/>
        <v>6000.0074000000004</v>
      </c>
      <c r="N92" s="491">
        <f t="shared" si="13"/>
        <v>6000.0081</v>
      </c>
      <c r="O92" s="609">
        <f t="shared" si="2"/>
        <v>0.40414518820001505</v>
      </c>
      <c r="P92" s="493">
        <f>P91+P87</f>
        <v>9.6</v>
      </c>
      <c r="Q92" s="645">
        <f t="shared" si="14"/>
        <v>0.88975669159417592</v>
      </c>
      <c r="R92" s="191" t="str">
        <f t="shared" si="16"/>
        <v>M-016</v>
      </c>
      <c r="S92" s="492" t="s">
        <v>65</v>
      </c>
      <c r="T92" s="964"/>
      <c r="U92" s="737" t="s">
        <v>86</v>
      </c>
      <c r="V92" s="666" t="s">
        <v>86</v>
      </c>
      <c r="Y92" s="55"/>
      <c r="Z92" s="55"/>
      <c r="AJ92" s="55"/>
      <c r="AK92" s="55"/>
      <c r="AV92" s="55"/>
      <c r="AW92" s="55"/>
      <c r="AX92" s="55"/>
    </row>
    <row r="93" spans="2:50" ht="30" customHeight="1" x14ac:dyDescent="0.2">
      <c r="B93" s="958"/>
      <c r="C93" s="926" t="s">
        <v>147</v>
      </c>
      <c r="D93" s="191" t="s">
        <v>100</v>
      </c>
      <c r="E93" s="191" t="s">
        <v>148</v>
      </c>
      <c r="F93" s="191" t="s">
        <v>126</v>
      </c>
      <c r="G93" s="191" t="s">
        <v>52</v>
      </c>
      <c r="H93" s="573">
        <v>4788</v>
      </c>
      <c r="I93" s="606">
        <v>44509</v>
      </c>
      <c r="J93" s="490">
        <f>J91+J88+J87+J84</f>
        <v>8200</v>
      </c>
      <c r="K93" s="627">
        <f>K91+K88+K87+K84</f>
        <v>10.8</v>
      </c>
      <c r="L93" s="627">
        <f>L91+L88+L87+L84</f>
        <v>8.5</v>
      </c>
      <c r="M93" s="191">
        <f>J93+(K93)/1000</f>
        <v>8200.0108</v>
      </c>
      <c r="N93" s="491">
        <f t="shared" si="13"/>
        <v>8200.0084999999999</v>
      </c>
      <c r="O93" s="609">
        <f t="shared" si="2"/>
        <v>1.3279056191966305</v>
      </c>
      <c r="P93" s="493">
        <f>P91+P88+P87+P84</f>
        <v>12.93</v>
      </c>
      <c r="Q93" s="645">
        <f t="shared" si="14"/>
        <v>0.88975669159417592</v>
      </c>
      <c r="R93" s="191" t="str">
        <f t="shared" si="16"/>
        <v>M-016</v>
      </c>
      <c r="S93" s="492" t="s">
        <v>65</v>
      </c>
      <c r="T93" s="964"/>
      <c r="U93" s="737" t="s">
        <v>86</v>
      </c>
      <c r="V93" s="666" t="s">
        <v>86</v>
      </c>
      <c r="W93" s="482"/>
      <c r="X93" s="55"/>
      <c r="Y93" s="55"/>
      <c r="Z93" s="55"/>
      <c r="AA93" s="55"/>
      <c r="AB93" s="55"/>
      <c r="AC93" s="55"/>
      <c r="AD93" s="55"/>
      <c r="AE93" s="55"/>
      <c r="AF93" s="55"/>
      <c r="AG93" s="55"/>
      <c r="AH93" s="55"/>
      <c r="AI93" s="55"/>
      <c r="AJ93" s="55"/>
      <c r="AK93" s="55"/>
      <c r="AV93" s="55"/>
      <c r="AW93" s="55"/>
      <c r="AX93" s="55"/>
    </row>
    <row r="94" spans="2:50" ht="30" customHeight="1" thickBot="1" x14ac:dyDescent="0.25">
      <c r="B94" s="958"/>
      <c r="C94" s="927" t="s">
        <v>149</v>
      </c>
      <c r="D94" s="364" t="s">
        <v>50</v>
      </c>
      <c r="E94" s="906" t="s">
        <v>150</v>
      </c>
      <c r="F94" s="364">
        <v>1913626</v>
      </c>
      <c r="G94" s="364" t="s">
        <v>151</v>
      </c>
      <c r="H94" s="907" t="str">
        <f>H88&amp;"-
 "&amp;H103</f>
        <v>4788-
 5261</v>
      </c>
      <c r="I94" s="908" t="str">
        <f>I88&amp;"-
 "&amp;I103</f>
        <v>2021-11-09-
 2021-05-31</v>
      </c>
      <c r="J94" s="844">
        <f>J103+J88</f>
        <v>12000</v>
      </c>
      <c r="K94" s="833">
        <f t="shared" ref="K94:L94" si="17">K103+K88</f>
        <v>11.1</v>
      </c>
      <c r="L94" s="833">
        <f t="shared" si="17"/>
        <v>-8.6999999999999993</v>
      </c>
      <c r="M94" s="364">
        <f>J94+(K94)/1000</f>
        <v>12000.0111</v>
      </c>
      <c r="N94" s="494">
        <f t="shared" si="13"/>
        <v>11999.9913</v>
      </c>
      <c r="O94" s="638">
        <f t="shared" si="2"/>
        <v>11.431535329973075</v>
      </c>
      <c r="P94" s="499">
        <f>P103+P88</f>
        <v>19</v>
      </c>
      <c r="Q94" s="646">
        <f t="shared" si="14"/>
        <v>0.88975669159417592</v>
      </c>
      <c r="R94" s="909" t="str">
        <f>R88&amp;"-
 "&amp;R103</f>
        <v>M-016-
 M-024</v>
      </c>
      <c r="S94" s="495" t="s">
        <v>14</v>
      </c>
      <c r="T94" s="964"/>
      <c r="U94" s="737" t="s">
        <v>86</v>
      </c>
      <c r="V94" s="666" t="s">
        <v>86</v>
      </c>
      <c r="Z94" s="55"/>
      <c r="AA94" s="55"/>
      <c r="AB94" s="55"/>
      <c r="AC94" s="55"/>
      <c r="AD94" s="55"/>
      <c r="AE94" s="55"/>
      <c r="AF94" s="55"/>
      <c r="AG94" s="55"/>
      <c r="AH94" s="55"/>
      <c r="AI94" s="55"/>
      <c r="AJ94" s="55"/>
      <c r="AK94" s="55"/>
      <c r="AV94" s="55"/>
      <c r="AW94" s="55"/>
      <c r="AX94" s="55"/>
    </row>
    <row r="95" spans="2:50" ht="30" customHeight="1" thickBot="1" x14ac:dyDescent="0.25">
      <c r="B95" s="959"/>
      <c r="C95" s="928"/>
      <c r="D95" s="901"/>
      <c r="E95" s="901"/>
      <c r="F95" s="901"/>
      <c r="G95" s="901"/>
      <c r="H95" s="901"/>
      <c r="I95" s="902"/>
      <c r="J95" s="903"/>
      <c r="K95" s="903"/>
      <c r="L95" s="903"/>
      <c r="M95" s="901"/>
      <c r="N95" s="904"/>
      <c r="O95" s="905"/>
      <c r="P95" s="903"/>
      <c r="Q95" s="904"/>
      <c r="R95" s="901"/>
      <c r="S95" s="901"/>
      <c r="T95" s="965"/>
      <c r="U95" s="737" t="s">
        <v>86</v>
      </c>
      <c r="V95" s="666" t="s">
        <v>86</v>
      </c>
      <c r="Z95" s="55"/>
      <c r="AA95" s="55"/>
      <c r="AB95" s="55"/>
      <c r="AC95" s="55"/>
      <c r="AD95" s="55"/>
      <c r="AE95" s="55"/>
      <c r="AF95" s="55"/>
      <c r="AG95" s="55"/>
      <c r="AH95" s="55"/>
      <c r="AI95" s="55"/>
      <c r="AJ95" s="55"/>
      <c r="AK95" s="55"/>
      <c r="AV95" s="55"/>
      <c r="AW95" s="55"/>
      <c r="AX95" s="55"/>
    </row>
    <row r="96" spans="2:50" ht="30" customHeight="1" x14ac:dyDescent="0.2">
      <c r="B96" s="960" t="s">
        <v>152</v>
      </c>
      <c r="C96" s="920"/>
      <c r="D96" s="896"/>
      <c r="E96" s="896"/>
      <c r="F96" s="896"/>
      <c r="G96" s="896"/>
      <c r="H96" s="896"/>
      <c r="I96" s="897"/>
      <c r="J96" s="898"/>
      <c r="K96" s="898"/>
      <c r="L96" s="898"/>
      <c r="M96" s="896"/>
      <c r="N96" s="899"/>
      <c r="O96" s="900"/>
      <c r="P96" s="898"/>
      <c r="Q96" s="899"/>
      <c r="R96" s="896"/>
      <c r="S96" s="896"/>
      <c r="T96" s="742"/>
      <c r="U96" s="737" t="s">
        <v>86</v>
      </c>
      <c r="V96" s="666" t="s">
        <v>86</v>
      </c>
      <c r="Z96" s="55"/>
      <c r="AA96" s="55"/>
      <c r="AB96" s="55"/>
      <c r="AC96" s="55"/>
      <c r="AD96" s="55"/>
      <c r="AE96" s="55"/>
      <c r="AF96" s="55"/>
      <c r="AG96" s="55"/>
      <c r="AH96" s="55"/>
      <c r="AI96" s="55"/>
      <c r="AJ96" s="55"/>
      <c r="AK96" s="55"/>
      <c r="AV96" s="55"/>
      <c r="AW96" s="55"/>
      <c r="AX96" s="55"/>
    </row>
    <row r="97" spans="1:50" ht="30" customHeight="1" thickBot="1" x14ac:dyDescent="0.25">
      <c r="B97" s="961"/>
      <c r="C97" s="921"/>
      <c r="D97" s="910"/>
      <c r="E97" s="910"/>
      <c r="F97" s="910"/>
      <c r="G97" s="910"/>
      <c r="H97" s="910"/>
      <c r="I97" s="911"/>
      <c r="J97" s="912"/>
      <c r="K97" s="912"/>
      <c r="L97" s="912"/>
      <c r="M97" s="910"/>
      <c r="N97" s="913"/>
      <c r="O97" s="914"/>
      <c r="P97" s="912"/>
      <c r="Q97" s="913"/>
      <c r="R97" s="910"/>
      <c r="S97" s="910"/>
      <c r="T97" s="743"/>
      <c r="U97" s="737" t="s">
        <v>86</v>
      </c>
      <c r="V97" s="666" t="s">
        <v>86</v>
      </c>
      <c r="Z97" s="55"/>
      <c r="AA97" s="55"/>
      <c r="AB97" s="55"/>
      <c r="AC97" s="55"/>
      <c r="AD97" s="55"/>
      <c r="AE97" s="55"/>
      <c r="AF97" s="55"/>
      <c r="AG97" s="55"/>
      <c r="AH97" s="55"/>
      <c r="AI97" s="55"/>
      <c r="AJ97" s="55"/>
      <c r="AK97" s="55"/>
      <c r="AV97" s="55"/>
      <c r="AW97" s="55"/>
      <c r="AX97" s="55"/>
    </row>
    <row r="98" spans="1:50" ht="30" customHeight="1" x14ac:dyDescent="0.2">
      <c r="B98" s="961"/>
      <c r="C98" s="922" t="s">
        <v>153</v>
      </c>
      <c r="D98" s="363" t="s">
        <v>154</v>
      </c>
      <c r="E98" s="363" t="s">
        <v>155</v>
      </c>
      <c r="F98" s="915" t="s">
        <v>156</v>
      </c>
      <c r="G98" s="363" t="s">
        <v>52</v>
      </c>
      <c r="H98" s="570">
        <v>5407</v>
      </c>
      <c r="I98" s="916" t="s">
        <v>157</v>
      </c>
      <c r="J98" s="500">
        <v>20000</v>
      </c>
      <c r="K98" s="917" t="s">
        <v>158</v>
      </c>
      <c r="L98" s="917" t="s">
        <v>159</v>
      </c>
      <c r="M98" s="363">
        <v>20000.008999999998</v>
      </c>
      <c r="N98" s="363">
        <v>20000.002</v>
      </c>
      <c r="O98" s="637">
        <f t="shared" ref="O98:O108" si="18">ABS(N98-M98)/SQRT(3)*1000</f>
        <v>4.0414518830503443</v>
      </c>
      <c r="P98" s="918">
        <v>10</v>
      </c>
      <c r="Q98" s="919">
        <f>(0.34848*((754.5+754.8)/2)-0.009*((50.9+51.1)/2)*EXP(0.0612*((20.8+20.9)/2)))/(273.15+((20.8+20.9)/2))</f>
        <v>0.88889840721616875</v>
      </c>
      <c r="R98" s="915" t="s">
        <v>160</v>
      </c>
      <c r="S98" s="497" t="s">
        <v>65</v>
      </c>
      <c r="T98" s="972">
        <v>2</v>
      </c>
      <c r="U98" s="737" t="s">
        <v>86</v>
      </c>
      <c r="V98" s="666" t="s">
        <v>86</v>
      </c>
      <c r="AV98" s="55"/>
      <c r="AW98" s="55"/>
      <c r="AX98" s="55"/>
    </row>
    <row r="99" spans="1:50" ht="30" customHeight="1" x14ac:dyDescent="0.2">
      <c r="B99" s="961"/>
      <c r="C99" s="615" t="s">
        <v>161</v>
      </c>
      <c r="D99" s="191" t="s">
        <v>50</v>
      </c>
      <c r="E99" s="191" t="s">
        <v>155</v>
      </c>
      <c r="F99" s="655" t="s">
        <v>162</v>
      </c>
      <c r="G99" s="191">
        <v>20</v>
      </c>
      <c r="H99" s="573">
        <v>5408</v>
      </c>
      <c r="I99" s="660" t="s">
        <v>157</v>
      </c>
      <c r="J99" s="490">
        <v>20000</v>
      </c>
      <c r="K99" s="849" t="s">
        <v>163</v>
      </c>
      <c r="L99" s="849" t="s">
        <v>164</v>
      </c>
      <c r="M99" s="191">
        <v>20000.030999999999</v>
      </c>
      <c r="N99" s="191">
        <v>20000.039000000001</v>
      </c>
      <c r="O99" s="609">
        <f t="shared" si="18"/>
        <v>4.6188021544579803</v>
      </c>
      <c r="P99" s="628">
        <v>30</v>
      </c>
      <c r="Q99" s="649">
        <f>(0.34848*((752.8+753.2)/2)-0.009*((50.3+50.4)/2)*EXP(0.0612*((20.9+21)/2)))/(273.15+((20.9+21)/2))</f>
        <v>0.88667844666689899</v>
      </c>
      <c r="R99" s="655" t="s">
        <v>165</v>
      </c>
      <c r="S99" s="492" t="s">
        <v>65</v>
      </c>
      <c r="T99" s="973"/>
      <c r="U99" s="737" t="s">
        <v>86</v>
      </c>
      <c r="V99" s="666" t="s">
        <v>86</v>
      </c>
      <c r="AV99" s="55"/>
      <c r="AW99" s="55"/>
      <c r="AX99" s="55"/>
    </row>
    <row r="100" spans="1:50" ht="30" customHeight="1" x14ac:dyDescent="0.2">
      <c r="B100" s="961"/>
      <c r="C100" s="923" t="s">
        <v>166</v>
      </c>
      <c r="D100" s="191" t="s">
        <v>50</v>
      </c>
      <c r="E100" s="655" t="s">
        <v>155</v>
      </c>
      <c r="F100" s="655" t="s">
        <v>167</v>
      </c>
      <c r="G100" s="655" t="s">
        <v>168</v>
      </c>
      <c r="H100" s="653" t="s">
        <v>169</v>
      </c>
      <c r="I100" s="660" t="s">
        <v>157</v>
      </c>
      <c r="J100" s="850" t="s">
        <v>170</v>
      </c>
      <c r="K100" s="849" t="s">
        <v>171</v>
      </c>
      <c r="L100" s="849" t="s">
        <v>172</v>
      </c>
      <c r="M100" s="655" t="s">
        <v>173</v>
      </c>
      <c r="N100" s="655" t="s">
        <v>174</v>
      </c>
      <c r="O100" s="609">
        <f t="shared" si="18"/>
        <v>1.1547005386144951</v>
      </c>
      <c r="P100" s="628">
        <v>30</v>
      </c>
      <c r="Q100" s="649">
        <f>(0.34848*((753.3+753.8)/2)-0.009*((50.5+50.6)/2)*EXP(0.0612*((20.8+20.9)/2)))/(273.15+((20.8+20.9)/2))</f>
        <v>0.8876439192293275</v>
      </c>
      <c r="R100" s="655" t="s">
        <v>175</v>
      </c>
      <c r="S100" s="492" t="s">
        <v>65</v>
      </c>
      <c r="T100" s="973"/>
      <c r="U100" s="737" t="s">
        <v>86</v>
      </c>
      <c r="V100" s="666" t="s">
        <v>86</v>
      </c>
      <c r="AV100" s="55"/>
      <c r="AW100" s="55"/>
      <c r="AX100" s="55"/>
    </row>
    <row r="101" spans="1:50" ht="30" customHeight="1" x14ac:dyDescent="0.2">
      <c r="A101" s="50"/>
      <c r="B101" s="961"/>
      <c r="C101" s="923" t="s">
        <v>176</v>
      </c>
      <c r="D101" s="191" t="s">
        <v>50</v>
      </c>
      <c r="E101" s="655" t="s">
        <v>155</v>
      </c>
      <c r="F101" s="655" t="s">
        <v>177</v>
      </c>
      <c r="G101" s="655" t="s">
        <v>178</v>
      </c>
      <c r="H101" s="653" t="s">
        <v>179</v>
      </c>
      <c r="I101" s="660" t="s">
        <v>157</v>
      </c>
      <c r="J101" s="850" t="s">
        <v>170</v>
      </c>
      <c r="K101" s="849" t="s">
        <v>180</v>
      </c>
      <c r="L101" s="849" t="s">
        <v>181</v>
      </c>
      <c r="M101" s="655" t="s">
        <v>182</v>
      </c>
      <c r="N101" s="655" t="s">
        <v>183</v>
      </c>
      <c r="O101" s="609">
        <f t="shared" si="18"/>
        <v>1.7320508079217425</v>
      </c>
      <c r="P101" s="628">
        <v>30</v>
      </c>
      <c r="Q101" s="649">
        <f>(0.34848*((753.9+754.3)/2)-0.009*((50.5+50.6)/2)*EXP(0.0612*((20.8+20.9)/2)))/(273.15+((20.8+20.9)/2))</f>
        <v>0.88829583759667441</v>
      </c>
      <c r="R101" s="655" t="s">
        <v>184</v>
      </c>
      <c r="S101" s="492" t="s">
        <v>65</v>
      </c>
      <c r="T101" s="973"/>
      <c r="U101" s="737" t="s">
        <v>86</v>
      </c>
      <c r="V101" s="666" t="s">
        <v>86</v>
      </c>
      <c r="AV101" s="55"/>
      <c r="AW101" s="55"/>
      <c r="AX101" s="55"/>
    </row>
    <row r="102" spans="1:50" ht="30" customHeight="1" x14ac:dyDescent="0.2">
      <c r="A102" s="50"/>
      <c r="B102" s="961"/>
      <c r="C102" s="923" t="s">
        <v>185</v>
      </c>
      <c r="D102" s="191" t="s">
        <v>50</v>
      </c>
      <c r="E102" s="655" t="s">
        <v>186</v>
      </c>
      <c r="F102" s="655" t="s">
        <v>187</v>
      </c>
      <c r="G102" s="655" t="s">
        <v>188</v>
      </c>
      <c r="H102" s="653" t="s">
        <v>189</v>
      </c>
      <c r="I102" s="660" t="s">
        <v>190</v>
      </c>
      <c r="J102" s="850" t="s">
        <v>191</v>
      </c>
      <c r="K102" s="849" t="s">
        <v>192</v>
      </c>
      <c r="L102" s="849" t="s">
        <v>193</v>
      </c>
      <c r="M102" s="655" t="s">
        <v>194</v>
      </c>
      <c r="N102" s="655" t="s">
        <v>195</v>
      </c>
      <c r="O102" s="609">
        <f t="shared" si="18"/>
        <v>12.12435565335181</v>
      </c>
      <c r="P102" s="628">
        <v>16</v>
      </c>
      <c r="Q102" s="649">
        <f>(0.34848*((752.5+753.7)/2)-0.009*((53.8+54.6)/2)*EXP(0.0612*((21.6+21.7)/2)))/(273.15+((21.6+21.7)/2))</f>
        <v>0.88400654914295929</v>
      </c>
      <c r="R102" s="655" t="s">
        <v>196</v>
      </c>
      <c r="S102" s="492" t="s">
        <v>65</v>
      </c>
      <c r="T102" s="973"/>
      <c r="U102" s="737" t="s">
        <v>86</v>
      </c>
      <c r="V102" s="666" t="s">
        <v>86</v>
      </c>
      <c r="AV102" s="55"/>
      <c r="AW102" s="55"/>
      <c r="AX102" s="55"/>
    </row>
    <row r="103" spans="1:50" ht="30" customHeight="1" x14ac:dyDescent="0.2">
      <c r="A103" s="50"/>
      <c r="B103" s="961"/>
      <c r="C103" s="923" t="s">
        <v>197</v>
      </c>
      <c r="D103" s="191" t="s">
        <v>50</v>
      </c>
      <c r="E103" s="655" t="s">
        <v>186</v>
      </c>
      <c r="F103" s="655" t="s">
        <v>198</v>
      </c>
      <c r="G103" s="655" t="s">
        <v>199</v>
      </c>
      <c r="H103" s="653" t="s">
        <v>200</v>
      </c>
      <c r="I103" s="660" t="s">
        <v>201</v>
      </c>
      <c r="J103" s="850" t="s">
        <v>191</v>
      </c>
      <c r="K103" s="849" t="s">
        <v>202</v>
      </c>
      <c r="L103" s="849" t="s">
        <v>203</v>
      </c>
      <c r="M103" s="655" t="s">
        <v>204</v>
      </c>
      <c r="N103" s="655" t="s">
        <v>205</v>
      </c>
      <c r="O103" s="609">
        <f t="shared" si="18"/>
        <v>9.8149545761228207</v>
      </c>
      <c r="P103" s="628">
        <v>16</v>
      </c>
      <c r="Q103" s="649">
        <f>(0.34848*((753+754.6)/2)-0.009*((53.6+54.8)/2)*EXP(0.0612*((21.6+21.7)/2)))/(273.15+((21.6+21.7)/2))</f>
        <v>0.88483401182952626</v>
      </c>
      <c r="R103" s="655" t="s">
        <v>206</v>
      </c>
      <c r="S103" s="492" t="s">
        <v>65</v>
      </c>
      <c r="T103" s="973"/>
      <c r="U103" s="737" t="s">
        <v>86</v>
      </c>
      <c r="V103" s="666" t="s">
        <v>86</v>
      </c>
      <c r="AV103" s="55"/>
      <c r="AW103" s="55"/>
      <c r="AX103" s="55"/>
    </row>
    <row r="104" spans="1:50" ht="30" customHeight="1" thickBot="1" x14ac:dyDescent="0.25">
      <c r="A104" s="281"/>
      <c r="B104" s="962"/>
      <c r="C104" s="924" t="s">
        <v>207</v>
      </c>
      <c r="D104" s="364" t="s">
        <v>50</v>
      </c>
      <c r="E104" s="656" t="s">
        <v>186</v>
      </c>
      <c r="F104" s="656" t="s">
        <v>208</v>
      </c>
      <c r="G104" s="656" t="s">
        <v>209</v>
      </c>
      <c r="H104" s="654" t="s">
        <v>210</v>
      </c>
      <c r="I104" s="652" t="s">
        <v>211</v>
      </c>
      <c r="J104" s="851" t="s">
        <v>212</v>
      </c>
      <c r="K104" s="852" t="s">
        <v>213</v>
      </c>
      <c r="L104" s="852" t="s">
        <v>171</v>
      </c>
      <c r="M104" s="656" t="s">
        <v>214</v>
      </c>
      <c r="N104" s="656" t="s">
        <v>215</v>
      </c>
      <c r="O104" s="638">
        <f t="shared" si="18"/>
        <v>2.0784609690860134</v>
      </c>
      <c r="P104" s="632">
        <v>8</v>
      </c>
      <c r="Q104" s="650">
        <f>(0.34848*((753.8+754.4)/2)-0.009*((52.7+54)/2)*EXP(0.0612*((21.4+21.6)/2)))/(273.15+((21.4+21.6)/2))</f>
        <v>0.88579296619932124</v>
      </c>
      <c r="R104" s="656" t="s">
        <v>216</v>
      </c>
      <c r="S104" s="495" t="s">
        <v>65</v>
      </c>
      <c r="T104" s="974"/>
      <c r="U104" s="746" t="s">
        <v>86</v>
      </c>
      <c r="V104" s="631" t="s">
        <v>86</v>
      </c>
      <c r="AV104" s="55"/>
      <c r="AW104" s="55"/>
      <c r="AX104" s="55"/>
    </row>
    <row r="105" spans="1:50" ht="30" customHeight="1" x14ac:dyDescent="0.2">
      <c r="A105" s="50"/>
      <c r="B105" s="960" t="s">
        <v>217</v>
      </c>
      <c r="C105" s="738" t="str">
        <f>C102&amp;"-
 "&amp;C104</f>
        <v>F1 10 kg C-
 F1 5 kg E</v>
      </c>
      <c r="D105" s="610" t="s">
        <v>50</v>
      </c>
      <c r="E105" s="610" t="str">
        <f>E102&amp;"-
 "&amp;E104</f>
        <v>Accurate-
 Accurate</v>
      </c>
      <c r="F105" s="610" t="str">
        <f>F102&amp;"-
 "&amp;F104</f>
        <v>1913624-
 1913622</v>
      </c>
      <c r="G105" s="610" t="str">
        <f>G102&amp;"-
 "&amp;G104</f>
        <v>10 C-
 5 E</v>
      </c>
      <c r="H105" s="611" t="str">
        <f>H102&amp;"-
 "&amp;H104</f>
        <v>5264-
 5266</v>
      </c>
      <c r="I105" s="611" t="str">
        <f>I102&amp;"-
 "&amp;I104</f>
        <v>2021-06-03-
 2021-06-08</v>
      </c>
      <c r="J105" s="845">
        <f>J102+J104</f>
        <v>15000</v>
      </c>
      <c r="K105" s="846">
        <f>K102+K104</f>
        <v>19.600000000000001</v>
      </c>
      <c r="L105" s="846">
        <f>L102+L104</f>
        <v>-5</v>
      </c>
      <c r="M105" s="610">
        <f t="shared" ref="M105:N105" si="19">M102+M104</f>
        <v>15000.0196</v>
      </c>
      <c r="N105" s="610">
        <f t="shared" si="19"/>
        <v>14999.994999999999</v>
      </c>
      <c r="O105" s="643">
        <f t="shared" si="18"/>
        <v>14.202816622437824</v>
      </c>
      <c r="P105" s="739">
        <f>P102+P104</f>
        <v>24</v>
      </c>
      <c r="Q105" s="740">
        <f>(0.34848*((753.8+754.4)/2)-0.009*((52.7+54)/2)*EXP(0.0612*((21.4+21.6)/2)))/(273.15+((21.4+21.6)/2))</f>
        <v>0.88579296619932124</v>
      </c>
      <c r="R105" s="610" t="str">
        <f>R102&amp;"-
 "&amp;R104</f>
        <v>M-023-
 M-025</v>
      </c>
      <c r="S105" s="741" t="s">
        <v>65</v>
      </c>
      <c r="T105" s="671">
        <v>2</v>
      </c>
      <c r="U105" s="744" t="s">
        <v>86</v>
      </c>
      <c r="V105" s="745" t="s">
        <v>86</v>
      </c>
      <c r="AV105" s="55"/>
      <c r="AW105" s="55"/>
      <c r="AX105" s="55"/>
    </row>
    <row r="106" spans="1:50" ht="30" customHeight="1" x14ac:dyDescent="0.2">
      <c r="A106" s="50"/>
      <c r="B106" s="961"/>
      <c r="C106" s="633" t="str">
        <f>C101&amp;"-
 "&amp;C104</f>
        <v>F1 20 kg B-
 F1 5 kg E</v>
      </c>
      <c r="D106" s="191" t="s">
        <v>50</v>
      </c>
      <c r="E106" s="191" t="str">
        <f>E101&amp;"-
 "&amp;E104</f>
        <v>Kern-
 Accurate</v>
      </c>
      <c r="F106" s="191" t="str">
        <f>F101&amp;"-
 "&amp;F104</f>
        <v>G 1934094-
 1913622</v>
      </c>
      <c r="G106" s="191" t="str">
        <f>G101&amp;"-
 "&amp;G104</f>
        <v>20 B-
 5 E</v>
      </c>
      <c r="H106" s="573" t="str">
        <f>H101&amp;"-
 "&amp;H104</f>
        <v>5411-
 5266</v>
      </c>
      <c r="I106" s="573" t="str">
        <f>I101&amp;"-
 "&amp;I104</f>
        <v>2021-09-02-
 2021-06-08</v>
      </c>
      <c r="J106" s="490">
        <f>J101+J104</f>
        <v>25000</v>
      </c>
      <c r="K106" s="627">
        <f>K101+K104</f>
        <v>43.6</v>
      </c>
      <c r="L106" s="627">
        <f>L101+L104</f>
        <v>43</v>
      </c>
      <c r="M106" s="191">
        <f>M101+M104</f>
        <v>25000.043600000001</v>
      </c>
      <c r="N106" s="191">
        <f>N101+N104</f>
        <v>25000.043000000001</v>
      </c>
      <c r="O106" s="609">
        <f t="shared" si="18"/>
        <v>0.34641016116427092</v>
      </c>
      <c r="P106" s="629">
        <f>P101+P104</f>
        <v>38</v>
      </c>
      <c r="Q106" s="649">
        <f>(0.34848*((753.8+754.4)/2)-0.009*((52.7+54)/2)*EXP(0.0612*((21.4+21.6)/2)))/(273.15+((21.4+21.6)/2))</f>
        <v>0.88579296619932124</v>
      </c>
      <c r="R106" s="191" t="str">
        <f>R101&amp;"-
 "&amp;R104</f>
        <v>M-022-
 M-025</v>
      </c>
      <c r="S106" s="635" t="s">
        <v>65</v>
      </c>
      <c r="T106" s="672">
        <v>2</v>
      </c>
      <c r="U106" s="621" t="s">
        <v>86</v>
      </c>
      <c r="V106" s="666" t="s">
        <v>86</v>
      </c>
      <c r="AV106" s="55"/>
      <c r="AW106" s="55"/>
      <c r="AX106" s="55"/>
    </row>
    <row r="107" spans="1:50" ht="30" customHeight="1" x14ac:dyDescent="0.2">
      <c r="B107" s="961"/>
      <c r="C107" s="633" t="str">
        <f>C101&amp;" "&amp;C102&amp;" "&amp;C104</f>
        <v>F1 20 kg B F1 10 kg C F1 5 kg E</v>
      </c>
      <c r="D107" s="191" t="s">
        <v>50</v>
      </c>
      <c r="E107" s="191" t="str">
        <f>E101&amp;" "&amp;E102&amp;" "&amp;E104</f>
        <v>Kern Accurate Accurate</v>
      </c>
      <c r="F107" s="191" t="str">
        <f>F101&amp;" "&amp;F102&amp;" "&amp;F104</f>
        <v>G 1934094 1913624 1913622</v>
      </c>
      <c r="G107" s="191" t="str">
        <f>G101&amp;" "&amp;G102&amp;" "&amp;G104</f>
        <v>20 B 10 C 5 E</v>
      </c>
      <c r="H107" s="573" t="str">
        <f>H101&amp;" "&amp;H102&amp;" "&amp;H104</f>
        <v>5411 5264 5266</v>
      </c>
      <c r="I107" s="573" t="str">
        <f>I101&amp;" "&amp;I102&amp;" "&amp;I104</f>
        <v>2021-09-02 2021-06-03 2021-06-08</v>
      </c>
      <c r="J107" s="490">
        <f>J101+J102+J104</f>
        <v>35000</v>
      </c>
      <c r="K107" s="627">
        <f>K101+K102+K104</f>
        <v>56.6</v>
      </c>
      <c r="L107" s="627">
        <f>L101+L102+L104</f>
        <v>35</v>
      </c>
      <c r="M107" s="191">
        <f>M101+M102+M104</f>
        <v>35000.056600000004</v>
      </c>
      <c r="N107" s="191">
        <f>N101+N102+N104</f>
        <v>35000.034999999996</v>
      </c>
      <c r="O107" s="609">
        <f t="shared" si="18"/>
        <v>12.470765818716856</v>
      </c>
      <c r="P107" s="629">
        <f>P101+P102+P104</f>
        <v>54</v>
      </c>
      <c r="Q107" s="649">
        <f>(0.34848*((753.8+754.4)/2)-0.009*((52.7+54)/2)*EXP(0.0612*((21.4+21.6)/2)))/(273.15+((21.4+21.6)/2))</f>
        <v>0.88579296619932124</v>
      </c>
      <c r="R107" s="191" t="str">
        <f>R101&amp;" "&amp;R102&amp;" "&amp;R104</f>
        <v>M-022 M-023 M-025</v>
      </c>
      <c r="S107" s="635" t="s">
        <v>65</v>
      </c>
      <c r="T107" s="672">
        <v>2</v>
      </c>
      <c r="U107" s="621" t="s">
        <v>86</v>
      </c>
      <c r="V107" s="666" t="s">
        <v>86</v>
      </c>
      <c r="AV107" s="55"/>
      <c r="AW107" s="55"/>
      <c r="AX107" s="55"/>
    </row>
    <row r="108" spans="1:50" ht="30" customHeight="1" thickBot="1" x14ac:dyDescent="0.25">
      <c r="B108" s="961"/>
      <c r="C108" s="751" t="str">
        <f>C99&amp;" "&amp;C100&amp;" "&amp;C101</f>
        <v>F1 20 kg F1 20 kg A F1 20 kg B</v>
      </c>
      <c r="D108" s="752" t="s">
        <v>50</v>
      </c>
      <c r="E108" s="619" t="str">
        <f>E99&amp;" "&amp;E100&amp;" "&amp;E101</f>
        <v>Kern Kern Kern</v>
      </c>
      <c r="F108" s="619" t="str">
        <f>F99&amp;" "&amp;F100&amp;" "&amp;F101</f>
        <v>G 1934093 G 1934095 G 1934094</v>
      </c>
      <c r="G108" s="619" t="str">
        <f>G99&amp;" "&amp;G100&amp;" "&amp;G101</f>
        <v>20 20 A 20 B</v>
      </c>
      <c r="H108" s="620" t="str">
        <f>H99&amp;" "&amp;H100&amp;" "&amp;H101</f>
        <v>5408 5410 5411</v>
      </c>
      <c r="I108" s="620" t="str">
        <f>I99&amp;" "&amp;I100&amp;" "&amp;I101</f>
        <v>2021-09-02 2021-09-02 2021-09-02</v>
      </c>
      <c r="J108" s="847">
        <f>J99+J100+J101</f>
        <v>60000</v>
      </c>
      <c r="K108" s="848">
        <f>K99+K100+K101</f>
        <v>71</v>
      </c>
      <c r="L108" s="848">
        <f>L99+L100+L101</f>
        <v>84</v>
      </c>
      <c r="M108" s="619">
        <f>M99+M100+M101</f>
        <v>60000.070999999996</v>
      </c>
      <c r="N108" s="619">
        <f>N99+N100+N101</f>
        <v>60000.084000000003</v>
      </c>
      <c r="O108" s="731">
        <f t="shared" si="18"/>
        <v>7.5055535030946059</v>
      </c>
      <c r="P108" s="753">
        <f>P99+P100+P101</f>
        <v>90</v>
      </c>
      <c r="Q108" s="754">
        <f>(0.34848*((753.8+754.4)/2)-0.009*((52.7+54)/2)*EXP(0.0612*((21.4+21.6)/2)))/(273.15+((21.4+21.6)/2))</f>
        <v>0.88579296619932124</v>
      </c>
      <c r="R108" s="619" t="str">
        <f>R99&amp;" "&amp;R100&amp;" "&amp;R101</f>
        <v>M-020 M-021 M-022</v>
      </c>
      <c r="S108" s="732" t="s">
        <v>65</v>
      </c>
      <c r="T108" s="755">
        <v>2</v>
      </c>
      <c r="U108" s="734" t="s">
        <v>86</v>
      </c>
      <c r="V108" s="735" t="s">
        <v>86</v>
      </c>
      <c r="AV108" s="55"/>
      <c r="AW108" s="55"/>
      <c r="AX108" s="55"/>
    </row>
    <row r="109" spans="1:50" ht="30" customHeight="1" x14ac:dyDescent="0.2">
      <c r="B109" s="66"/>
      <c r="C109" s="663"/>
      <c r="D109" s="663"/>
      <c r="E109" s="663"/>
      <c r="F109" s="663"/>
      <c r="G109" s="663"/>
      <c r="H109" s="663"/>
      <c r="I109" s="663"/>
      <c r="J109" s="663"/>
      <c r="K109" s="663"/>
      <c r="L109" s="663"/>
      <c r="M109" s="663"/>
      <c r="N109" s="663"/>
      <c r="O109" s="363"/>
      <c r="P109" s="363"/>
      <c r="Q109" s="363"/>
      <c r="R109" s="363"/>
      <c r="S109" s="363"/>
      <c r="T109" s="363"/>
      <c r="U109" s="363"/>
      <c r="V109" s="673"/>
      <c r="AV109" s="55"/>
      <c r="AW109" s="55"/>
      <c r="AX109" s="55"/>
    </row>
    <row r="110" spans="1:50" ht="30" customHeight="1" x14ac:dyDescent="0.2">
      <c r="B110" s="733"/>
      <c r="C110" s="661"/>
      <c r="D110" s="661"/>
      <c r="E110" s="661"/>
      <c r="F110" s="661"/>
      <c r="G110" s="661"/>
      <c r="H110" s="661"/>
      <c r="I110" s="661"/>
      <c r="J110" s="661"/>
      <c r="K110" s="661"/>
      <c r="L110" s="661"/>
      <c r="M110" s="661"/>
      <c r="N110" s="661"/>
      <c r="O110" s="191"/>
      <c r="P110" s="191"/>
      <c r="Q110" s="191"/>
      <c r="R110" s="191"/>
      <c r="S110" s="191"/>
      <c r="T110" s="191"/>
      <c r="U110" s="191"/>
      <c r="V110" s="674"/>
      <c r="AV110" s="55"/>
      <c r="AW110" s="55"/>
      <c r="AX110" s="55"/>
    </row>
    <row r="111" spans="1:50" ht="30" customHeight="1" x14ac:dyDescent="0.2">
      <c r="B111" s="733"/>
      <c r="C111" s="661"/>
      <c r="D111" s="661"/>
      <c r="E111" s="661"/>
      <c r="F111" s="661"/>
      <c r="G111" s="661"/>
      <c r="H111" s="661"/>
      <c r="I111" s="661"/>
      <c r="J111" s="661"/>
      <c r="K111" s="661"/>
      <c r="L111" s="661"/>
      <c r="M111" s="661"/>
      <c r="N111" s="661"/>
      <c r="O111" s="191"/>
      <c r="P111" s="191"/>
      <c r="Q111" s="191"/>
      <c r="R111" s="191"/>
      <c r="S111" s="191"/>
      <c r="T111" s="191"/>
      <c r="U111" s="191"/>
      <c r="V111" s="674"/>
      <c r="Z111" s="55"/>
      <c r="AA111" s="55"/>
      <c r="AB111" s="55"/>
      <c r="AC111" s="55"/>
      <c r="AD111" s="55"/>
      <c r="AE111" s="55"/>
      <c r="AF111" s="55"/>
      <c r="AG111" s="55"/>
      <c r="AH111" s="55"/>
      <c r="AI111" s="55"/>
      <c r="AJ111" s="55"/>
      <c r="AK111" s="55"/>
      <c r="AV111" s="55"/>
      <c r="AW111" s="55"/>
      <c r="AX111" s="55"/>
    </row>
    <row r="112" spans="1:50" ht="30" customHeight="1" x14ac:dyDescent="0.2">
      <c r="B112" s="733"/>
      <c r="C112" s="661"/>
      <c r="D112" s="661"/>
      <c r="E112" s="661"/>
      <c r="F112" s="661"/>
      <c r="G112" s="661"/>
      <c r="H112" s="661"/>
      <c r="I112" s="661"/>
      <c r="J112" s="661"/>
      <c r="K112" s="661"/>
      <c r="L112" s="661"/>
      <c r="M112" s="661"/>
      <c r="N112" s="661"/>
      <c r="O112" s="191"/>
      <c r="P112" s="191"/>
      <c r="Q112" s="191"/>
      <c r="R112" s="191"/>
      <c r="S112" s="191"/>
      <c r="T112" s="191"/>
      <c r="U112" s="191"/>
      <c r="V112" s="674"/>
      <c r="Z112" s="55"/>
      <c r="AA112" s="55"/>
      <c r="AB112" s="55"/>
      <c r="AC112" s="55"/>
      <c r="AD112" s="55"/>
      <c r="AE112" s="55"/>
      <c r="AF112" s="55"/>
      <c r="AG112" s="55"/>
      <c r="AH112" s="55"/>
      <c r="AI112" s="55"/>
      <c r="AJ112" s="55"/>
      <c r="AK112" s="55"/>
      <c r="AV112" s="55"/>
      <c r="AW112" s="55"/>
      <c r="AX112" s="55"/>
    </row>
    <row r="113" spans="1:50" ht="30" customHeight="1" x14ac:dyDescent="0.2">
      <c r="B113" s="733"/>
      <c r="C113" s="661"/>
      <c r="D113" s="661"/>
      <c r="E113" s="661"/>
      <c r="F113" s="661"/>
      <c r="G113" s="661"/>
      <c r="H113" s="661"/>
      <c r="I113" s="661"/>
      <c r="J113" s="661"/>
      <c r="K113" s="661"/>
      <c r="L113" s="661"/>
      <c r="M113" s="661"/>
      <c r="N113" s="661"/>
      <c r="O113" s="191"/>
      <c r="P113" s="191"/>
      <c r="Q113" s="191"/>
      <c r="R113" s="191"/>
      <c r="S113" s="191"/>
      <c r="T113" s="191"/>
      <c r="U113" s="191"/>
      <c r="V113" s="674"/>
      <c r="Z113" s="55"/>
      <c r="AA113" s="55"/>
      <c r="AB113" s="55"/>
      <c r="AC113" s="55"/>
      <c r="AD113" s="55"/>
      <c r="AE113" s="55"/>
      <c r="AF113" s="55"/>
      <c r="AG113" s="55"/>
      <c r="AH113" s="55"/>
      <c r="AI113" s="55"/>
      <c r="AJ113" s="55"/>
      <c r="AK113" s="55"/>
      <c r="AV113" s="55"/>
      <c r="AW113" s="55"/>
      <c r="AX113" s="55"/>
    </row>
    <row r="114" spans="1:50" ht="30" customHeight="1" x14ac:dyDescent="0.2">
      <c r="B114" s="733"/>
      <c r="C114" s="661"/>
      <c r="D114" s="661"/>
      <c r="E114" s="661"/>
      <c r="F114" s="661"/>
      <c r="G114" s="661"/>
      <c r="H114" s="661"/>
      <c r="I114" s="661"/>
      <c r="J114" s="661"/>
      <c r="K114" s="661"/>
      <c r="L114" s="661"/>
      <c r="M114" s="661"/>
      <c r="N114" s="661"/>
      <c r="O114" s="191"/>
      <c r="P114" s="191"/>
      <c r="Q114" s="191"/>
      <c r="R114" s="191"/>
      <c r="S114" s="191"/>
      <c r="T114" s="191"/>
      <c r="U114" s="191"/>
      <c r="V114" s="674"/>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row>
    <row r="115" spans="1:50" ht="30" customHeight="1" x14ac:dyDescent="0.2">
      <c r="B115" s="733"/>
      <c r="C115" s="661"/>
      <c r="D115" s="661"/>
      <c r="E115" s="661"/>
      <c r="F115" s="661"/>
      <c r="G115" s="661"/>
      <c r="H115" s="661"/>
      <c r="I115" s="661"/>
      <c r="J115" s="661"/>
      <c r="K115" s="661"/>
      <c r="L115" s="661"/>
      <c r="M115" s="661"/>
      <c r="N115" s="661"/>
      <c r="O115" s="191"/>
      <c r="P115" s="191"/>
      <c r="Q115" s="191"/>
      <c r="R115" s="191"/>
      <c r="S115" s="191"/>
      <c r="T115" s="191"/>
      <c r="U115" s="191"/>
      <c r="V115" s="674"/>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row>
    <row r="116" spans="1:50" ht="30" customHeight="1" x14ac:dyDescent="0.2">
      <c r="B116" s="733"/>
      <c r="C116" s="661"/>
      <c r="D116" s="661"/>
      <c r="E116" s="661"/>
      <c r="F116" s="661"/>
      <c r="G116" s="661"/>
      <c r="H116" s="661"/>
      <c r="I116" s="661"/>
      <c r="J116" s="661"/>
      <c r="K116" s="661"/>
      <c r="L116" s="661"/>
      <c r="M116" s="661"/>
      <c r="N116" s="661"/>
      <c r="O116" s="191"/>
      <c r="P116" s="191"/>
      <c r="Q116" s="191"/>
      <c r="R116" s="191"/>
      <c r="S116" s="191"/>
      <c r="T116" s="191"/>
      <c r="U116" s="191"/>
      <c r="V116" s="674"/>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row>
    <row r="117" spans="1:50" ht="30" customHeight="1" x14ac:dyDescent="0.2">
      <c r="B117" s="733"/>
      <c r="C117" s="661"/>
      <c r="D117" s="661"/>
      <c r="E117" s="661"/>
      <c r="F117" s="661"/>
      <c r="G117" s="661"/>
      <c r="H117" s="661"/>
      <c r="I117" s="661"/>
      <c r="J117" s="661"/>
      <c r="K117" s="661"/>
      <c r="L117" s="661"/>
      <c r="M117" s="661"/>
      <c r="N117" s="661"/>
      <c r="O117" s="191"/>
      <c r="P117" s="191"/>
      <c r="Q117" s="191"/>
      <c r="R117" s="191"/>
      <c r="S117" s="191"/>
      <c r="T117" s="191"/>
      <c r="U117" s="191"/>
      <c r="V117" s="674"/>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row>
    <row r="118" spans="1:50" ht="30" customHeight="1" thickBot="1" x14ac:dyDescent="0.25">
      <c r="B118" s="51"/>
      <c r="C118" s="364"/>
      <c r="D118" s="364"/>
      <c r="E118" s="364"/>
      <c r="F118" s="364"/>
      <c r="G118" s="364"/>
      <c r="H118" s="577"/>
      <c r="I118" s="577"/>
      <c r="J118" s="364"/>
      <c r="K118" s="577"/>
      <c r="L118" s="577"/>
      <c r="M118" s="364"/>
      <c r="N118" s="364"/>
      <c r="O118" s="638"/>
      <c r="P118" s="364"/>
      <c r="Q118" s="577"/>
      <c r="R118" s="364"/>
      <c r="S118" s="364"/>
      <c r="T118" s="577"/>
      <c r="U118" s="364"/>
      <c r="V118" s="67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row>
    <row r="119" spans="1:50" ht="30" customHeight="1" x14ac:dyDescent="0.2">
      <c r="O119" s="49"/>
      <c r="P119" s="49"/>
      <c r="Q119" s="49"/>
      <c r="R119" s="49"/>
      <c r="U119" s="49"/>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row>
    <row r="120" spans="1:50" ht="30" customHeight="1" thickBot="1" x14ac:dyDescent="0.25">
      <c r="O120" s="49"/>
      <c r="P120" s="49"/>
      <c r="Q120" s="49"/>
      <c r="R120" s="49"/>
      <c r="U120" s="49"/>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row>
    <row r="121" spans="1:50" ht="30" customHeight="1" x14ac:dyDescent="0.25">
      <c r="A121" s="1116" t="s">
        <v>218</v>
      </c>
      <c r="B121" s="1117"/>
      <c r="C121" s="1117"/>
      <c r="D121" s="1117"/>
      <c r="E121" s="1117"/>
      <c r="F121" s="1117"/>
      <c r="G121" s="1117"/>
      <c r="H121" s="1117"/>
      <c r="I121" s="1117"/>
      <c r="J121" s="1117"/>
      <c r="K121" s="1117"/>
      <c r="L121" s="1117"/>
      <c r="M121" s="1117"/>
      <c r="N121" s="1117"/>
      <c r="O121" s="1117"/>
      <c r="P121" s="1117"/>
      <c r="Q121" s="1118"/>
      <c r="R121" s="49"/>
      <c r="U121" s="49"/>
      <c r="V121" s="282"/>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row>
    <row r="122" spans="1:50" ht="30" customHeight="1" thickBot="1" x14ac:dyDescent="0.3">
      <c r="A122" s="1119"/>
      <c r="B122" s="1120"/>
      <c r="C122" s="1120"/>
      <c r="D122" s="1120"/>
      <c r="E122" s="1120"/>
      <c r="F122" s="1120"/>
      <c r="G122" s="1120"/>
      <c r="H122" s="1120"/>
      <c r="I122" s="1120"/>
      <c r="J122" s="1120"/>
      <c r="K122" s="1120"/>
      <c r="L122" s="1120"/>
      <c r="M122" s="1120"/>
      <c r="N122" s="1120"/>
      <c r="O122" s="1120"/>
      <c r="P122" s="1120"/>
      <c r="Q122" s="1121"/>
      <c r="R122" s="49"/>
      <c r="T122" s="56"/>
      <c r="U122" s="49"/>
      <c r="V122" s="282"/>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row>
    <row r="123" spans="1:50" ht="30" customHeight="1" thickBot="1" x14ac:dyDescent="0.3">
      <c r="A123" s="1122" t="s">
        <v>219</v>
      </c>
      <c r="B123" s="1123"/>
      <c r="C123" s="1123"/>
      <c r="D123" s="1123"/>
      <c r="E123" s="1123"/>
      <c r="F123" s="1123"/>
      <c r="G123" s="1123"/>
      <c r="H123" s="1123"/>
      <c r="I123" s="1123"/>
      <c r="J123" s="1123"/>
      <c r="K123" s="1123"/>
      <c r="L123" s="1123"/>
      <c r="M123" s="1123"/>
      <c r="N123" s="1123"/>
      <c r="O123" s="1123"/>
      <c r="P123" s="1123"/>
      <c r="Q123" s="1124"/>
      <c r="R123" s="49"/>
      <c r="T123" s="54"/>
      <c r="U123" s="49"/>
      <c r="V123" s="282"/>
    </row>
    <row r="124" spans="1:50" ht="30" customHeight="1" x14ac:dyDescent="0.25">
      <c r="A124" s="966" t="s">
        <v>220</v>
      </c>
      <c r="B124" s="968"/>
      <c r="C124" s="1041" t="s">
        <v>23</v>
      </c>
      <c r="D124" s="1041" t="s">
        <v>16</v>
      </c>
      <c r="E124" s="1047" t="s">
        <v>221</v>
      </c>
      <c r="F124" s="1047" t="s">
        <v>222</v>
      </c>
      <c r="G124" s="1047" t="s">
        <v>223</v>
      </c>
      <c r="H124" s="1047" t="s">
        <v>224</v>
      </c>
      <c r="I124" s="1047" t="s">
        <v>225</v>
      </c>
      <c r="J124" s="1047" t="s">
        <v>226</v>
      </c>
      <c r="K124" s="1047" t="s">
        <v>8</v>
      </c>
      <c r="L124" s="1114" t="s">
        <v>227</v>
      </c>
      <c r="N124" s="1049" t="s">
        <v>23</v>
      </c>
      <c r="O124" s="966" t="s">
        <v>225</v>
      </c>
      <c r="P124" s="967"/>
      <c r="Q124" s="968"/>
      <c r="R124" s="49"/>
      <c r="T124" s="54"/>
      <c r="U124" s="49"/>
      <c r="V124" s="282"/>
    </row>
    <row r="125" spans="1:50" ht="30" customHeight="1" thickBot="1" x14ac:dyDescent="0.3">
      <c r="A125" s="969"/>
      <c r="B125" s="971"/>
      <c r="C125" s="1042"/>
      <c r="D125" s="1042"/>
      <c r="E125" s="1048"/>
      <c r="F125" s="1048"/>
      <c r="G125" s="1048"/>
      <c r="H125" s="1048"/>
      <c r="I125" s="1048"/>
      <c r="J125" s="1048"/>
      <c r="K125" s="1048"/>
      <c r="L125" s="1115"/>
      <c r="N125" s="1050"/>
      <c r="O125" s="969"/>
      <c r="P125" s="970"/>
      <c r="Q125" s="971"/>
      <c r="R125" s="49"/>
      <c r="T125" s="54"/>
      <c r="U125" s="49"/>
      <c r="V125" s="282"/>
    </row>
    <row r="126" spans="1:50" ht="30" customHeight="1" thickBot="1" x14ac:dyDescent="0.3">
      <c r="O126" s="49"/>
      <c r="P126" s="49"/>
      <c r="Q126" s="49"/>
      <c r="R126" s="49"/>
      <c r="T126" s="54"/>
      <c r="U126" s="49"/>
      <c r="V126" s="282"/>
    </row>
    <row r="127" spans="1:50" ht="30" customHeight="1" thickBot="1" x14ac:dyDescent="0.3">
      <c r="A127" s="1063" t="s">
        <v>228</v>
      </c>
      <c r="B127" s="1064"/>
      <c r="C127" s="975" t="s">
        <v>229</v>
      </c>
      <c r="D127" s="1026" t="s">
        <v>230</v>
      </c>
      <c r="E127" s="1040" t="s">
        <v>231</v>
      </c>
      <c r="F127" s="529">
        <v>17.8</v>
      </c>
      <c r="G127" s="519">
        <v>0.1</v>
      </c>
      <c r="H127" s="520">
        <v>0.1</v>
      </c>
      <c r="I127" s="548">
        <v>0.2</v>
      </c>
      <c r="J127" s="1060">
        <v>1.96</v>
      </c>
      <c r="K127" s="1057">
        <v>44715</v>
      </c>
      <c r="L127" s="1051" t="s">
        <v>592</v>
      </c>
      <c r="R127" s="49"/>
      <c r="S127" s="49"/>
      <c r="T127" s="49"/>
      <c r="U127" s="49"/>
      <c r="V127" s="282"/>
    </row>
    <row r="128" spans="1:50" ht="30" customHeight="1" x14ac:dyDescent="0.25">
      <c r="A128" s="1065"/>
      <c r="B128" s="1066"/>
      <c r="C128" s="1016"/>
      <c r="D128" s="1027"/>
      <c r="E128" s="1033"/>
      <c r="F128" s="522">
        <v>20.9</v>
      </c>
      <c r="G128" s="549">
        <v>0.1</v>
      </c>
      <c r="H128" s="550">
        <v>0</v>
      </c>
      <c r="I128" s="531">
        <v>0.2</v>
      </c>
      <c r="J128" s="1061"/>
      <c r="K128" s="1058"/>
      <c r="L128" s="1052"/>
      <c r="N128" s="506"/>
      <c r="O128" s="507" t="s">
        <v>233</v>
      </c>
      <c r="P128" s="508" t="s">
        <v>234</v>
      </c>
      <c r="Q128" s="509" t="s">
        <v>235</v>
      </c>
      <c r="R128" s="49"/>
      <c r="S128" s="49"/>
      <c r="T128" s="49"/>
      <c r="U128" s="49"/>
      <c r="V128" s="282"/>
    </row>
    <row r="129" spans="1:22" ht="30" customHeight="1" thickBot="1" x14ac:dyDescent="0.3">
      <c r="A129" s="1067"/>
      <c r="B129" s="1068"/>
      <c r="C129" s="1016"/>
      <c r="D129" s="1027"/>
      <c r="E129" s="1033"/>
      <c r="F129" s="551">
        <v>23.9</v>
      </c>
      <c r="G129" s="552">
        <v>0.1</v>
      </c>
      <c r="H129" s="553">
        <v>0</v>
      </c>
      <c r="I129" s="528">
        <v>0.2</v>
      </c>
      <c r="J129" s="1062">
        <v>1.96</v>
      </c>
      <c r="K129" s="1059"/>
      <c r="L129" s="1053"/>
      <c r="N129" s="510" t="s">
        <v>236</v>
      </c>
      <c r="O129" s="511">
        <f>MAX(I127:I129)</f>
        <v>0.2</v>
      </c>
      <c r="P129" s="512">
        <f>MAX(I130:I132)</f>
        <v>1.7</v>
      </c>
      <c r="Q129" s="513">
        <f>MAX(I133:I135)</f>
        <v>8.8999999999999996E-2</v>
      </c>
      <c r="R129" s="49"/>
      <c r="S129" s="49"/>
      <c r="T129" s="49"/>
      <c r="U129" s="49"/>
      <c r="V129" s="282"/>
    </row>
    <row r="130" spans="1:22" ht="30" customHeight="1" thickBot="1" x14ac:dyDescent="0.3">
      <c r="A130" s="978" t="s">
        <v>237</v>
      </c>
      <c r="B130" s="979"/>
      <c r="C130" s="1016"/>
      <c r="D130" s="1027"/>
      <c r="E130" s="1033"/>
      <c r="F130" s="529">
        <v>33.5</v>
      </c>
      <c r="G130" s="519">
        <v>0.1</v>
      </c>
      <c r="H130" s="519">
        <v>-3.6</v>
      </c>
      <c r="I130" s="530">
        <v>1.7</v>
      </c>
      <c r="J130" s="1060">
        <v>1.96</v>
      </c>
      <c r="K130" s="1057">
        <v>44353</v>
      </c>
      <c r="L130" s="1051" t="s">
        <v>593</v>
      </c>
      <c r="N130" s="514"/>
      <c r="O130" s="515"/>
      <c r="P130" s="516"/>
      <c r="Q130" s="517"/>
      <c r="R130" s="49"/>
      <c r="T130" s="54"/>
      <c r="U130" s="49"/>
      <c r="V130" s="282"/>
    </row>
    <row r="131" spans="1:22" ht="30" customHeight="1" x14ac:dyDescent="0.25">
      <c r="A131" s="980"/>
      <c r="B131" s="981"/>
      <c r="C131" s="1016"/>
      <c r="D131" s="1027"/>
      <c r="E131" s="1033"/>
      <c r="F131" s="554">
        <v>55.7</v>
      </c>
      <c r="G131" s="549">
        <v>0.1</v>
      </c>
      <c r="H131" s="524">
        <v>-0.7</v>
      </c>
      <c r="I131" s="531">
        <v>1.7</v>
      </c>
      <c r="J131" s="1061">
        <v>1.96</v>
      </c>
      <c r="K131" s="1058"/>
      <c r="L131" s="1052"/>
      <c r="O131" s="49"/>
      <c r="P131" s="49"/>
      <c r="Q131" s="49"/>
      <c r="R131" s="49"/>
      <c r="T131" s="54"/>
      <c r="U131" s="49"/>
      <c r="V131" s="282"/>
    </row>
    <row r="132" spans="1:22" ht="30" customHeight="1" thickBot="1" x14ac:dyDescent="0.3">
      <c r="A132" s="982"/>
      <c r="B132" s="983"/>
      <c r="C132" s="1016"/>
      <c r="D132" s="1027"/>
      <c r="E132" s="1033"/>
      <c r="F132" s="526">
        <v>77.3</v>
      </c>
      <c r="G132" s="552">
        <v>0.1</v>
      </c>
      <c r="H132" s="527">
        <v>2.7</v>
      </c>
      <c r="I132" s="528">
        <v>1.7</v>
      </c>
      <c r="J132" s="1062"/>
      <c r="K132" s="1059"/>
      <c r="L132" s="1053"/>
      <c r="O132" s="49"/>
      <c r="P132" s="49"/>
      <c r="Q132" s="49"/>
      <c r="R132" s="49"/>
      <c r="T132" s="54"/>
      <c r="U132" s="49"/>
      <c r="V132" s="282"/>
    </row>
    <row r="133" spans="1:22" ht="30" customHeight="1" x14ac:dyDescent="0.25">
      <c r="A133" s="978" t="s">
        <v>239</v>
      </c>
      <c r="B133" s="979"/>
      <c r="C133" s="1016"/>
      <c r="D133" s="1027"/>
      <c r="E133" s="1033"/>
      <c r="F133" s="529">
        <v>499.346</v>
      </c>
      <c r="G133" s="519">
        <v>0.1</v>
      </c>
      <c r="H133" s="555">
        <v>1.6890000000000001</v>
      </c>
      <c r="I133" s="530">
        <v>7.5999999999999998E-2</v>
      </c>
      <c r="J133" s="1060">
        <v>2</v>
      </c>
      <c r="K133" s="1057" t="s">
        <v>201</v>
      </c>
      <c r="L133" s="1054" t="s">
        <v>240</v>
      </c>
      <c r="O133" s="49"/>
      <c r="P133" s="49"/>
      <c r="Q133" s="49"/>
      <c r="R133" s="49"/>
      <c r="T133" s="54"/>
      <c r="U133" s="49"/>
      <c r="V133" s="282"/>
    </row>
    <row r="134" spans="1:22" ht="30" customHeight="1" x14ac:dyDescent="0.25">
      <c r="A134" s="980"/>
      <c r="B134" s="981"/>
      <c r="C134" s="1016"/>
      <c r="D134" s="1027"/>
      <c r="E134" s="1033"/>
      <c r="F134" s="522">
        <v>752.18</v>
      </c>
      <c r="G134" s="523">
        <v>0.1</v>
      </c>
      <c r="H134" s="523">
        <v>1.0169999999999999</v>
      </c>
      <c r="I134" s="531">
        <v>8.3000000000000004E-2</v>
      </c>
      <c r="J134" s="1061">
        <v>2</v>
      </c>
      <c r="K134" s="1058"/>
      <c r="L134" s="1055" t="s">
        <v>241</v>
      </c>
      <c r="O134" s="49"/>
      <c r="P134" s="49"/>
      <c r="Q134" s="49"/>
      <c r="R134" s="49"/>
      <c r="T134" s="54"/>
      <c r="U134" s="49"/>
      <c r="V134" s="282"/>
    </row>
    <row r="135" spans="1:22" ht="30" customHeight="1" thickBot="1" x14ac:dyDescent="0.3">
      <c r="A135" s="982"/>
      <c r="B135" s="983"/>
      <c r="C135" s="1017"/>
      <c r="D135" s="1028"/>
      <c r="E135" s="1034"/>
      <c r="F135" s="551">
        <v>900.64499999999998</v>
      </c>
      <c r="G135" s="527">
        <v>0.1</v>
      </c>
      <c r="H135" s="527">
        <v>0.80700000000000005</v>
      </c>
      <c r="I135" s="528">
        <v>8.8999999999999996E-2</v>
      </c>
      <c r="J135" s="1062"/>
      <c r="K135" s="1059"/>
      <c r="L135" s="1056"/>
      <c r="O135" s="49"/>
      <c r="P135" s="49"/>
      <c r="Q135" s="49"/>
      <c r="R135" s="49"/>
      <c r="T135" s="54"/>
      <c r="U135" s="49"/>
      <c r="V135" s="282"/>
    </row>
    <row r="136" spans="1:22" ht="30" customHeight="1" x14ac:dyDescent="0.25">
      <c r="O136" s="49"/>
      <c r="P136" s="49"/>
      <c r="Q136" s="49"/>
      <c r="R136" s="49"/>
      <c r="T136" s="54"/>
      <c r="U136" s="49"/>
      <c r="V136" s="282"/>
    </row>
    <row r="137" spans="1:22" ht="30" customHeight="1" thickBot="1" x14ac:dyDescent="0.3">
      <c r="R137" s="49"/>
      <c r="S137" s="49"/>
      <c r="T137" s="49"/>
      <c r="U137" s="49"/>
      <c r="V137" s="282"/>
    </row>
    <row r="138" spans="1:22" ht="30" customHeight="1" thickBot="1" x14ac:dyDescent="0.3">
      <c r="A138" s="978" t="s">
        <v>228</v>
      </c>
      <c r="B138" s="979"/>
      <c r="C138" s="975" t="s">
        <v>242</v>
      </c>
      <c r="D138" s="1026" t="s">
        <v>230</v>
      </c>
      <c r="E138" s="1032" t="s">
        <v>243</v>
      </c>
      <c r="F138" s="518">
        <v>14.8</v>
      </c>
      <c r="G138" s="519">
        <v>0.1</v>
      </c>
      <c r="H138" s="519">
        <v>0</v>
      </c>
      <c r="I138" s="530">
        <v>0.2</v>
      </c>
      <c r="J138" s="984">
        <v>1.96</v>
      </c>
      <c r="K138" s="987" t="s">
        <v>232</v>
      </c>
      <c r="L138" s="990" t="s">
        <v>244</v>
      </c>
      <c r="R138" s="49"/>
      <c r="S138" s="49"/>
      <c r="T138" s="49"/>
      <c r="U138" s="49"/>
      <c r="V138" s="282"/>
    </row>
    <row r="139" spans="1:22" ht="30" customHeight="1" x14ac:dyDescent="0.25">
      <c r="A139" s="980"/>
      <c r="B139" s="981"/>
      <c r="C139" s="1016"/>
      <c r="D139" s="1027"/>
      <c r="E139" s="1033"/>
      <c r="F139" s="522">
        <v>24.8</v>
      </c>
      <c r="G139" s="523">
        <v>0.1</v>
      </c>
      <c r="H139" s="523">
        <v>0.1</v>
      </c>
      <c r="I139" s="531">
        <v>0.2</v>
      </c>
      <c r="J139" s="985"/>
      <c r="K139" s="988"/>
      <c r="L139" s="991"/>
      <c r="N139" s="506"/>
      <c r="O139" s="507" t="s">
        <v>233</v>
      </c>
      <c r="P139" s="508" t="s">
        <v>234</v>
      </c>
      <c r="Q139" s="509" t="s">
        <v>235</v>
      </c>
      <c r="R139" s="49"/>
      <c r="S139" s="49"/>
      <c r="T139" s="49"/>
      <c r="U139" s="49"/>
      <c r="V139" s="282"/>
    </row>
    <row r="140" spans="1:22" ht="30" customHeight="1" thickBot="1" x14ac:dyDescent="0.3">
      <c r="A140" s="982"/>
      <c r="B140" s="983"/>
      <c r="C140" s="1016"/>
      <c r="D140" s="1027"/>
      <c r="E140" s="1033"/>
      <c r="F140" s="526">
        <v>29.8</v>
      </c>
      <c r="G140" s="527">
        <v>0.1</v>
      </c>
      <c r="H140" s="527">
        <v>0.1</v>
      </c>
      <c r="I140" s="528">
        <v>0.2</v>
      </c>
      <c r="J140" s="986"/>
      <c r="K140" s="989"/>
      <c r="L140" s="992"/>
      <c r="N140" s="510" t="s">
        <v>245</v>
      </c>
      <c r="O140" s="511">
        <f>MAX(I138:I140)</f>
        <v>0.2</v>
      </c>
      <c r="P140" s="512">
        <f>MAX(I141:I143)</f>
        <v>1.7</v>
      </c>
      <c r="Q140" s="513">
        <f>MAX(I144:I146)</f>
        <v>8.7999999999999995E-2</v>
      </c>
      <c r="R140" s="49"/>
      <c r="T140" s="54"/>
      <c r="U140" s="49"/>
      <c r="V140" s="282"/>
    </row>
    <row r="141" spans="1:22" ht="30" customHeight="1" thickBot="1" x14ac:dyDescent="0.3">
      <c r="A141" s="978" t="s">
        <v>237</v>
      </c>
      <c r="B141" s="979"/>
      <c r="C141" s="1016"/>
      <c r="D141" s="1027"/>
      <c r="E141" s="1033"/>
      <c r="F141" s="529">
        <v>33.4</v>
      </c>
      <c r="G141" s="538">
        <v>0.1</v>
      </c>
      <c r="H141" s="538">
        <v>-3.4</v>
      </c>
      <c r="I141" s="539">
        <v>1.7</v>
      </c>
      <c r="J141" s="1035">
        <v>1.96</v>
      </c>
      <c r="K141" s="987" t="s">
        <v>238</v>
      </c>
      <c r="L141" s="990" t="s">
        <v>246</v>
      </c>
      <c r="N141" s="514"/>
      <c r="O141" s="515"/>
      <c r="P141" s="516"/>
      <c r="Q141" s="517"/>
      <c r="R141" s="49"/>
      <c r="T141" s="54"/>
      <c r="U141" s="49"/>
      <c r="V141" s="282"/>
    </row>
    <row r="142" spans="1:22" ht="30" customHeight="1" x14ac:dyDescent="0.25">
      <c r="A142" s="980"/>
      <c r="B142" s="981"/>
      <c r="C142" s="1016"/>
      <c r="D142" s="1027"/>
      <c r="E142" s="1033"/>
      <c r="F142" s="522">
        <v>51.1</v>
      </c>
      <c r="G142" s="540">
        <v>0.1</v>
      </c>
      <c r="H142" s="540">
        <v>-1.1000000000000001</v>
      </c>
      <c r="I142" s="541">
        <v>1.7</v>
      </c>
      <c r="J142" s="985"/>
      <c r="K142" s="988"/>
      <c r="L142" s="991"/>
      <c r="O142" s="49"/>
      <c r="P142" s="49"/>
      <c r="Q142" s="49"/>
      <c r="R142" s="49"/>
      <c r="T142" s="54"/>
      <c r="U142" s="49"/>
      <c r="V142" s="282"/>
    </row>
    <row r="143" spans="1:22" ht="30" customHeight="1" thickBot="1" x14ac:dyDescent="0.25">
      <c r="A143" s="982"/>
      <c r="B143" s="983"/>
      <c r="C143" s="1016"/>
      <c r="D143" s="1027"/>
      <c r="E143" s="1033"/>
      <c r="F143" s="526">
        <v>76.8</v>
      </c>
      <c r="G143" s="542">
        <v>0.1</v>
      </c>
      <c r="H143" s="542">
        <v>3.2</v>
      </c>
      <c r="I143" s="543">
        <v>1.7</v>
      </c>
      <c r="J143" s="986"/>
      <c r="K143" s="989"/>
      <c r="L143" s="992"/>
      <c r="O143" s="49"/>
      <c r="P143" s="49"/>
      <c r="Q143" s="49"/>
      <c r="R143" s="49"/>
      <c r="T143" s="49"/>
    </row>
    <row r="144" spans="1:22" ht="30" customHeight="1" x14ac:dyDescent="0.2">
      <c r="A144" s="978" t="s">
        <v>239</v>
      </c>
      <c r="B144" s="979"/>
      <c r="C144" s="1016"/>
      <c r="D144" s="1027"/>
      <c r="E144" s="1033"/>
      <c r="F144" s="518">
        <v>499.02600000000001</v>
      </c>
      <c r="G144" s="538">
        <v>0.1</v>
      </c>
      <c r="H144" s="544">
        <v>1.573</v>
      </c>
      <c r="I144" s="545">
        <v>7.6999999999999999E-2</v>
      </c>
      <c r="J144" s="1035">
        <v>1.96</v>
      </c>
      <c r="K144" s="987" t="s">
        <v>201</v>
      </c>
      <c r="L144" s="1036" t="s">
        <v>247</v>
      </c>
      <c r="O144" s="49"/>
      <c r="P144" s="49"/>
      <c r="Q144" s="49"/>
      <c r="R144" s="49"/>
      <c r="T144" s="49"/>
    </row>
    <row r="145" spans="1:20" ht="30" customHeight="1" x14ac:dyDescent="0.2">
      <c r="A145" s="980"/>
      <c r="B145" s="981"/>
      <c r="C145" s="1016"/>
      <c r="D145" s="1027"/>
      <c r="E145" s="1033"/>
      <c r="F145" s="522">
        <v>752.18100000000004</v>
      </c>
      <c r="G145" s="540">
        <v>0.1</v>
      </c>
      <c r="H145" s="546">
        <v>1.0469999999999999</v>
      </c>
      <c r="I145" s="535">
        <v>8.3000000000000004E-2</v>
      </c>
      <c r="J145" s="985">
        <v>1.96</v>
      </c>
      <c r="K145" s="988"/>
      <c r="L145" s="991" t="s">
        <v>248</v>
      </c>
      <c r="O145" s="49"/>
      <c r="P145" s="49"/>
      <c r="Q145" s="49"/>
      <c r="R145" s="49"/>
      <c r="T145" s="49"/>
    </row>
    <row r="146" spans="1:20" ht="30" customHeight="1" thickBot="1" x14ac:dyDescent="0.25">
      <c r="A146" s="982"/>
      <c r="B146" s="983"/>
      <c r="C146" s="1017"/>
      <c r="D146" s="1028"/>
      <c r="E146" s="1034"/>
      <c r="F146" s="526">
        <v>900.66499999999996</v>
      </c>
      <c r="G146" s="542">
        <v>0.1</v>
      </c>
      <c r="H146" s="547">
        <v>0.73699999999999999</v>
      </c>
      <c r="I146" s="537">
        <v>8.7999999999999995E-2</v>
      </c>
      <c r="J146" s="986">
        <v>2</v>
      </c>
      <c r="K146" s="989"/>
      <c r="L146" s="992" t="s">
        <v>249</v>
      </c>
      <c r="O146" s="49"/>
      <c r="P146" s="49"/>
      <c r="Q146" s="49"/>
      <c r="R146" s="49"/>
      <c r="T146" s="49"/>
    </row>
    <row r="147" spans="1:20" ht="30" customHeight="1" x14ac:dyDescent="0.2"/>
    <row r="148" spans="1:20" ht="30" customHeight="1" thickBot="1" x14ac:dyDescent="0.25"/>
    <row r="149" spans="1:20" ht="30" customHeight="1" thickBot="1" x14ac:dyDescent="0.25">
      <c r="A149" s="994" t="s">
        <v>228</v>
      </c>
      <c r="B149" s="995"/>
      <c r="C149" s="975" t="s">
        <v>250</v>
      </c>
      <c r="D149" s="1000" t="s">
        <v>230</v>
      </c>
      <c r="E149" s="1037">
        <v>19506160802033</v>
      </c>
      <c r="F149" s="518">
        <v>15.1</v>
      </c>
      <c r="G149" s="519">
        <v>0.1</v>
      </c>
      <c r="H149" s="520">
        <v>0</v>
      </c>
      <c r="I149" s="521">
        <v>0.3</v>
      </c>
      <c r="J149" s="984">
        <v>1.96</v>
      </c>
      <c r="K149" s="987" t="s">
        <v>251</v>
      </c>
      <c r="L149" s="990" t="s">
        <v>252</v>
      </c>
    </row>
    <row r="150" spans="1:20" ht="30" customHeight="1" x14ac:dyDescent="0.2">
      <c r="A150" s="996"/>
      <c r="B150" s="997"/>
      <c r="C150" s="976"/>
      <c r="D150" s="1001"/>
      <c r="E150" s="1038"/>
      <c r="F150" s="522">
        <v>24.9</v>
      </c>
      <c r="G150" s="523">
        <v>0.1</v>
      </c>
      <c r="H150" s="524">
        <v>0</v>
      </c>
      <c r="I150" s="525">
        <v>0.2</v>
      </c>
      <c r="J150" s="985"/>
      <c r="K150" s="988"/>
      <c r="L150" s="991"/>
      <c r="N150" s="506"/>
      <c r="O150" s="507" t="s">
        <v>233</v>
      </c>
      <c r="P150" s="508" t="s">
        <v>234</v>
      </c>
      <c r="Q150" s="509" t="s">
        <v>235</v>
      </c>
      <c r="R150" s="49"/>
      <c r="T150" s="49"/>
    </row>
    <row r="151" spans="1:20" ht="30" customHeight="1" thickBot="1" x14ac:dyDescent="0.25">
      <c r="A151" s="998"/>
      <c r="B151" s="999"/>
      <c r="C151" s="976"/>
      <c r="D151" s="1001"/>
      <c r="E151" s="1038"/>
      <c r="F151" s="526">
        <v>34.700000000000003</v>
      </c>
      <c r="G151" s="527">
        <v>0.1</v>
      </c>
      <c r="H151" s="527">
        <v>0</v>
      </c>
      <c r="I151" s="528">
        <v>0.4</v>
      </c>
      <c r="J151" s="986"/>
      <c r="K151" s="989"/>
      <c r="L151" s="992"/>
      <c r="N151" s="510" t="s">
        <v>253</v>
      </c>
      <c r="O151" s="511">
        <f>MAX(I149:I151)</f>
        <v>0.4</v>
      </c>
      <c r="P151" s="512">
        <f>MAX(I152:I154)</f>
        <v>1.7</v>
      </c>
      <c r="Q151" s="513">
        <f>MAX(I155:I157)</f>
        <v>9.0999999999999998E-2</v>
      </c>
      <c r="R151" s="49"/>
      <c r="T151" s="49"/>
    </row>
    <row r="152" spans="1:20" ht="30" customHeight="1" thickBot="1" x14ac:dyDescent="0.25">
      <c r="A152" s="978" t="s">
        <v>237</v>
      </c>
      <c r="B152" s="979"/>
      <c r="C152" s="976"/>
      <c r="D152" s="1001"/>
      <c r="E152" s="1038"/>
      <c r="F152" s="529">
        <v>32.700000000000003</v>
      </c>
      <c r="G152" s="519">
        <v>0.1</v>
      </c>
      <c r="H152" s="519">
        <v>-2.7</v>
      </c>
      <c r="I152" s="530">
        <v>1.7</v>
      </c>
      <c r="J152" s="984">
        <v>1.96</v>
      </c>
      <c r="K152" s="987" t="s">
        <v>254</v>
      </c>
      <c r="L152" s="990" t="s">
        <v>255</v>
      </c>
      <c r="N152" s="514"/>
      <c r="O152" s="515"/>
      <c r="P152" s="516"/>
      <c r="Q152" s="517"/>
      <c r="R152" s="49"/>
      <c r="T152" s="49"/>
    </row>
    <row r="153" spans="1:20" ht="30" customHeight="1" x14ac:dyDescent="0.2">
      <c r="A153" s="980"/>
      <c r="B153" s="981"/>
      <c r="C153" s="976"/>
      <c r="D153" s="1001"/>
      <c r="E153" s="1038"/>
      <c r="F153" s="522">
        <v>50.5</v>
      </c>
      <c r="G153" s="523">
        <v>0.1</v>
      </c>
      <c r="H153" s="523">
        <v>-0.5</v>
      </c>
      <c r="I153" s="531">
        <v>1.7</v>
      </c>
      <c r="J153" s="985"/>
      <c r="K153" s="988"/>
      <c r="L153" s="991"/>
      <c r="O153" s="49"/>
      <c r="T153" s="49"/>
    </row>
    <row r="154" spans="1:20" ht="30" customHeight="1" thickBot="1" x14ac:dyDescent="0.25">
      <c r="A154" s="982"/>
      <c r="B154" s="983"/>
      <c r="C154" s="976"/>
      <c r="D154" s="1001"/>
      <c r="E154" s="1038"/>
      <c r="F154" s="526">
        <v>76.7</v>
      </c>
      <c r="G154" s="527">
        <v>0.1</v>
      </c>
      <c r="H154" s="527">
        <v>3.3</v>
      </c>
      <c r="I154" s="528">
        <v>1.7</v>
      </c>
      <c r="J154" s="986"/>
      <c r="K154" s="989"/>
      <c r="L154" s="992"/>
      <c r="O154" s="49"/>
      <c r="T154" s="49"/>
    </row>
    <row r="155" spans="1:20" ht="30" customHeight="1" x14ac:dyDescent="0.2">
      <c r="A155" s="978" t="s">
        <v>239</v>
      </c>
      <c r="B155" s="979"/>
      <c r="C155" s="976"/>
      <c r="D155" s="1001"/>
      <c r="E155" s="1038"/>
      <c r="F155" s="518">
        <v>399.52300000000002</v>
      </c>
      <c r="G155" s="519">
        <v>0.1</v>
      </c>
      <c r="H155" s="532">
        <v>1.96</v>
      </c>
      <c r="I155" s="533">
        <v>7.5999999999999998E-2</v>
      </c>
      <c r="J155" s="984">
        <v>2</v>
      </c>
      <c r="K155" s="987" t="s">
        <v>201</v>
      </c>
      <c r="L155" s="993" t="s">
        <v>256</v>
      </c>
      <c r="O155" s="49"/>
      <c r="T155" s="49"/>
    </row>
    <row r="156" spans="1:20" ht="30" customHeight="1" x14ac:dyDescent="0.2">
      <c r="A156" s="980"/>
      <c r="B156" s="981"/>
      <c r="C156" s="976"/>
      <c r="D156" s="1001"/>
      <c r="E156" s="1038"/>
      <c r="F156" s="522">
        <v>752.18100000000004</v>
      </c>
      <c r="G156" s="523">
        <v>0.1</v>
      </c>
      <c r="H156" s="534">
        <v>1.1479999999999999</v>
      </c>
      <c r="I156" s="535">
        <v>8.3000000000000004E-2</v>
      </c>
      <c r="J156" s="985"/>
      <c r="K156" s="988"/>
      <c r="L156" s="991"/>
    </row>
    <row r="157" spans="1:20" ht="30" customHeight="1" thickBot="1" x14ac:dyDescent="0.25">
      <c r="A157" s="982"/>
      <c r="B157" s="983"/>
      <c r="C157" s="977"/>
      <c r="D157" s="1002"/>
      <c r="E157" s="1039"/>
      <c r="F157" s="526">
        <v>1099.1110000000001</v>
      </c>
      <c r="G157" s="527">
        <v>0.1</v>
      </c>
      <c r="H157" s="536">
        <v>1.0669999999999999</v>
      </c>
      <c r="I157" s="537">
        <v>9.0999999999999998E-2</v>
      </c>
      <c r="J157" s="986"/>
      <c r="K157" s="989"/>
      <c r="L157" s="992"/>
    </row>
    <row r="158" spans="1:20" ht="30" customHeight="1" x14ac:dyDescent="0.2"/>
    <row r="159" spans="1:20" ht="30" customHeight="1" thickBot="1" x14ac:dyDescent="0.25"/>
    <row r="160" spans="1:20" ht="30" customHeight="1" thickBot="1" x14ac:dyDescent="0.25">
      <c r="A160" s="978" t="s">
        <v>228</v>
      </c>
      <c r="B160" s="979"/>
      <c r="C160" s="975" t="s">
        <v>257</v>
      </c>
      <c r="D160" s="1026" t="s">
        <v>230</v>
      </c>
      <c r="E160" s="1040">
        <v>19406160802033</v>
      </c>
      <c r="F160" s="529">
        <v>15.1</v>
      </c>
      <c r="G160" s="519">
        <v>0.1</v>
      </c>
      <c r="H160" s="520">
        <v>0</v>
      </c>
      <c r="I160" s="556">
        <v>0.3</v>
      </c>
      <c r="J160" s="1023">
        <v>1.96</v>
      </c>
      <c r="K160" s="987" t="s">
        <v>258</v>
      </c>
      <c r="L160" s="990" t="s">
        <v>259</v>
      </c>
    </row>
    <row r="161" spans="1:17" ht="30" customHeight="1" x14ac:dyDescent="0.2">
      <c r="A161" s="980"/>
      <c r="B161" s="981"/>
      <c r="C161" s="976"/>
      <c r="D161" s="1027"/>
      <c r="E161" s="1033"/>
      <c r="F161" s="522">
        <v>24.9</v>
      </c>
      <c r="G161" s="523">
        <v>0.1</v>
      </c>
      <c r="H161" s="524">
        <v>0</v>
      </c>
      <c r="I161" s="557">
        <v>0.2</v>
      </c>
      <c r="J161" s="1024"/>
      <c r="K161" s="988"/>
      <c r="L161" s="991"/>
      <c r="N161" s="506"/>
      <c r="O161" s="507" t="s">
        <v>233</v>
      </c>
      <c r="P161" s="508" t="s">
        <v>234</v>
      </c>
      <c r="Q161" s="509" t="s">
        <v>235</v>
      </c>
    </row>
    <row r="162" spans="1:17" ht="30" customHeight="1" thickBot="1" x14ac:dyDescent="0.25">
      <c r="A162" s="982"/>
      <c r="B162" s="983"/>
      <c r="C162" s="976"/>
      <c r="D162" s="1027"/>
      <c r="E162" s="1033"/>
      <c r="F162" s="551">
        <v>34.700000000000003</v>
      </c>
      <c r="G162" s="527">
        <v>0.1</v>
      </c>
      <c r="H162" s="558">
        <v>0.1</v>
      </c>
      <c r="I162" s="559">
        <v>0.5</v>
      </c>
      <c r="J162" s="1025"/>
      <c r="K162" s="989"/>
      <c r="L162" s="992"/>
      <c r="N162" s="510" t="s">
        <v>260</v>
      </c>
      <c r="O162" s="511">
        <f>MAX(I160:I162)</f>
        <v>0.5</v>
      </c>
      <c r="P162" s="512">
        <f>MAX(I163:I165)</f>
        <v>1.7</v>
      </c>
      <c r="Q162" s="513">
        <f>MAX(I166:I168)</f>
        <v>7.0000000000000007E-2</v>
      </c>
    </row>
    <row r="163" spans="1:17" ht="30" customHeight="1" thickBot="1" x14ac:dyDescent="0.25">
      <c r="A163" s="978" t="s">
        <v>237</v>
      </c>
      <c r="B163" s="979"/>
      <c r="C163" s="976"/>
      <c r="D163" s="1027"/>
      <c r="E163" s="1033"/>
      <c r="F163" s="529">
        <v>33</v>
      </c>
      <c r="G163" s="519">
        <v>0.1</v>
      </c>
      <c r="H163" s="519">
        <v>-3</v>
      </c>
      <c r="I163" s="533">
        <v>1.7</v>
      </c>
      <c r="J163" s="1023">
        <v>1.96</v>
      </c>
      <c r="K163" s="987" t="s">
        <v>261</v>
      </c>
      <c r="L163" s="990" t="s">
        <v>262</v>
      </c>
      <c r="N163" s="514"/>
      <c r="O163" s="515"/>
      <c r="P163" s="516"/>
      <c r="Q163" s="517"/>
    </row>
    <row r="164" spans="1:17" ht="30" customHeight="1" x14ac:dyDescent="0.2">
      <c r="A164" s="980"/>
      <c r="B164" s="981"/>
      <c r="C164" s="976"/>
      <c r="D164" s="1027"/>
      <c r="E164" s="1033"/>
      <c r="F164" s="522">
        <v>50.9</v>
      </c>
      <c r="G164" s="523">
        <v>0.1</v>
      </c>
      <c r="H164" s="523">
        <v>-0.9</v>
      </c>
      <c r="I164" s="535">
        <v>1.7</v>
      </c>
      <c r="J164" s="1024">
        <v>2</v>
      </c>
      <c r="K164" s="988"/>
      <c r="L164" s="991"/>
    </row>
    <row r="165" spans="1:17" ht="30" customHeight="1" thickBot="1" x14ac:dyDescent="0.25">
      <c r="A165" s="982"/>
      <c r="B165" s="983"/>
      <c r="C165" s="976"/>
      <c r="D165" s="1027"/>
      <c r="E165" s="1033"/>
      <c r="F165" s="526">
        <v>79.099999999999994</v>
      </c>
      <c r="G165" s="527">
        <v>0.1</v>
      </c>
      <c r="H165" s="527">
        <v>0.9</v>
      </c>
      <c r="I165" s="537">
        <v>1.7</v>
      </c>
      <c r="J165" s="1025"/>
      <c r="K165" s="989"/>
      <c r="L165" s="992"/>
    </row>
    <row r="166" spans="1:17" ht="30" customHeight="1" x14ac:dyDescent="0.2">
      <c r="A166" s="978" t="s">
        <v>239</v>
      </c>
      <c r="B166" s="979"/>
      <c r="C166" s="976"/>
      <c r="D166" s="1027"/>
      <c r="E166" s="1033"/>
      <c r="F166" s="529">
        <v>398.61399999999998</v>
      </c>
      <c r="G166" s="519">
        <v>0.1</v>
      </c>
      <c r="H166" s="519">
        <v>1.64</v>
      </c>
      <c r="I166" s="533">
        <v>6.5000000000000002E-2</v>
      </c>
      <c r="J166" s="1023">
        <v>2</v>
      </c>
      <c r="K166" s="987" t="s">
        <v>263</v>
      </c>
      <c r="L166" s="993" t="s">
        <v>264</v>
      </c>
    </row>
    <row r="167" spans="1:17" ht="30" customHeight="1" x14ac:dyDescent="0.2">
      <c r="A167" s="980"/>
      <c r="B167" s="981"/>
      <c r="C167" s="976"/>
      <c r="D167" s="1027"/>
      <c r="E167" s="1033"/>
      <c r="F167" s="522">
        <v>752.91200000000003</v>
      </c>
      <c r="G167" s="523">
        <v>0.1</v>
      </c>
      <c r="H167" s="534">
        <v>0.877</v>
      </c>
      <c r="I167" s="535">
        <v>6.8000000000000005E-2</v>
      </c>
      <c r="J167" s="1024">
        <v>2</v>
      </c>
      <c r="K167" s="988"/>
      <c r="L167" s="991"/>
    </row>
    <row r="168" spans="1:17" ht="30" customHeight="1" thickBot="1" x14ac:dyDescent="0.25">
      <c r="A168" s="982"/>
      <c r="B168" s="983"/>
      <c r="C168" s="977"/>
      <c r="D168" s="1028"/>
      <c r="E168" s="1034"/>
      <c r="F168" s="526">
        <v>801.26800000000003</v>
      </c>
      <c r="G168" s="527">
        <v>0.1</v>
      </c>
      <c r="H168" s="527">
        <v>0.81200000000000006</v>
      </c>
      <c r="I168" s="537">
        <v>7.0000000000000007E-2</v>
      </c>
      <c r="J168" s="1025"/>
      <c r="K168" s="989"/>
      <c r="L168" s="992"/>
    </row>
    <row r="169" spans="1:17" ht="30" customHeight="1" thickBot="1" x14ac:dyDescent="0.25">
      <c r="J169" s="50"/>
      <c r="K169" s="50"/>
      <c r="L169" s="50"/>
      <c r="M169" s="50"/>
      <c r="N169" s="50"/>
    </row>
    <row r="170" spans="1:17" ht="30" customHeight="1" thickBot="1" x14ac:dyDescent="0.25">
      <c r="A170" s="978" t="s">
        <v>228</v>
      </c>
      <c r="B170" s="979"/>
      <c r="C170" s="975" t="s">
        <v>265</v>
      </c>
      <c r="D170" s="1026" t="s">
        <v>230</v>
      </c>
      <c r="E170" s="1029" t="s">
        <v>266</v>
      </c>
      <c r="F170" s="529">
        <v>16.8</v>
      </c>
      <c r="G170" s="519">
        <v>0.1</v>
      </c>
      <c r="H170" s="520">
        <v>0.1</v>
      </c>
      <c r="I170" s="556">
        <v>0.2</v>
      </c>
      <c r="J170" s="984">
        <v>1.96</v>
      </c>
      <c r="K170" s="987">
        <v>44719</v>
      </c>
      <c r="L170" s="990" t="s">
        <v>592</v>
      </c>
    </row>
    <row r="171" spans="1:17" ht="30" customHeight="1" x14ac:dyDescent="0.2">
      <c r="A171" s="980"/>
      <c r="B171" s="981"/>
      <c r="C171" s="976"/>
      <c r="D171" s="1027"/>
      <c r="E171" s="1030"/>
      <c r="F171" s="554">
        <v>19.899999999999999</v>
      </c>
      <c r="G171" s="523">
        <v>0.1</v>
      </c>
      <c r="H171" s="524">
        <v>0</v>
      </c>
      <c r="I171" s="557">
        <v>0.2</v>
      </c>
      <c r="J171" s="985"/>
      <c r="K171" s="988"/>
      <c r="L171" s="991"/>
      <c r="N171" s="506"/>
      <c r="O171" s="507" t="s">
        <v>233</v>
      </c>
      <c r="P171" s="508" t="s">
        <v>234</v>
      </c>
      <c r="Q171" s="509" t="s">
        <v>235</v>
      </c>
    </row>
    <row r="172" spans="1:17" ht="30" customHeight="1" thickBot="1" x14ac:dyDescent="0.25">
      <c r="A172" s="982"/>
      <c r="B172" s="983"/>
      <c r="C172" s="976"/>
      <c r="D172" s="1027"/>
      <c r="E172" s="1030"/>
      <c r="F172" s="551">
        <v>22.9</v>
      </c>
      <c r="G172" s="527">
        <v>0.1</v>
      </c>
      <c r="H172" s="558">
        <v>0</v>
      </c>
      <c r="I172" s="560">
        <v>0.2</v>
      </c>
      <c r="J172" s="986"/>
      <c r="K172" s="989"/>
      <c r="L172" s="992"/>
      <c r="N172" s="510" t="s">
        <v>267</v>
      </c>
      <c r="O172" s="511">
        <f>MAX(I170:I172)</f>
        <v>0.2</v>
      </c>
      <c r="P172" s="512">
        <f>MAX(I173:I175)</f>
        <v>1.7</v>
      </c>
      <c r="Q172" s="513">
        <f>MAX(I176:I178)</f>
        <v>8.7999999999999995E-2</v>
      </c>
    </row>
    <row r="173" spans="1:17" ht="30" customHeight="1" thickBot="1" x14ac:dyDescent="0.25">
      <c r="A173" s="978" t="s">
        <v>237</v>
      </c>
      <c r="B173" s="979"/>
      <c r="C173" s="976"/>
      <c r="D173" s="1027"/>
      <c r="E173" s="1030"/>
      <c r="F173" s="529">
        <v>33.299999999999997</v>
      </c>
      <c r="G173" s="519">
        <v>0.1</v>
      </c>
      <c r="H173" s="519">
        <v>-3.3</v>
      </c>
      <c r="I173" s="533">
        <v>1.7</v>
      </c>
      <c r="J173" s="984">
        <v>1.96</v>
      </c>
      <c r="K173" s="987">
        <v>44353</v>
      </c>
      <c r="L173" s="990" t="s">
        <v>593</v>
      </c>
      <c r="N173" s="514"/>
      <c r="O173" s="515"/>
      <c r="P173" s="516"/>
      <c r="Q173" s="517"/>
    </row>
    <row r="174" spans="1:17" ht="30" customHeight="1" x14ac:dyDescent="0.2">
      <c r="A174" s="980"/>
      <c r="B174" s="981"/>
      <c r="C174" s="976"/>
      <c r="D174" s="1027"/>
      <c r="E174" s="1030"/>
      <c r="F174" s="522">
        <v>55.9</v>
      </c>
      <c r="G174" s="523">
        <v>0.1</v>
      </c>
      <c r="H174" s="523">
        <v>-0.9</v>
      </c>
      <c r="I174" s="561">
        <v>1.7</v>
      </c>
      <c r="J174" s="985"/>
      <c r="K174" s="988"/>
      <c r="L174" s="991"/>
    </row>
    <row r="175" spans="1:17" ht="30" customHeight="1" thickBot="1" x14ac:dyDescent="0.25">
      <c r="A175" s="982"/>
      <c r="B175" s="983"/>
      <c r="C175" s="976"/>
      <c r="D175" s="1027"/>
      <c r="E175" s="1030"/>
      <c r="F175" s="526">
        <v>78.2</v>
      </c>
      <c r="G175" s="527">
        <v>0.1</v>
      </c>
      <c r="H175" s="527">
        <v>1.8</v>
      </c>
      <c r="I175" s="562">
        <v>1.7</v>
      </c>
      <c r="J175" s="986"/>
      <c r="K175" s="989"/>
      <c r="L175" s="992"/>
    </row>
    <row r="176" spans="1:17" ht="30" customHeight="1" x14ac:dyDescent="0.2">
      <c r="A176" s="978" t="s">
        <v>239</v>
      </c>
      <c r="B176" s="979"/>
      <c r="C176" s="976"/>
      <c r="D176" s="1027"/>
      <c r="E176" s="1030"/>
      <c r="F176" s="518">
        <v>499.03300000000002</v>
      </c>
      <c r="G176" s="519">
        <v>0.1</v>
      </c>
      <c r="H176" s="519">
        <v>1.706</v>
      </c>
      <c r="I176" s="533">
        <v>7.6999999999999999E-2</v>
      </c>
      <c r="J176" s="1023">
        <v>2</v>
      </c>
      <c r="K176" s="987" t="s">
        <v>201</v>
      </c>
      <c r="L176" s="993" t="s">
        <v>268</v>
      </c>
    </row>
    <row r="177" spans="1:21" ht="30" customHeight="1" x14ac:dyDescent="0.2">
      <c r="A177" s="980"/>
      <c r="B177" s="981"/>
      <c r="C177" s="976"/>
      <c r="D177" s="1027"/>
      <c r="E177" s="1030"/>
      <c r="F177" s="522">
        <v>752.18100000000004</v>
      </c>
      <c r="G177" s="523">
        <v>0.1</v>
      </c>
      <c r="H177" s="534">
        <v>1.087</v>
      </c>
      <c r="I177" s="535">
        <v>8.3000000000000004E-2</v>
      </c>
      <c r="J177" s="1024"/>
      <c r="K177" s="988"/>
      <c r="L177" s="991"/>
    </row>
    <row r="178" spans="1:21" ht="30" customHeight="1" thickBot="1" x14ac:dyDescent="0.25">
      <c r="A178" s="982"/>
      <c r="B178" s="983"/>
      <c r="C178" s="977"/>
      <c r="D178" s="1028"/>
      <c r="E178" s="1031"/>
      <c r="F178" s="526">
        <v>900.66499999999996</v>
      </c>
      <c r="G178" s="527">
        <v>0.1</v>
      </c>
      <c r="H178" s="527">
        <v>0.94</v>
      </c>
      <c r="I178" s="537">
        <v>8.7999999999999995E-2</v>
      </c>
      <c r="J178" s="1025"/>
      <c r="K178" s="989"/>
      <c r="L178" s="992"/>
    </row>
    <row r="179" spans="1:21" ht="30" customHeight="1" x14ac:dyDescent="0.2"/>
    <row r="180" spans="1:21" ht="30" customHeight="1" thickBot="1" x14ac:dyDescent="0.25"/>
    <row r="181" spans="1:21" ht="30" customHeight="1" thickBot="1" x14ac:dyDescent="0.25">
      <c r="B181" s="1010" t="s">
        <v>269</v>
      </c>
      <c r="C181" s="1011"/>
      <c r="D181" s="1011"/>
      <c r="E181" s="1011"/>
      <c r="F181" s="1011"/>
      <c r="G181" s="1012"/>
      <c r="L181" s="405"/>
      <c r="M181" s="1010" t="s">
        <v>270</v>
      </c>
      <c r="N181" s="1011"/>
      <c r="O181" s="1011"/>
      <c r="P181" s="1012"/>
    </row>
    <row r="182" spans="1:21" ht="30" customHeight="1" thickBot="1" x14ac:dyDescent="0.25">
      <c r="B182" s="369" t="s">
        <v>2</v>
      </c>
      <c r="C182" s="1109" t="s">
        <v>271</v>
      </c>
      <c r="D182" s="1110"/>
      <c r="E182" s="1110"/>
      <c r="F182" s="1110"/>
      <c r="G182" s="1111"/>
      <c r="M182" s="1013" t="s">
        <v>272</v>
      </c>
      <c r="N182" s="1014"/>
      <c r="O182" s="1014"/>
      <c r="P182" s="1015"/>
    </row>
    <row r="183" spans="1:21" ht="30" customHeight="1" x14ac:dyDescent="0.2">
      <c r="B183" s="66"/>
      <c r="C183" s="1112"/>
      <c r="D183" s="1112"/>
      <c r="E183" s="1113"/>
      <c r="F183" s="1113"/>
      <c r="G183" s="122"/>
      <c r="M183" s="779">
        <v>0</v>
      </c>
      <c r="N183" s="780" t="s">
        <v>273</v>
      </c>
      <c r="O183" s="781" t="s">
        <v>274</v>
      </c>
      <c r="P183" s="497"/>
    </row>
    <row r="184" spans="1:21" ht="30" customHeight="1" thickBot="1" x14ac:dyDescent="0.25">
      <c r="B184" s="57" t="s">
        <v>275</v>
      </c>
      <c r="C184" s="1093" t="s">
        <v>276</v>
      </c>
      <c r="D184" s="1093"/>
      <c r="E184" s="1094" t="s">
        <v>277</v>
      </c>
      <c r="F184" s="1094"/>
      <c r="G184" s="854" t="s">
        <v>278</v>
      </c>
      <c r="M184" s="782">
        <v>7.8E-2</v>
      </c>
      <c r="N184" s="783"/>
      <c r="O184" s="784">
        <v>5.0000000000000004E-6</v>
      </c>
      <c r="P184" s="785"/>
    </row>
    <row r="185" spans="1:21" ht="30" customHeight="1" x14ac:dyDescent="0.2">
      <c r="B185" s="57" t="s">
        <v>279</v>
      </c>
      <c r="C185" s="1093" t="s">
        <v>280</v>
      </c>
      <c r="D185" s="1093"/>
      <c r="E185" s="1094" t="s">
        <v>281</v>
      </c>
      <c r="F185" s="1094"/>
      <c r="G185" s="854" t="s">
        <v>278</v>
      </c>
    </row>
    <row r="186" spans="1:21" ht="33" customHeight="1" thickBot="1" x14ac:dyDescent="0.25">
      <c r="B186" s="58" t="s">
        <v>282</v>
      </c>
      <c r="C186" s="1107" t="s">
        <v>283</v>
      </c>
      <c r="D186" s="1107"/>
      <c r="E186" s="1108" t="s">
        <v>281</v>
      </c>
      <c r="F186" s="1108"/>
      <c r="G186" s="855" t="s">
        <v>278</v>
      </c>
    </row>
    <row r="187" spans="1:21" ht="30" customHeight="1" thickBot="1" x14ac:dyDescent="0.25"/>
    <row r="188" spans="1:21" ht="30" customHeight="1" thickBot="1" x14ac:dyDescent="0.25">
      <c r="H188" s="821" t="s">
        <v>23</v>
      </c>
      <c r="I188" s="585" t="str">
        <f>D124</f>
        <v>Fabricante</v>
      </c>
      <c r="J188" s="586" t="str">
        <f>E124</f>
        <v>Identificación / Serie</v>
      </c>
      <c r="K188" s="579" t="s">
        <v>8</v>
      </c>
      <c r="L188" s="579" t="s">
        <v>227</v>
      </c>
      <c r="M188" s="580" t="s">
        <v>233</v>
      </c>
      <c r="N188" s="580" t="s">
        <v>234</v>
      </c>
      <c r="O188" s="580" t="s">
        <v>235</v>
      </c>
      <c r="P188" s="580" t="s">
        <v>284</v>
      </c>
      <c r="Q188" s="580" t="s">
        <v>285</v>
      </c>
      <c r="R188" s="580" t="s">
        <v>286</v>
      </c>
      <c r="S188" s="580" t="s">
        <v>287</v>
      </c>
      <c r="T188" s="580" t="s">
        <v>288</v>
      </c>
      <c r="U188" s="581" t="s">
        <v>289</v>
      </c>
    </row>
    <row r="189" spans="1:21" ht="30" customHeight="1" thickBot="1" x14ac:dyDescent="0.25">
      <c r="H189" s="604"/>
      <c r="I189" s="583"/>
      <c r="J189" s="583"/>
      <c r="K189" s="583"/>
      <c r="L189" s="583"/>
      <c r="M189" s="583"/>
      <c r="N189" s="583"/>
      <c r="O189" s="583"/>
      <c r="P189" s="583"/>
      <c r="Q189" s="583"/>
      <c r="R189" s="583"/>
      <c r="S189" s="582"/>
      <c r="T189" s="582"/>
      <c r="U189" s="605"/>
    </row>
    <row r="190" spans="1:21" ht="30" customHeight="1" x14ac:dyDescent="0.2">
      <c r="H190" s="569" t="str">
        <f>N129</f>
        <v>M-010</v>
      </c>
      <c r="I190" s="570" t="str">
        <f>D127</f>
        <v>Lufft Opus 20</v>
      </c>
      <c r="J190" s="571" t="str">
        <f>E127</f>
        <v>0,26.0714.0802.024</v>
      </c>
      <c r="K190" s="587" t="str">
        <f>K127&amp;" "&amp;K130&amp;" "&amp;K133</f>
        <v>44715 44353 2021-05-31</v>
      </c>
      <c r="L190" s="587" t="str">
        <f>L127&amp;" "&amp;L130&amp;" "&amp;L133</f>
        <v>INM 5932 INM 5933 INM 5238</v>
      </c>
      <c r="M190" s="590">
        <f>O129</f>
        <v>0.2</v>
      </c>
      <c r="N190" s="590">
        <f>P129</f>
        <v>1.7</v>
      </c>
      <c r="O190" s="593">
        <f>Q129</f>
        <v>8.8999999999999996E-2</v>
      </c>
      <c r="P190" s="596">
        <f>SLOPE(H127:H129,F127:F129)</f>
        <v>-1.6481547832318168E-2</v>
      </c>
      <c r="Q190" s="596">
        <f>INTERCEPT(H127:H129,F127:F129)</f>
        <v>0.3772482981010391</v>
      </c>
      <c r="R190" s="596">
        <f>SLOPE(H130:H132,F130:F132)</f>
        <v>0.14377449753982155</v>
      </c>
      <c r="S190" s="596">
        <f>INTERCEPT(H130:H132,F130:F132)</f>
        <v>-8.5128179467934295</v>
      </c>
      <c r="T190" s="596">
        <f>SLOPE(H133:H135,F133:F135)</f>
        <v>-2.2470054458449541E-3</v>
      </c>
      <c r="U190" s="600">
        <f>INTERCEPT(H133:H135,F133:F135)</f>
        <v>2.7829799857965267</v>
      </c>
    </row>
    <row r="191" spans="1:21" ht="30" customHeight="1" x14ac:dyDescent="0.2">
      <c r="H191" s="572" t="str">
        <f>N140</f>
        <v>M-011</v>
      </c>
      <c r="I191" s="573" t="str">
        <f>D138</f>
        <v>Lufft Opus 20</v>
      </c>
      <c r="J191" s="574" t="str">
        <f>E138</f>
        <v>0,22.0714.0802.024</v>
      </c>
      <c r="K191" s="588" t="str">
        <f>K138&amp;" "&amp;K141&amp;" "&amp;K144</f>
        <v>2021-06-25 2021-06-23 2021-05-31</v>
      </c>
      <c r="L191" s="588" t="str">
        <f>L138&amp;" "&amp;L141&amp;" "&amp;L12</f>
        <v xml:space="preserve">INM 5286 INM 5287 </v>
      </c>
      <c r="M191" s="591">
        <f>O140</f>
        <v>0.2</v>
      </c>
      <c r="N191" s="591">
        <f>P140</f>
        <v>1.7</v>
      </c>
      <c r="O191" s="594">
        <f>Q140</f>
        <v>8.7999999999999995E-2</v>
      </c>
      <c r="P191" s="597">
        <f>SLOPE(H138:H140,F138:F140)</f>
        <v>7.1428571428571426E-3</v>
      </c>
      <c r="Q191" s="597">
        <f>INTERCEPT(H138:H140,F138:F140)</f>
        <v>-9.8571428571428601E-2</v>
      </c>
      <c r="R191" s="597">
        <f>SLOPE(H141:H143,F141:F143)</f>
        <v>0.15317043124024443</v>
      </c>
      <c r="S191" s="597">
        <f>INTERCEPT(H141:H143,F141:F143)</f>
        <v>-8.6687968530171435</v>
      </c>
      <c r="T191" s="597">
        <f>SLOPE(H144:H146,F144:F146)</f>
        <v>-2.0810757363394542E-3</v>
      </c>
      <c r="U191" s="601">
        <f>INTERCEPT(H144:H146,F144:F146)</f>
        <v>2.6117362023027515</v>
      </c>
    </row>
    <row r="192" spans="1:21" ht="30" customHeight="1" x14ac:dyDescent="0.2">
      <c r="H192" s="572" t="str">
        <f>N151</f>
        <v xml:space="preserve">M-012  </v>
      </c>
      <c r="I192" s="573" t="str">
        <f>D149</f>
        <v>Lufft Opus 20</v>
      </c>
      <c r="J192" s="575">
        <f>E149</f>
        <v>19506160802033</v>
      </c>
      <c r="K192" s="588" t="str">
        <f>K149&amp;" "&amp;K152&amp;" "&amp;K155</f>
        <v>2021-07-09 2021-07-07 2021-05-31</v>
      </c>
      <c r="L192" s="588" t="str">
        <f>L149&amp;" "&amp;L152&amp;" "&amp;L155</f>
        <v>INM 5303 INM 5304 INM 5240</v>
      </c>
      <c r="M192" s="591">
        <f>O151</f>
        <v>0.4</v>
      </c>
      <c r="N192" s="591">
        <f>P151</f>
        <v>1.7</v>
      </c>
      <c r="O192" s="594">
        <f>Q151</f>
        <v>9.0999999999999998E-2</v>
      </c>
      <c r="P192" s="597">
        <f>SLOPE(H149:H151,F149:F151)</f>
        <v>0</v>
      </c>
      <c r="Q192" s="597">
        <f>INTERCEPT(H149:H151,F149:F151)</f>
        <v>0</v>
      </c>
      <c r="R192" s="597">
        <f>SLOPE(H152:H154,F152:F154)</f>
        <v>0.13701314607659021</v>
      </c>
      <c r="S192" s="597">
        <f>INTERCEPT(H152:H154,F152:F154)</f>
        <v>-7.2694673525489257</v>
      </c>
      <c r="T192" s="597">
        <f>SLOPE(H155:H157,F155:F157)</f>
        <v>-1.2792887594359357E-3</v>
      </c>
      <c r="U192" s="601">
        <f>INTERCEPT(H155:H157,F155:F157)</f>
        <v>2.351480776356599</v>
      </c>
    </row>
    <row r="193" spans="2:67" ht="30" customHeight="1" x14ac:dyDescent="0.2">
      <c r="H193" s="572" t="str">
        <f>N162</f>
        <v xml:space="preserve">M-013  </v>
      </c>
      <c r="I193" s="573" t="str">
        <f>D160</f>
        <v>Lufft Opus 20</v>
      </c>
      <c r="J193" s="574">
        <f>E160</f>
        <v>19406160802033</v>
      </c>
      <c r="K193" s="588" t="str">
        <f>K160&amp;" "&amp;K163&amp;" "&amp;K166</f>
        <v>2021-05-12 2021-05-13 2021-10-22</v>
      </c>
      <c r="L193" s="588" t="str">
        <f>L160&amp;" "&amp;L163&amp;" "&amp;L166</f>
        <v>INM 4782 INM 4783 INM 5548</v>
      </c>
      <c r="M193" s="591">
        <f>O162</f>
        <v>0.5</v>
      </c>
      <c r="N193" s="591">
        <f>P162</f>
        <v>1.7</v>
      </c>
      <c r="O193" s="594">
        <f>Q162</f>
        <v>7.0000000000000007E-2</v>
      </c>
      <c r="P193" s="597">
        <f>SLOPE(H160:H162,F160:F162)</f>
        <v>5.1020408163265311E-3</v>
      </c>
      <c r="Q193" s="599">
        <f>INTERCEPT(H160:H162,F160:F162)</f>
        <v>-9.3707482993197311E-2</v>
      </c>
      <c r="R193" s="597">
        <f>SLOPE(H163:H165,F163:F165)</f>
        <v>8.2737298124571895E-2</v>
      </c>
      <c r="S193" s="599">
        <f>INTERCEPT(H163:H165,F163:F165)</f>
        <v>-5.4953931981017394</v>
      </c>
      <c r="T193" s="597">
        <f>SLOPE(H166:H168,F166:F168)</f>
        <v>-2.0926868742257511E-3</v>
      </c>
      <c r="U193" s="602">
        <f>INTERCEPT(H166:H168,F166:F168)</f>
        <v>2.4718621239556002</v>
      </c>
    </row>
    <row r="194" spans="2:67" ht="30" customHeight="1" thickBot="1" x14ac:dyDescent="0.25">
      <c r="H194" s="576" t="str">
        <f>N172</f>
        <v>V-002</v>
      </c>
      <c r="I194" s="577" t="str">
        <f>D170</f>
        <v>Lufft Opus 20</v>
      </c>
      <c r="J194" s="578" t="str">
        <f>E170</f>
        <v>0,23.0714.0802.024</v>
      </c>
      <c r="K194" s="589" t="str">
        <f>K170&amp;" "&amp;K173&amp;" "&amp;K176</f>
        <v>44719 44353 2021-05-31</v>
      </c>
      <c r="L194" s="589" t="str">
        <f>L170&amp;" "&amp;L173&amp;" "&amp;L176</f>
        <v>INM 5932 INM 5933 INM 5243</v>
      </c>
      <c r="M194" s="592">
        <f>O172</f>
        <v>0.2</v>
      </c>
      <c r="N194" s="592">
        <f>P172</f>
        <v>1.7</v>
      </c>
      <c r="O194" s="595">
        <f>Q172</f>
        <v>8.7999999999999995E-2</v>
      </c>
      <c r="P194" s="598">
        <f>SLOPE(H170:H172,F170:F172)</f>
        <v>-1.6481547832318168E-2</v>
      </c>
      <c r="Q194" s="598">
        <f>INTERCEPT(H170:H172,F170:F172)</f>
        <v>0.36076675026872096</v>
      </c>
      <c r="R194" s="598">
        <f>SLOPE(H173:H175,F173:F175)</f>
        <v>0.11356917521477748</v>
      </c>
      <c r="S194" s="598">
        <f>INTERCEPT(H173:H175,F173:F175)</f>
        <v>-7.1371599769845826</v>
      </c>
      <c r="T194" s="598">
        <f>SLOPE(H176:H178,F176:F178)</f>
        <v>-1.9648258861956771E-3</v>
      </c>
      <c r="U194" s="603">
        <f>INTERCEPT(H176:H178,F176:F178)</f>
        <v>2.6536891877202891</v>
      </c>
    </row>
    <row r="195" spans="2:67" ht="30" customHeight="1" x14ac:dyDescent="0.2"/>
    <row r="196" spans="2:67" ht="30" customHeight="1" x14ac:dyDescent="0.2"/>
    <row r="197" spans="2:67" ht="30" customHeight="1" thickBot="1" x14ac:dyDescent="0.25"/>
    <row r="198" spans="2:67" ht="30" customHeight="1" thickBot="1" x14ac:dyDescent="0.25">
      <c r="B198" s="812"/>
      <c r="C198" s="813"/>
      <c r="D198" s="813"/>
      <c r="E198" s="813"/>
      <c r="F198" s="814"/>
    </row>
    <row r="199" spans="2:67" ht="30" customHeight="1" thickBot="1" x14ac:dyDescent="0.25">
      <c r="B199" s="954" t="s">
        <v>290</v>
      </c>
      <c r="C199" s="955"/>
      <c r="D199" s="955"/>
      <c r="E199" s="955"/>
      <c r="F199" s="956"/>
    </row>
    <row r="200" spans="2:67" ht="30" customHeight="1" thickBot="1" x14ac:dyDescent="0.25">
      <c r="B200" s="584" t="s">
        <v>291</v>
      </c>
      <c r="C200" s="799" t="s">
        <v>292</v>
      </c>
      <c r="D200" s="800" t="s">
        <v>293</v>
      </c>
      <c r="E200" s="799" t="s">
        <v>292</v>
      </c>
      <c r="F200" s="801" t="s">
        <v>293</v>
      </c>
    </row>
    <row r="201" spans="2:67" ht="30" customHeight="1" x14ac:dyDescent="0.2">
      <c r="B201" s="807" t="s">
        <v>294</v>
      </c>
      <c r="C201" s="802" t="s">
        <v>295</v>
      </c>
      <c r="D201" s="803" t="s">
        <v>296</v>
      </c>
      <c r="E201" s="802" t="s">
        <v>297</v>
      </c>
      <c r="F201" s="804" t="s">
        <v>298</v>
      </c>
    </row>
    <row r="202" spans="2:67" ht="30" customHeight="1" thickBot="1" x14ac:dyDescent="0.3">
      <c r="B202" s="808" t="s">
        <v>299</v>
      </c>
      <c r="C202" s="805" t="s">
        <v>295</v>
      </c>
      <c r="D202" s="589" t="s">
        <v>300</v>
      </c>
      <c r="E202" s="805" t="s">
        <v>297</v>
      </c>
      <c r="F202" s="806" t="s">
        <v>301</v>
      </c>
      <c r="BL202" s="59"/>
      <c r="BM202" s="59"/>
      <c r="BN202" s="59"/>
      <c r="BO202" s="59"/>
    </row>
    <row r="203" spans="2:67" ht="30" customHeight="1" thickBot="1" x14ac:dyDescent="0.3">
      <c r="B203" s="815"/>
      <c r="F203" s="816"/>
      <c r="BL203" s="59"/>
      <c r="BM203" s="59"/>
      <c r="BN203" s="59"/>
      <c r="BO203" s="59"/>
    </row>
    <row r="204" spans="2:67" ht="30" customHeight="1" x14ac:dyDescent="0.25">
      <c r="B204" s="815"/>
      <c r="C204" s="796" t="s">
        <v>302</v>
      </c>
      <c r="D204" s="797" t="s">
        <v>303</v>
      </c>
      <c r="E204" s="798" t="s">
        <v>304</v>
      </c>
      <c r="F204" s="816"/>
      <c r="BL204" s="59"/>
      <c r="BM204" s="59"/>
      <c r="BN204" s="59"/>
      <c r="BO204" s="59"/>
    </row>
    <row r="205" spans="2:67" ht="30" customHeight="1" x14ac:dyDescent="0.25">
      <c r="B205" s="815"/>
      <c r="C205" s="809" t="e">
        <f>'RT03-F12 #'!G21</f>
        <v>#N/A</v>
      </c>
      <c r="D205" s="588">
        <v>1</v>
      </c>
      <c r="E205" s="810">
        <v>-1</v>
      </c>
      <c r="F205" s="816"/>
      <c r="BL205" s="59"/>
      <c r="BM205" s="59"/>
      <c r="BN205" s="59"/>
      <c r="BO205" s="59"/>
    </row>
    <row r="206" spans="2:67" ht="30" customHeight="1" x14ac:dyDescent="0.2">
      <c r="B206" s="815"/>
      <c r="C206" s="809" t="e">
        <f>'RT03-F12 #'!G22</f>
        <v>#N/A</v>
      </c>
      <c r="D206" s="588">
        <v>1</v>
      </c>
      <c r="E206" s="810">
        <v>-1</v>
      </c>
      <c r="F206" s="817"/>
      <c r="G206" s="50"/>
      <c r="H206" s="50"/>
      <c r="I206" s="50"/>
      <c r="J206" s="50"/>
      <c r="K206" s="50"/>
      <c r="L206" s="50"/>
    </row>
    <row r="207" spans="2:67" ht="30" customHeight="1" x14ac:dyDescent="0.2">
      <c r="B207" s="815"/>
      <c r="C207" s="809" t="e">
        <f>'RT03-F12 #'!G23</f>
        <v>#N/A</v>
      </c>
      <c r="D207" s="588">
        <v>1</v>
      </c>
      <c r="E207" s="810">
        <v>-1</v>
      </c>
      <c r="F207" s="817"/>
      <c r="G207" s="50"/>
      <c r="H207" s="50"/>
      <c r="I207" s="50"/>
      <c r="J207" s="50"/>
      <c r="K207" s="50"/>
      <c r="L207" s="50"/>
    </row>
    <row r="208" spans="2:67" ht="30" customHeight="1" x14ac:dyDescent="0.2">
      <c r="B208" s="815"/>
      <c r="C208" s="809" t="e">
        <f>'RT03-F12 #'!G24</f>
        <v>#N/A</v>
      </c>
      <c r="D208" s="588">
        <v>1</v>
      </c>
      <c r="E208" s="810">
        <v>-1</v>
      </c>
      <c r="F208" s="816"/>
      <c r="H208" s="50"/>
    </row>
    <row r="209" spans="2:8" ht="30" customHeight="1" x14ac:dyDescent="0.2">
      <c r="B209" s="815"/>
      <c r="C209" s="809" t="e">
        <f>C208</f>
        <v>#N/A</v>
      </c>
      <c r="D209" s="588">
        <v>2</v>
      </c>
      <c r="E209" s="810">
        <v>-2</v>
      </c>
      <c r="F209" s="816"/>
      <c r="H209" s="50"/>
    </row>
    <row r="210" spans="2:8" ht="30" customHeight="1" thickBot="1" x14ac:dyDescent="0.25">
      <c r="B210" s="815"/>
      <c r="C210" s="811" t="e">
        <f>'RT03-F12 #'!G25</f>
        <v>#N/A</v>
      </c>
      <c r="D210" s="589">
        <v>2</v>
      </c>
      <c r="E210" s="806">
        <v>-2</v>
      </c>
      <c r="F210" s="816"/>
      <c r="H210" s="50"/>
    </row>
    <row r="211" spans="2:8" ht="30" customHeight="1" x14ac:dyDescent="0.2">
      <c r="B211" s="815"/>
      <c r="F211" s="816"/>
      <c r="H211" s="50"/>
    </row>
    <row r="212" spans="2:8" ht="30" customHeight="1" x14ac:dyDescent="0.2">
      <c r="B212" s="815"/>
      <c r="F212" s="816"/>
      <c r="H212" s="50"/>
    </row>
    <row r="213" spans="2:8" ht="30" customHeight="1" thickBot="1" x14ac:dyDescent="0.25">
      <c r="B213" s="818"/>
      <c r="C213" s="819"/>
      <c r="D213" s="819"/>
      <c r="E213" s="819"/>
      <c r="F213" s="820"/>
      <c r="H213" s="50"/>
    </row>
    <row r="214" spans="2:8" ht="30" customHeight="1" x14ac:dyDescent="0.2">
      <c r="H214" s="50"/>
    </row>
    <row r="215" spans="2:8" ht="30" customHeight="1" x14ac:dyDescent="0.2"/>
    <row r="216" spans="2:8" ht="30" customHeight="1" x14ac:dyDescent="0.2"/>
    <row r="217" spans="2:8" ht="30" customHeight="1" x14ac:dyDescent="0.2"/>
    <row r="218" spans="2:8" ht="30" customHeight="1" x14ac:dyDescent="0.2"/>
    <row r="219" spans="2:8" ht="30" customHeight="1" x14ac:dyDescent="0.2"/>
    <row r="220" spans="2:8" ht="30" customHeight="1" x14ac:dyDescent="0.2"/>
    <row r="221" spans="2:8" ht="30" customHeight="1" x14ac:dyDescent="0.2"/>
    <row r="222" spans="2:8" ht="30" customHeight="1" x14ac:dyDescent="0.2"/>
    <row r="223" spans="2:8" ht="30" customHeight="1" x14ac:dyDescent="0.2"/>
    <row r="224" spans="2:8"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sheetData>
  <sheetProtection algorithmName="SHA-512" hashValue="hTBgbKl3x/H1XRRdx3QQPRStlCXDBebff7y9SgFu84L4v4B/QilEcZRMPaO0x2X8m3CoTzM1CETx4i8mjHDx+w==" saltValue="oKMN4DUgKa05qZx0kFZ54Q==" spinCount="100000" sheet="1" objects="1" scenarios="1"/>
  <mergeCells count="162">
    <mergeCell ref="C186:D186"/>
    <mergeCell ref="E186:F186"/>
    <mergeCell ref="C182:G182"/>
    <mergeCell ref="C183:D183"/>
    <mergeCell ref="E183:F183"/>
    <mergeCell ref="T27:T28"/>
    <mergeCell ref="T40:T56"/>
    <mergeCell ref="T57:T72"/>
    <mergeCell ref="M27:M28"/>
    <mergeCell ref="K27:K28"/>
    <mergeCell ref="B181:G181"/>
    <mergeCell ref="A141:B143"/>
    <mergeCell ref="J141:J143"/>
    <mergeCell ref="K141:K143"/>
    <mergeCell ref="L141:L143"/>
    <mergeCell ref="J133:J135"/>
    <mergeCell ref="L124:L125"/>
    <mergeCell ref="C127:C135"/>
    <mergeCell ref="E127:E135"/>
    <mergeCell ref="D127:D135"/>
    <mergeCell ref="A130:B132"/>
    <mergeCell ref="K130:K132"/>
    <mergeCell ref="A121:Q122"/>
    <mergeCell ref="A123:Q123"/>
    <mergeCell ref="U27:U28"/>
    <mergeCell ref="V27:V28"/>
    <mergeCell ref="Q27:Q28"/>
    <mergeCell ref="C7:C8"/>
    <mergeCell ref="L16:L17"/>
    <mergeCell ref="C184:D184"/>
    <mergeCell ref="E184:F184"/>
    <mergeCell ref="C185:D185"/>
    <mergeCell ref="E185:F185"/>
    <mergeCell ref="M7:M8"/>
    <mergeCell ref="N7:N8"/>
    <mergeCell ref="C14:L15"/>
    <mergeCell ref="J124:J125"/>
    <mergeCell ref="C16:C17"/>
    <mergeCell ref="D16:D17"/>
    <mergeCell ref="E16:E17"/>
    <mergeCell ref="F16:F17"/>
    <mergeCell ref="H16:H17"/>
    <mergeCell ref="I16:I17"/>
    <mergeCell ref="J16:J17"/>
    <mergeCell ref="K16:K17"/>
    <mergeCell ref="H124:H125"/>
    <mergeCell ref="I124:I125"/>
    <mergeCell ref="G16:G17"/>
    <mergeCell ref="S27:S28"/>
    <mergeCell ref="B57:B72"/>
    <mergeCell ref="B40:B56"/>
    <mergeCell ref="R27:R28"/>
    <mergeCell ref="P27:P28"/>
    <mergeCell ref="C27:C28"/>
    <mergeCell ref="D27:D28"/>
    <mergeCell ref="E27:E28"/>
    <mergeCell ref="F27:F28"/>
    <mergeCell ref="G27:G28"/>
    <mergeCell ref="H27:H28"/>
    <mergeCell ref="I27:I28"/>
    <mergeCell ref="J27:J28"/>
    <mergeCell ref="L27:L28"/>
    <mergeCell ref="N27:N28"/>
    <mergeCell ref="L130:L132"/>
    <mergeCell ref="L133:L135"/>
    <mergeCell ref="K127:K129"/>
    <mergeCell ref="J127:J129"/>
    <mergeCell ref="J130:J132"/>
    <mergeCell ref="K133:K135"/>
    <mergeCell ref="A127:B129"/>
    <mergeCell ref="C5:N6"/>
    <mergeCell ref="D7:D8"/>
    <mergeCell ref="E7:E8"/>
    <mergeCell ref="F7:F8"/>
    <mergeCell ref="G7:G8"/>
    <mergeCell ref="H7:H8"/>
    <mergeCell ref="I7:I8"/>
    <mergeCell ref="J7:J8"/>
    <mergeCell ref="K7:K8"/>
    <mergeCell ref="L7:L8"/>
    <mergeCell ref="L173:L175"/>
    <mergeCell ref="D170:D178"/>
    <mergeCell ref="J170:J172"/>
    <mergeCell ref="K170:K172"/>
    <mergeCell ref="J176:J178"/>
    <mergeCell ref="K176:K178"/>
    <mergeCell ref="L176:L178"/>
    <mergeCell ref="L170:L172"/>
    <mergeCell ref="K166:K168"/>
    <mergeCell ref="L166:L168"/>
    <mergeCell ref="E138:E146"/>
    <mergeCell ref="J144:J146"/>
    <mergeCell ref="K144:K146"/>
    <mergeCell ref="L144:L146"/>
    <mergeCell ref="E149:E157"/>
    <mergeCell ref="E160:E168"/>
    <mergeCell ref="A124:B125"/>
    <mergeCell ref="C124:C125"/>
    <mergeCell ref="C25:T26"/>
    <mergeCell ref="D124:D125"/>
    <mergeCell ref="E124:E125"/>
    <mergeCell ref="F124:F125"/>
    <mergeCell ref="G124:G125"/>
    <mergeCell ref="K124:K125"/>
    <mergeCell ref="L163:L165"/>
    <mergeCell ref="N124:N125"/>
    <mergeCell ref="A144:B146"/>
    <mergeCell ref="A133:B135"/>
    <mergeCell ref="A138:B140"/>
    <mergeCell ref="D138:D146"/>
    <mergeCell ref="J138:J140"/>
    <mergeCell ref="K138:K140"/>
    <mergeCell ref="L138:L140"/>
    <mergeCell ref="L127:L129"/>
    <mergeCell ref="U25:V26"/>
    <mergeCell ref="B30:B36"/>
    <mergeCell ref="M181:P181"/>
    <mergeCell ref="M182:P182"/>
    <mergeCell ref="C138:C146"/>
    <mergeCell ref="T30:T36"/>
    <mergeCell ref="B73:B74"/>
    <mergeCell ref="A173:B175"/>
    <mergeCell ref="A170:B172"/>
    <mergeCell ref="A176:B178"/>
    <mergeCell ref="C170:C178"/>
    <mergeCell ref="A163:B165"/>
    <mergeCell ref="J163:J165"/>
    <mergeCell ref="K163:K165"/>
    <mergeCell ref="A160:B162"/>
    <mergeCell ref="D160:D168"/>
    <mergeCell ref="J160:J162"/>
    <mergeCell ref="K160:K162"/>
    <mergeCell ref="L160:L162"/>
    <mergeCell ref="A166:B168"/>
    <mergeCell ref="J166:J168"/>
    <mergeCell ref="E170:E178"/>
    <mergeCell ref="J173:J175"/>
    <mergeCell ref="K173:K175"/>
    <mergeCell ref="A1:D3"/>
    <mergeCell ref="E1:V3"/>
    <mergeCell ref="B199:F199"/>
    <mergeCell ref="B75:B95"/>
    <mergeCell ref="B96:B104"/>
    <mergeCell ref="B105:B108"/>
    <mergeCell ref="T75:T95"/>
    <mergeCell ref="O124:Q125"/>
    <mergeCell ref="T98:T104"/>
    <mergeCell ref="C160:C168"/>
    <mergeCell ref="A152:B154"/>
    <mergeCell ref="J152:J154"/>
    <mergeCell ref="K152:K154"/>
    <mergeCell ref="L152:L154"/>
    <mergeCell ref="K149:K151"/>
    <mergeCell ref="A155:B157"/>
    <mergeCell ref="J155:J157"/>
    <mergeCell ref="K155:K157"/>
    <mergeCell ref="L155:L157"/>
    <mergeCell ref="C149:C157"/>
    <mergeCell ref="L149:L151"/>
    <mergeCell ref="A149:B151"/>
    <mergeCell ref="D149:D157"/>
    <mergeCell ref="J149:J151"/>
  </mergeCells>
  <phoneticPr fontId="62" type="noConversion"/>
  <pageMargins left="0.70866141732283472" right="0.70866141732283472" top="0.74803149606299213" bottom="0.74803149606299213" header="0.31496062992125984" footer="0.31496062992125984"/>
  <pageSetup scale="10" orientation="landscape" horizontalDpi="4294967293" r:id="rId1"/>
  <headerFooter>
    <oddFooter>&amp;RRT03-F12 Vr.14 (2022-03-18)
Página &amp;P de 3</oddFooter>
  </headerFooter>
  <rowBreaks count="1" manualBreakCount="1">
    <brk id="120" max="2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Z144"/>
  <sheetViews>
    <sheetView showGridLines="0" view="pageBreakPreview" topLeftCell="A130" zoomScale="70" zoomScaleNormal="80" zoomScaleSheetLayoutView="70" workbookViewId="0">
      <selection activeCell="N6" sqref="N6"/>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9.42578125" style="1" customWidth="1"/>
    <col min="13" max="13" width="20.5703125" style="1" customWidth="1"/>
    <col min="14" max="16" width="18.7109375" style="1" customWidth="1"/>
    <col min="17" max="17" width="14.28515625" style="1" customWidth="1"/>
    <col min="18" max="18" width="11.28515625" style="333" hidden="1" customWidth="1"/>
    <col min="19" max="20" width="10.85546875" style="333" hidden="1" customWidth="1"/>
    <col min="21" max="21" width="12.28515625" style="333" hidden="1" customWidth="1"/>
    <col min="22" max="22" width="10.7109375" style="333" hidden="1" customWidth="1"/>
    <col min="23" max="23" width="7.140625" style="333" hidden="1" customWidth="1"/>
    <col min="24" max="24" width="5.85546875" style="333" hidden="1" customWidth="1"/>
    <col min="25" max="25" width="1.85546875" style="333" hidden="1" customWidth="1"/>
    <col min="26" max="16384" width="15.7109375" style="1"/>
  </cols>
  <sheetData>
    <row r="1" spans="1:25" ht="35.1" customHeight="1" thickBot="1" x14ac:dyDescent="0.25">
      <c r="A1" s="1298"/>
      <c r="B1" s="1298"/>
      <c r="C1" s="1298"/>
      <c r="D1" s="1299" t="s">
        <v>0</v>
      </c>
      <c r="E1" s="1300"/>
      <c r="F1" s="1300"/>
      <c r="G1" s="1300"/>
      <c r="H1" s="1300"/>
      <c r="I1" s="1300"/>
      <c r="J1" s="1300"/>
      <c r="K1" s="1300"/>
      <c r="L1" s="1300"/>
      <c r="M1" s="1300"/>
      <c r="N1" s="1300"/>
      <c r="O1" s="1300"/>
      <c r="P1" s="1300"/>
      <c r="Q1" s="1301"/>
    </row>
    <row r="2" spans="1:25" ht="35.1" customHeight="1" thickBot="1" x14ac:dyDescent="0.25">
      <c r="A2" s="1298"/>
      <c r="B2" s="1298"/>
      <c r="C2" s="1298"/>
      <c r="D2" s="1302"/>
      <c r="E2" s="1303"/>
      <c r="F2" s="1303"/>
      <c r="G2" s="1303"/>
      <c r="H2" s="1303"/>
      <c r="I2" s="1303"/>
      <c r="J2" s="1303"/>
      <c r="K2" s="1303"/>
      <c r="L2" s="1303"/>
      <c r="M2" s="1303"/>
      <c r="N2" s="1303"/>
      <c r="O2" s="1303"/>
      <c r="P2" s="1303"/>
      <c r="Q2" s="1304"/>
    </row>
    <row r="3" spans="1:25" ht="35.1" customHeight="1" thickBot="1" x14ac:dyDescent="0.25">
      <c r="A3" s="1298"/>
      <c r="B3" s="1298"/>
      <c r="C3" s="1298"/>
      <c r="D3" s="1305"/>
      <c r="E3" s="1306"/>
      <c r="F3" s="1306"/>
      <c r="G3" s="1306"/>
      <c r="H3" s="1306"/>
      <c r="I3" s="1306"/>
      <c r="J3" s="1306"/>
      <c r="K3" s="1306"/>
      <c r="L3" s="1306"/>
      <c r="M3" s="1306"/>
      <c r="N3" s="1306"/>
      <c r="O3" s="1306"/>
      <c r="P3" s="1306"/>
      <c r="Q3" s="1307"/>
    </row>
    <row r="4" spans="1:25" s="5" customFormat="1" ht="15" customHeight="1" thickBot="1" x14ac:dyDescent="0.25">
      <c r="A4" s="2"/>
      <c r="B4" s="2"/>
      <c r="C4" s="2"/>
      <c r="D4" s="2"/>
      <c r="E4" s="2"/>
      <c r="F4" s="2"/>
      <c r="G4" s="2"/>
      <c r="H4" s="2"/>
      <c r="I4" s="2"/>
      <c r="J4" s="2"/>
      <c r="K4" s="3"/>
      <c r="L4" s="4"/>
      <c r="R4" s="335"/>
      <c r="S4" s="335"/>
      <c r="T4" s="335"/>
      <c r="U4" s="335"/>
      <c r="V4" s="335"/>
      <c r="W4" s="335"/>
      <c r="X4" s="335"/>
      <c r="Y4" s="335"/>
    </row>
    <row r="5" spans="1:25" ht="44.25" customHeight="1" thickBot="1" x14ac:dyDescent="0.25">
      <c r="B5" s="37" t="s">
        <v>3</v>
      </c>
      <c r="C5" s="38" t="s">
        <v>4</v>
      </c>
      <c r="D5" s="38" t="s">
        <v>305</v>
      </c>
      <c r="E5" s="38" t="s">
        <v>306</v>
      </c>
      <c r="F5" s="38" t="s">
        <v>307</v>
      </c>
      <c r="G5" s="39" t="s">
        <v>5</v>
      </c>
      <c r="H5" s="39" t="s">
        <v>6</v>
      </c>
      <c r="I5" s="362" t="s">
        <v>308</v>
      </c>
      <c r="J5" s="1166"/>
    </row>
    <row r="6" spans="1:25" ht="60" customHeight="1" thickBot="1" x14ac:dyDescent="0.25">
      <c r="A6" s="6"/>
      <c r="B6" s="36" t="e">
        <f>VLOOKUP($J$5,'DATOS # '!$C$9:$K$24,2,FALSE)</f>
        <v>#N/A</v>
      </c>
      <c r="C6" s="43" t="e">
        <f>VLOOKUP($J$5,'DATOS # '!$C$9:$K$24,3,FALSE)</f>
        <v>#N/A</v>
      </c>
      <c r="D6" s="36" t="e">
        <f>VLOOKUP($J$5,'DATOS # '!$C$9:$K$24,8,FALSE)</f>
        <v>#N/A</v>
      </c>
      <c r="E6" s="36" t="e">
        <f>VLOOKUP($J$5,'DATOS # '!$C$9:$K$24,6,FALSE)</f>
        <v>#N/A</v>
      </c>
      <c r="F6" s="43" t="e">
        <f>VLOOKUP($J$5,'DATOS # '!$C$9:$K$24,7,FALSE)</f>
        <v>#N/A</v>
      </c>
      <c r="G6" s="36" t="e">
        <f>VLOOKUP($J$5,'DATOS # '!$C$9:$K$24,4,FALSE)</f>
        <v>#N/A</v>
      </c>
      <c r="H6" s="36" t="e">
        <f>VLOOKUP($J$5,'DATOS # '!$C$9:$K$24,5,FALSE)</f>
        <v>#N/A</v>
      </c>
      <c r="I6" s="36" t="e">
        <f>VLOOKUP($J$5,'DATOS # '!$C$9:$K$24,9,FALSE)</f>
        <v>#N/A</v>
      </c>
      <c r="J6" s="1167"/>
    </row>
    <row r="7" spans="1:25" ht="9.9499999999999993" customHeight="1" thickBot="1" x14ac:dyDescent="0.25">
      <c r="B7" s="7"/>
      <c r="C7" s="8"/>
      <c r="D7" s="9"/>
      <c r="E7" s="8"/>
      <c r="F7" s="7"/>
      <c r="G7" s="10"/>
      <c r="H7" s="11"/>
      <c r="I7" s="7"/>
      <c r="J7" s="8"/>
      <c r="K7" s="8"/>
    </row>
    <row r="8" spans="1:25" ht="35.1" customHeight="1" thickBot="1" x14ac:dyDescent="0.25">
      <c r="B8" s="1161" t="s">
        <v>309</v>
      </c>
      <c r="C8" s="1162"/>
      <c r="D8" s="1162"/>
      <c r="E8" s="1163"/>
      <c r="F8" s="61"/>
      <c r="G8" s="1227" t="s">
        <v>310</v>
      </c>
      <c r="H8" s="1228"/>
      <c r="I8" s="1228"/>
      <c r="J8" s="1262"/>
      <c r="K8" s="62"/>
      <c r="L8" s="140"/>
    </row>
    <row r="9" spans="1:25" ht="35.1" customHeight="1" x14ac:dyDescent="0.2">
      <c r="B9" s="1296" t="s">
        <v>16</v>
      </c>
      <c r="C9" s="1297"/>
      <c r="D9" s="104" t="e">
        <f>VLOOKUP($F$8,'DATOS # '!$C$18:$L$24,2,FALSE)</f>
        <v>#N/A</v>
      </c>
      <c r="E9" s="105"/>
      <c r="F9" s="13"/>
      <c r="G9" s="1294" t="s">
        <v>311</v>
      </c>
      <c r="H9" s="1295"/>
      <c r="I9" s="1292" t="e">
        <f>VLOOKUP($K$8,'DATOS # '!$B$29:$S$91,1,FALSE)</f>
        <v>#N/A</v>
      </c>
      <c r="J9" s="1293"/>
      <c r="K9" s="12"/>
      <c r="L9" s="12"/>
    </row>
    <row r="10" spans="1:25" ht="35.1" customHeight="1" x14ac:dyDescent="0.2">
      <c r="B10" s="1164" t="s">
        <v>17</v>
      </c>
      <c r="C10" s="1165"/>
      <c r="D10" s="564" t="e">
        <f>VLOOKUP($F$8,'DATOS # '!$C$18:$L$24,3,FALSE)</f>
        <v>#N/A</v>
      </c>
      <c r="E10" s="106"/>
      <c r="F10" s="13"/>
      <c r="G10" s="1164" t="s">
        <v>16</v>
      </c>
      <c r="H10" s="1165"/>
      <c r="I10" s="1189" t="e">
        <f>VLOOKUP($K$8,'DATOS # '!$B$29:$T$91,4,FALSE)</f>
        <v>#N/A</v>
      </c>
      <c r="J10" s="1190"/>
      <c r="L10" s="12"/>
      <c r="M10" s="14"/>
      <c r="N10" s="14"/>
      <c r="O10" s="14"/>
      <c r="P10" s="14"/>
    </row>
    <row r="11" spans="1:25" ht="35.1" customHeight="1" x14ac:dyDescent="0.2">
      <c r="B11" s="1164" t="s">
        <v>18</v>
      </c>
      <c r="C11" s="1165"/>
      <c r="D11" s="40" t="e">
        <f>VLOOKUP($F$8,'DATOS # '!$C$18:$L$24,4,FALSE)</f>
        <v>#N/A</v>
      </c>
      <c r="E11" s="128"/>
      <c r="F11" s="13"/>
      <c r="G11" s="1319" t="s">
        <v>30</v>
      </c>
      <c r="H11" s="1320"/>
      <c r="I11" s="1189" t="e">
        <f>VLOOKUP($K$8,'DATOS # '!$B$29:$T$91,3,FALSE)</f>
        <v>#N/A</v>
      </c>
      <c r="J11" s="1190"/>
      <c r="K11" s="12"/>
      <c r="L11" s="12"/>
      <c r="P11" s="14"/>
    </row>
    <row r="12" spans="1:25" s="14" customFormat="1" ht="35.1" customHeight="1" x14ac:dyDescent="0.2">
      <c r="B12" s="1191" t="s">
        <v>312</v>
      </c>
      <c r="C12" s="1192"/>
      <c r="D12" s="41" t="e">
        <f>VLOOKUP($F$8,'DATOS # '!$C$18:$L$24,6,FALSE)</f>
        <v>#N/A</v>
      </c>
      <c r="E12" s="106"/>
      <c r="F12" s="15"/>
      <c r="G12" s="1164" t="s">
        <v>308</v>
      </c>
      <c r="H12" s="1165"/>
      <c r="I12" s="1332" t="e">
        <f>VLOOKUP($K$8,'DATOS # '!$B$29:$T$91,7,FALSE)</f>
        <v>#N/A</v>
      </c>
      <c r="J12" s="1333"/>
      <c r="K12" s="8"/>
      <c r="Q12" s="1"/>
      <c r="R12" s="333"/>
      <c r="S12" s="333"/>
      <c r="T12" s="333"/>
      <c r="U12" s="336"/>
      <c r="V12" s="336"/>
      <c r="W12" s="336"/>
      <c r="X12" s="336"/>
      <c r="Y12" s="336"/>
    </row>
    <row r="13" spans="1:25" s="14" customFormat="1" ht="35.1" customHeight="1" x14ac:dyDescent="0.2">
      <c r="B13" s="1164" t="s">
        <v>313</v>
      </c>
      <c r="C13" s="1289"/>
      <c r="D13" s="42" t="e">
        <f>VLOOKUP($F$8,'DATOS # '!$C$18:$L$24,5,FALSE)</f>
        <v>#N/A</v>
      </c>
      <c r="E13" s="106"/>
      <c r="F13" s="15"/>
      <c r="G13" s="1164" t="s">
        <v>8</v>
      </c>
      <c r="H13" s="1165"/>
      <c r="I13" s="1290" t="e">
        <f>VLOOKUP($K$8,'DATOS # '!$B$29:$T$91,8,FALSE)</f>
        <v>#N/A</v>
      </c>
      <c r="J13" s="1291"/>
      <c r="K13" s="8"/>
      <c r="R13" s="336"/>
      <c r="S13" s="336"/>
      <c r="T13" s="336"/>
      <c r="U13" s="336"/>
      <c r="V13" s="336"/>
      <c r="W13" s="336"/>
      <c r="X13" s="336"/>
      <c r="Y13" s="336"/>
    </row>
    <row r="14" spans="1:25" s="14" customFormat="1" ht="35.1" customHeight="1" x14ac:dyDescent="0.2">
      <c r="B14" s="1253" t="s">
        <v>314</v>
      </c>
      <c r="C14" s="1254"/>
      <c r="D14" s="40" t="e">
        <f>VLOOKUP($F$8,'DATOS # '!$C$18:$L$24,7,FALSE)</f>
        <v>#N/A</v>
      </c>
      <c r="E14" s="795"/>
      <c r="F14" s="15"/>
      <c r="G14" s="1164" t="s">
        <v>43</v>
      </c>
      <c r="H14" s="1165"/>
      <c r="I14" s="1189" t="e">
        <f>VLOOKUP($K$8,'DATOS # '!$B$29:$T$91,18,FALSE)</f>
        <v>#N/A</v>
      </c>
      <c r="J14" s="1190"/>
      <c r="K14" s="8"/>
      <c r="L14" s="16"/>
      <c r="R14" s="336"/>
      <c r="S14" s="336"/>
      <c r="T14" s="336"/>
      <c r="U14" s="336"/>
      <c r="V14" s="336"/>
      <c r="W14" s="336"/>
      <c r="X14" s="336"/>
      <c r="Y14" s="336"/>
    </row>
    <row r="15" spans="1:25" s="14" customFormat="1" ht="35.1" customHeight="1" thickBot="1" x14ac:dyDescent="0.25">
      <c r="B15" s="1321" t="s">
        <v>315</v>
      </c>
      <c r="C15" s="1186"/>
      <c r="D15" s="794" t="e">
        <f>VLOOKUP($F$8,'DATOS # '!$C$18:$L$24,8,FALSE)</f>
        <v>#N/A</v>
      </c>
      <c r="E15" s="107"/>
      <c r="F15" s="15"/>
      <c r="G15" s="1324" t="s">
        <v>23</v>
      </c>
      <c r="H15" s="1325"/>
      <c r="I15" s="1326" t="e">
        <f>VLOOKUP($K$8,'DATOS # '!$B$29:$T$91,17,FALSE)</f>
        <v>#N/A</v>
      </c>
      <c r="J15" s="1327"/>
      <c r="K15" s="8"/>
      <c r="R15" s="336"/>
      <c r="S15" s="336"/>
      <c r="T15" s="336"/>
      <c r="U15" s="336"/>
      <c r="V15" s="336"/>
      <c r="W15" s="336"/>
      <c r="X15" s="336"/>
      <c r="Y15" s="336"/>
    </row>
    <row r="16" spans="1:25" s="14" customFormat="1" ht="9.9499999999999993" customHeight="1" thickBot="1" x14ac:dyDescent="0.3">
      <c r="B16" s="17"/>
      <c r="C16" s="17"/>
      <c r="D16" s="17"/>
      <c r="E16" s="17"/>
      <c r="F16" s="17"/>
      <c r="G16" s="18"/>
      <c r="H16" s="18"/>
      <c r="J16" s="17"/>
      <c r="K16" s="8"/>
      <c r="L16" s="8"/>
      <c r="R16" s="336"/>
      <c r="S16" s="336"/>
      <c r="T16" s="336"/>
      <c r="U16" s="336"/>
      <c r="V16" s="336"/>
      <c r="W16" s="336"/>
      <c r="X16" s="336"/>
      <c r="Y16" s="336"/>
    </row>
    <row r="17" spans="1:25" s="14" customFormat="1" ht="35.1" customHeight="1" thickBot="1" x14ac:dyDescent="0.3">
      <c r="B17" s="1227" t="s">
        <v>316</v>
      </c>
      <c r="C17" s="1228"/>
      <c r="D17" s="1162"/>
      <c r="E17" s="1162"/>
      <c r="F17" s="1162"/>
      <c r="G17" s="1162"/>
      <c r="H17" s="1162"/>
      <c r="I17" s="1162"/>
      <c r="J17" s="1163"/>
      <c r="K17" s="8"/>
      <c r="L17" s="8"/>
      <c r="R17" s="336"/>
      <c r="S17" s="336"/>
      <c r="T17" s="336"/>
      <c r="U17" s="336"/>
      <c r="V17" s="336"/>
      <c r="W17" s="336"/>
      <c r="X17" s="336"/>
      <c r="Y17" s="336"/>
    </row>
    <row r="18" spans="1:25" s="14" customFormat="1" ht="35.1" customHeight="1" thickBot="1" x14ac:dyDescent="0.3">
      <c r="B18" s="1185" t="s">
        <v>317</v>
      </c>
      <c r="C18" s="1257"/>
      <c r="D18" s="1281"/>
      <c r="E18" s="102"/>
      <c r="F18" s="1283"/>
      <c r="G18" s="1267" t="s">
        <v>318</v>
      </c>
      <c r="H18" s="1268"/>
      <c r="I18" s="1268"/>
      <c r="J18" s="1269"/>
      <c r="K18" s="8"/>
      <c r="L18" s="8"/>
      <c r="R18" s="336"/>
      <c r="S18" s="336"/>
      <c r="T18" s="336"/>
      <c r="U18" s="336"/>
      <c r="V18" s="336"/>
      <c r="W18" s="336"/>
      <c r="X18" s="336"/>
      <c r="Y18" s="336"/>
    </row>
    <row r="19" spans="1:25" s="14" customFormat="1" ht="35.1" customHeight="1" thickBot="1" x14ac:dyDescent="0.3">
      <c r="B19" s="1258"/>
      <c r="C19" s="1259"/>
      <c r="D19" s="1282"/>
      <c r="E19" s="838"/>
      <c r="F19" s="1284"/>
      <c r="G19" s="1273" t="s">
        <v>319</v>
      </c>
      <c r="H19" s="1263" t="s">
        <v>320</v>
      </c>
      <c r="I19" s="1263" t="s">
        <v>321</v>
      </c>
      <c r="J19" s="1265" t="s">
        <v>322</v>
      </c>
      <c r="K19" s="8"/>
      <c r="L19" s="8"/>
      <c r="R19" s="336"/>
      <c r="S19" s="336"/>
      <c r="T19" s="336"/>
      <c r="U19" s="336"/>
      <c r="V19" s="336"/>
      <c r="W19" s="336"/>
      <c r="X19" s="336"/>
      <c r="Y19" s="336"/>
    </row>
    <row r="20" spans="1:25" s="14" customFormat="1" ht="35.1" customHeight="1" thickBot="1" x14ac:dyDescent="0.3">
      <c r="B20" s="1260"/>
      <c r="C20" s="1261"/>
      <c r="D20" s="1277"/>
      <c r="E20" s="1278"/>
      <c r="F20" s="1278"/>
      <c r="G20" s="1274"/>
      <c r="H20" s="1264"/>
      <c r="I20" s="1264"/>
      <c r="J20" s="1266"/>
      <c r="K20" s="8"/>
      <c r="L20" s="8"/>
      <c r="R20" s="336"/>
      <c r="S20" s="336"/>
      <c r="T20" s="336"/>
      <c r="U20" s="336"/>
      <c r="V20" s="336"/>
      <c r="W20" s="336"/>
      <c r="X20" s="336"/>
      <c r="Y20" s="336"/>
    </row>
    <row r="21" spans="1:25" s="14" customFormat="1" ht="35.1" customHeight="1" thickBot="1" x14ac:dyDescent="0.3">
      <c r="B21" s="1185" t="s">
        <v>323</v>
      </c>
      <c r="C21" s="1257"/>
      <c r="D21" s="1279"/>
      <c r="E21" s="1280"/>
      <c r="F21" s="1280"/>
      <c r="G21" s="840" t="e">
        <f>VLOOKUP($K$21,'DATOS # '!$C$29:$V$95,8,FALSE)</f>
        <v>#N/A</v>
      </c>
      <c r="H21" s="189" t="e">
        <f>VLOOKUP($K$21,'DATOS # '!$C$29:$V$118,12,FALSE)</f>
        <v>#N/A</v>
      </c>
      <c r="I21" s="189" t="e">
        <f>VLOOKUP($K$21,'DATOS # '!$C$29:$V$118,14,FALSE)</f>
        <v>#N/A</v>
      </c>
      <c r="J21" s="228" t="e">
        <f>VLOOKUP($K$21,'DATOS # '!$C$29:$V$97,5,FALSE)</f>
        <v>#N/A</v>
      </c>
      <c r="K21" s="836"/>
      <c r="L21" s="8"/>
      <c r="R21" s="336"/>
      <c r="S21" s="336"/>
      <c r="T21" s="336"/>
      <c r="U21" s="336"/>
      <c r="V21" s="336"/>
      <c r="W21" s="336"/>
      <c r="X21" s="336"/>
      <c r="Y21" s="336"/>
    </row>
    <row r="22" spans="1:25" s="14" customFormat="1" ht="35.1" customHeight="1" thickBot="1" x14ac:dyDescent="0.3">
      <c r="B22" s="1258"/>
      <c r="C22" s="1259"/>
      <c r="D22" s="838"/>
      <c r="E22" s="838"/>
      <c r="F22" s="839"/>
      <c r="G22" s="841" t="e">
        <f>VLOOKUP($K$22,'DATOS # '!$C$29:$V$118,8,FALSE)</f>
        <v>#N/A</v>
      </c>
      <c r="H22" s="640" t="e">
        <f>VLOOKUP($K$22,'DATOS # '!$C$29:$V$118,12,FALSE)</f>
        <v>#N/A</v>
      </c>
      <c r="I22" s="640" t="e">
        <f>VLOOKUP($K$22,'DATOS # '!$C$29:$V$118,14,FALSE)</f>
        <v>#N/A</v>
      </c>
      <c r="J22" s="103" t="e">
        <f>VLOOKUP($K$22,'DATOS # '!$C$29:$V$97,5,FALSE)</f>
        <v>#N/A</v>
      </c>
      <c r="K22" s="836"/>
      <c r="L22" s="8"/>
      <c r="R22" s="336"/>
      <c r="S22" s="336"/>
      <c r="T22" s="336"/>
      <c r="U22" s="336"/>
      <c r="V22" s="336"/>
      <c r="W22" s="336"/>
      <c r="X22" s="336"/>
      <c r="Y22" s="336"/>
    </row>
    <row r="23" spans="1:25" s="14" customFormat="1" ht="35.1" customHeight="1" thickBot="1" x14ac:dyDescent="0.3">
      <c r="A23" s="17"/>
      <c r="B23" s="1260"/>
      <c r="C23" s="1261"/>
      <c r="D23" s="1285"/>
      <c r="E23" s="1286"/>
      <c r="F23" s="1286"/>
      <c r="G23" s="841" t="e">
        <f>VLOOKUP($K$23,'DATOS # '!$C$29:$V$118,8,FALSE)</f>
        <v>#N/A</v>
      </c>
      <c r="H23" s="640" t="e">
        <f>VLOOKUP($K$23,'DATOS # '!$C$29:$V$118,12,FALSE)</f>
        <v>#N/A</v>
      </c>
      <c r="I23" s="640" t="e">
        <f>VLOOKUP($K$23,'DATOS # '!$C$29:$V$118,14,FALSE)</f>
        <v>#N/A</v>
      </c>
      <c r="J23" s="103" t="e">
        <f>VLOOKUP($K$23,'DATOS # '!$C$29:$V$97,5,FALSE)</f>
        <v>#N/A</v>
      </c>
      <c r="K23" s="837"/>
      <c r="L23" s="8"/>
      <c r="R23" s="336"/>
      <c r="S23" s="336"/>
      <c r="T23" s="336"/>
      <c r="U23" s="336"/>
      <c r="V23" s="336"/>
      <c r="W23" s="336"/>
      <c r="X23" s="336"/>
      <c r="Y23" s="336"/>
    </row>
    <row r="24" spans="1:25" s="14" customFormat="1" ht="35.1" customHeight="1" thickBot="1" x14ac:dyDescent="0.3">
      <c r="A24" s="17"/>
      <c r="C24" s="1287" t="s">
        <v>324</v>
      </c>
      <c r="D24" s="1288"/>
      <c r="E24" s="108"/>
      <c r="G24" s="841" t="e">
        <f>VLOOKUP($K$24,'DATOS # '!$C$29:$V$118,8,FALSE)</f>
        <v>#N/A</v>
      </c>
      <c r="H24" s="640" t="e">
        <f>VLOOKUP($K$24,'DATOS # '!$C$29:$V$118,12,FALSE)</f>
        <v>#N/A</v>
      </c>
      <c r="I24" s="640" t="e">
        <f>VLOOKUP($K$24,'DATOS # '!$C$29:$V$118,14,FALSE)</f>
        <v>#N/A</v>
      </c>
      <c r="J24" s="103" t="e">
        <f>VLOOKUP($K$24,'DATOS # '!$C$29:$V$97,5,FALSE)</f>
        <v>#N/A</v>
      </c>
      <c r="K24" s="836"/>
      <c r="L24" s="365"/>
      <c r="R24" s="336"/>
      <c r="S24" s="336"/>
      <c r="T24" s="336"/>
      <c r="U24" s="336"/>
      <c r="V24" s="336"/>
      <c r="W24" s="336"/>
      <c r="X24" s="336"/>
      <c r="Y24" s="336"/>
    </row>
    <row r="25" spans="1:25" s="14" customFormat="1" ht="35.1" customHeight="1" thickBot="1" x14ac:dyDescent="0.3">
      <c r="A25" s="19"/>
      <c r="B25" s="181" t="s">
        <v>325</v>
      </c>
      <c r="C25" s="258" t="s">
        <v>326</v>
      </c>
      <c r="D25" s="259" t="s">
        <v>327</v>
      </c>
      <c r="E25" s="254" t="s">
        <v>31</v>
      </c>
      <c r="G25" s="842" t="e">
        <f>VLOOKUP($K$25,'DATOS # '!$C$29:$V$118,8,FALSE)</f>
        <v>#N/A</v>
      </c>
      <c r="H25" s="641" t="e">
        <f>VLOOKUP($K$25,'DATOS # '!$C$29:$V$118,12,FALSE)</f>
        <v>#N/A</v>
      </c>
      <c r="I25" s="641" t="e">
        <f>VLOOKUP($K$25,'DATOS # '!$C$29:$V$118,14,FALSE)</f>
        <v>#N/A</v>
      </c>
      <c r="J25" s="101" t="e">
        <f>VLOOKUP($K$25,'DATOS # '!$C$29:$V$97,5,FALSE)</f>
        <v>#N/A</v>
      </c>
      <c r="K25" s="836"/>
      <c r="R25" s="336"/>
      <c r="S25" s="336"/>
      <c r="T25" s="336"/>
      <c r="U25" s="336"/>
      <c r="V25" s="336"/>
      <c r="W25" s="336"/>
      <c r="X25" s="336"/>
      <c r="Y25" s="336"/>
    </row>
    <row r="26" spans="1:25" s="14" customFormat="1" ht="35.1" customHeight="1" thickBot="1" x14ac:dyDescent="0.3">
      <c r="A26" s="17"/>
      <c r="B26" s="255" t="e">
        <f>VLOOKUP($E$24,'DATOS # '!$C$29:$T$91,8,FALSE)</f>
        <v>#N/A</v>
      </c>
      <c r="C26" s="256" t="e">
        <f>VLOOKUP($E$24,'DATOS # '!$C$29:$T$91,14,FALSE)</f>
        <v>#N/A</v>
      </c>
      <c r="D26" s="256" t="e">
        <f>VLOOKUP($E$24,'DATOS # '!$C$29:$T$91,16,FALSE)</f>
        <v>#N/A</v>
      </c>
      <c r="E26" s="257" t="e">
        <f>VLOOKUP($E$24,'DATOS # '!$C$29:$T$91,5,FALSE)</f>
        <v>#N/A</v>
      </c>
      <c r="R26" s="336"/>
      <c r="S26" s="336"/>
      <c r="T26" s="336"/>
      <c r="U26" s="336"/>
      <c r="V26" s="336"/>
      <c r="W26" s="336"/>
      <c r="X26" s="336"/>
      <c r="Y26" s="336"/>
    </row>
    <row r="27" spans="1:25" s="14" customFormat="1" ht="36" customHeight="1" thickBot="1" x14ac:dyDescent="0.3">
      <c r="A27" s="17"/>
      <c r="B27" s="1334" t="s">
        <v>328</v>
      </c>
      <c r="C27" s="1335"/>
      <c r="D27" s="1335"/>
      <c r="E27" s="1335"/>
      <c r="F27" s="1335"/>
      <c r="G27" s="1335"/>
      <c r="H27" s="1335"/>
      <c r="I27" s="1335"/>
      <c r="J27" s="1335"/>
      <c r="K27" s="1336"/>
      <c r="R27" s="336"/>
      <c r="S27" s="336"/>
      <c r="T27" s="336"/>
      <c r="U27" s="336"/>
      <c r="V27" s="336"/>
      <c r="W27" s="336"/>
      <c r="X27" s="336"/>
      <c r="Y27" s="336"/>
    </row>
    <row r="28" spans="1:25" ht="49.5" customHeight="1" x14ac:dyDescent="0.25">
      <c r="A28" s="17"/>
      <c r="B28" s="92" t="s">
        <v>16</v>
      </c>
      <c r="C28" s="93" t="e">
        <f>VLOOKUP($K$28,'DATOS # '!$H$189:$U$194,2,FALSE)</f>
        <v>#N/A</v>
      </c>
      <c r="D28" s="94" t="s">
        <v>329</v>
      </c>
      <c r="E28" s="95" t="e">
        <f>VLOOKUP($K$28,'DATOS # '!$H$189:$U$194,3,FALSE)</f>
        <v>#N/A</v>
      </c>
      <c r="F28" s="96" t="s">
        <v>308</v>
      </c>
      <c r="G28" s="1337" t="e">
        <f>VLOOKUP($K$28,'DATOS # '!$H$189:$U$194,5,FALSE)</f>
        <v>#N/A</v>
      </c>
      <c r="H28" s="1338"/>
      <c r="I28" s="94" t="s">
        <v>330</v>
      </c>
      <c r="J28" s="97" t="e">
        <f>VLOOKUP($K$28,'DATOS # '!$H$189:$U$194,4,FALSE)</f>
        <v>#N/A</v>
      </c>
      <c r="K28" s="1275"/>
    </row>
    <row r="29" spans="1:25" ht="35.1" customHeight="1" thickBot="1" x14ac:dyDescent="0.3">
      <c r="A29" s="17"/>
      <c r="B29" s="1255" t="s">
        <v>331</v>
      </c>
      <c r="C29" s="1256"/>
      <c r="D29" s="98" t="s">
        <v>332</v>
      </c>
      <c r="E29" s="99" t="e">
        <f>VLOOKUP($K$28,'DATOS # '!$H$189:$U$194,6,FALSE)</f>
        <v>#N/A</v>
      </c>
      <c r="F29" s="1270" t="s">
        <v>333</v>
      </c>
      <c r="G29" s="1270"/>
      <c r="H29" s="99" t="e">
        <f>VLOOKUP($K$28,'DATOS # '!$H$189:$U$194,7,FALSE)</f>
        <v>#N/A</v>
      </c>
      <c r="I29" s="100" t="s">
        <v>334</v>
      </c>
      <c r="J29" s="101" t="e">
        <f>VLOOKUP($K$28,'DATOS # '!$H$189:$U$194,8,FALSE)</f>
        <v>#N/A</v>
      </c>
      <c r="K29" s="1276"/>
    </row>
    <row r="30" spans="1:25" ht="35.1" customHeight="1" thickBot="1" x14ac:dyDescent="0.3">
      <c r="A30" s="17"/>
      <c r="B30" s="1"/>
      <c r="C30" s="1"/>
      <c r="D30" s="1"/>
      <c r="E30" s="1"/>
      <c r="F30" s="1"/>
      <c r="G30" s="1"/>
      <c r="H30" s="1"/>
      <c r="I30" s="1"/>
      <c r="J30" s="1"/>
      <c r="K30" s="1"/>
    </row>
    <row r="31" spans="1:25" ht="35.1" customHeight="1" thickBot="1" x14ac:dyDescent="0.25">
      <c r="A31" s="20"/>
      <c r="B31" s="1161" t="s">
        <v>335</v>
      </c>
      <c r="C31" s="1162"/>
      <c r="D31" s="1162"/>
      <c r="E31" s="1162"/>
      <c r="F31" s="1162"/>
      <c r="G31" s="1162"/>
      <c r="H31" s="1162"/>
      <c r="I31" s="1163"/>
      <c r="K31" s="1271" t="s">
        <v>336</v>
      </c>
      <c r="L31" s="1272"/>
    </row>
    <row r="32" spans="1:25" ht="38.25" customHeight="1" thickBot="1" x14ac:dyDescent="0.25">
      <c r="B32" s="142" t="s">
        <v>337</v>
      </c>
      <c r="C32" s="777"/>
      <c r="D32" s="161" t="s">
        <v>332</v>
      </c>
      <c r="E32" s="162"/>
      <c r="F32" s="39" t="s">
        <v>333</v>
      </c>
      <c r="G32" s="162"/>
      <c r="H32" s="158" t="s">
        <v>334</v>
      </c>
      <c r="I32" s="163"/>
      <c r="K32" s="21" t="s">
        <v>338</v>
      </c>
      <c r="L32" s="229" t="e">
        <f>VLOOKUP($K$8,'DATOS # '!$B$29:$V$118,19,FALSE)</f>
        <v>#N/A</v>
      </c>
    </row>
    <row r="33" spans="1:15" ht="35.1" customHeight="1" thickBot="1" x14ac:dyDescent="0.25">
      <c r="A33" s="6"/>
      <c r="B33" s="1158" t="s">
        <v>339</v>
      </c>
      <c r="C33" s="1159"/>
      <c r="D33" s="1159"/>
      <c r="E33" s="1159"/>
      <c r="F33" s="1159"/>
      <c r="G33" s="1160"/>
    </row>
    <row r="34" spans="1:15" ht="35.1" customHeight="1" thickBot="1" x14ac:dyDescent="0.3">
      <c r="A34" s="6"/>
      <c r="C34" s="157" t="s">
        <v>340</v>
      </c>
      <c r="D34" s="158" t="s">
        <v>341</v>
      </c>
      <c r="E34" s="159">
        <f>E19</f>
        <v>0</v>
      </c>
      <c r="F34" s="158" t="s">
        <v>342</v>
      </c>
      <c r="G34" s="160">
        <f>E34*1000</f>
        <v>0</v>
      </c>
      <c r="N34"/>
    </row>
    <row r="35" spans="1:15" ht="35.1" customHeight="1" x14ac:dyDescent="0.2">
      <c r="A35" s="6"/>
      <c r="B35" s="237" t="s">
        <v>343</v>
      </c>
      <c r="C35" s="233">
        <v>1</v>
      </c>
      <c r="D35" s="87">
        <v>2</v>
      </c>
      <c r="E35" s="87">
        <v>3</v>
      </c>
      <c r="F35" s="87">
        <v>4</v>
      </c>
      <c r="G35" s="88">
        <v>5</v>
      </c>
    </row>
    <row r="36" spans="1:15" ht="35.1" customHeight="1" x14ac:dyDescent="0.2">
      <c r="A36" s="6"/>
      <c r="B36" s="238" t="s">
        <v>344</v>
      </c>
      <c r="C36" s="764"/>
      <c r="D36" s="765"/>
      <c r="E36" s="765"/>
      <c r="F36" s="765"/>
      <c r="G36" s="766"/>
    </row>
    <row r="37" spans="1:15" ht="35.1" customHeight="1" x14ac:dyDescent="0.2">
      <c r="A37" s="6"/>
      <c r="B37" s="238" t="s">
        <v>345</v>
      </c>
      <c r="C37" s="234">
        <f>$C$36-C36</f>
        <v>0</v>
      </c>
      <c r="D37" s="22">
        <f t="shared" ref="D37:G37" si="0">$C$36-D36</f>
        <v>0</v>
      </c>
      <c r="E37" s="22">
        <f t="shared" si="0"/>
        <v>0</v>
      </c>
      <c r="F37" s="22">
        <f>$C$36-F36</f>
        <v>0</v>
      </c>
      <c r="G37" s="89">
        <f t="shared" si="0"/>
        <v>0</v>
      </c>
    </row>
    <row r="38" spans="1:15" ht="35.1" customHeight="1" thickBot="1" x14ac:dyDescent="0.25">
      <c r="A38" s="6"/>
      <c r="B38" s="239" t="s">
        <v>346</v>
      </c>
      <c r="C38" s="235">
        <f>ABS(C37)</f>
        <v>0</v>
      </c>
      <c r="D38" s="90">
        <f>ABS(D37)</f>
        <v>0</v>
      </c>
      <c r="E38" s="90">
        <f t="shared" ref="E38:G38" si="1">ABS(E37)</f>
        <v>0</v>
      </c>
      <c r="F38" s="90">
        <f t="shared" si="1"/>
        <v>0</v>
      </c>
      <c r="G38" s="91">
        <f t="shared" si="1"/>
        <v>0</v>
      </c>
    </row>
    <row r="39" spans="1:15" ht="35.1" customHeight="1" thickBot="1" x14ac:dyDescent="0.3">
      <c r="A39" s="6"/>
      <c r="B39" s="156" t="s">
        <v>342</v>
      </c>
      <c r="C39" s="236">
        <f>MAX(C38:G38)*1000</f>
        <v>0</v>
      </c>
      <c r="D39" s="23"/>
      <c r="E39" s="23"/>
      <c r="F39" s="23"/>
      <c r="G39" s="23"/>
    </row>
    <row r="40" spans="1:15" ht="9.9499999999999993" customHeight="1" thickBot="1" x14ac:dyDescent="0.25">
      <c r="A40" s="6"/>
    </row>
    <row r="41" spans="1:15" ht="35.1" customHeight="1" thickBot="1" x14ac:dyDescent="0.25">
      <c r="B41" s="1161" t="s">
        <v>347</v>
      </c>
      <c r="C41" s="1162"/>
      <c r="D41" s="1162"/>
      <c r="E41" s="1162"/>
      <c r="F41" s="1162"/>
      <c r="G41" s="1162"/>
      <c r="H41" s="1162"/>
      <c r="I41" s="1162"/>
      <c r="J41" s="1162"/>
      <c r="K41" s="1163"/>
      <c r="M41" s="1196" t="s">
        <v>348</v>
      </c>
      <c r="N41" s="1329"/>
      <c r="O41" s="1197"/>
    </row>
    <row r="42" spans="1:15" ht="35.1" customHeight="1" thickBot="1" x14ac:dyDescent="0.25">
      <c r="B42" s="1193" t="s">
        <v>349</v>
      </c>
      <c r="C42" s="1194"/>
      <c r="D42" s="1194"/>
      <c r="E42" s="1194"/>
      <c r="F42" s="1194"/>
      <c r="G42" s="1194"/>
      <c r="H42" s="1194"/>
      <c r="I42" s="1194"/>
      <c r="J42" s="1195"/>
      <c r="K42" s="123" t="s">
        <v>350</v>
      </c>
      <c r="M42" s="1210"/>
      <c r="N42" s="1211"/>
      <c r="O42" s="1212"/>
    </row>
    <row r="43" spans="1:15" ht="35.1" customHeight="1" thickBot="1" x14ac:dyDescent="0.25">
      <c r="A43" s="170" t="s">
        <v>351</v>
      </c>
      <c r="B43" s="153">
        <v>1</v>
      </c>
      <c r="C43" s="154">
        <v>2</v>
      </c>
      <c r="D43" s="154">
        <v>3</v>
      </c>
      <c r="E43" s="154">
        <v>4</v>
      </c>
      <c r="F43" s="154">
        <v>5</v>
      </c>
      <c r="G43" s="154">
        <v>6</v>
      </c>
      <c r="H43" s="154">
        <v>7</v>
      </c>
      <c r="I43" s="154">
        <v>8</v>
      </c>
      <c r="J43" s="154">
        <v>9</v>
      </c>
      <c r="K43" s="155">
        <v>10</v>
      </c>
      <c r="M43" s="1213"/>
      <c r="N43" s="1214"/>
      <c r="O43" s="1215"/>
    </row>
    <row r="44" spans="1:15" ht="35.1" customHeight="1" x14ac:dyDescent="0.2">
      <c r="A44" s="171">
        <f>D22</f>
        <v>0</v>
      </c>
      <c r="B44" s="148"/>
      <c r="C44" s="149"/>
      <c r="D44" s="149"/>
      <c r="E44" s="149"/>
      <c r="F44" s="149"/>
      <c r="G44" s="149"/>
      <c r="H44" s="149"/>
      <c r="I44" s="149"/>
      <c r="J44" s="149"/>
      <c r="K44" s="767"/>
      <c r="M44" s="1213"/>
      <c r="N44" s="1214"/>
      <c r="O44" s="1215"/>
    </row>
    <row r="45" spans="1:15" ht="35.1" customHeight="1" x14ac:dyDescent="0.2">
      <c r="A45" s="171">
        <f>E22</f>
        <v>0</v>
      </c>
      <c r="B45" s="768"/>
      <c r="C45" s="765"/>
      <c r="D45" s="765"/>
      <c r="E45" s="765"/>
      <c r="F45" s="765"/>
      <c r="G45" s="765"/>
      <c r="H45" s="765"/>
      <c r="I45" s="765"/>
      <c r="J45" s="765"/>
      <c r="K45" s="766"/>
      <c r="M45" s="1213"/>
      <c r="N45" s="1214"/>
      <c r="O45" s="1215"/>
    </row>
    <row r="46" spans="1:15" ht="35.1" customHeight="1" thickBot="1" x14ac:dyDescent="0.25">
      <c r="A46" s="172">
        <f>F22</f>
        <v>0</v>
      </c>
      <c r="B46" s="769"/>
      <c r="C46" s="770"/>
      <c r="D46" s="770"/>
      <c r="E46" s="770"/>
      <c r="F46" s="771"/>
      <c r="G46" s="771"/>
      <c r="H46" s="771"/>
      <c r="I46" s="771"/>
      <c r="J46" s="771"/>
      <c r="K46" s="772"/>
      <c r="M46" s="1213"/>
      <c r="N46" s="1214"/>
      <c r="O46" s="1215"/>
    </row>
    <row r="47" spans="1:15" ht="35.1" customHeight="1" thickBot="1" x14ac:dyDescent="0.25">
      <c r="B47" s="170" t="s">
        <v>351</v>
      </c>
      <c r="C47" s="181" t="s">
        <v>352</v>
      </c>
      <c r="D47" s="109" t="s">
        <v>353</v>
      </c>
      <c r="E47" s="182" t="s">
        <v>354</v>
      </c>
      <c r="F47" s="856" t="s">
        <v>355</v>
      </c>
      <c r="H47" s="1"/>
      <c r="J47" s="1"/>
      <c r="K47" s="24"/>
      <c r="M47" s="1213"/>
      <c r="N47" s="1214"/>
      <c r="O47" s="1215"/>
    </row>
    <row r="48" spans="1:15" ht="35.1" customHeight="1" thickBot="1" x14ac:dyDescent="0.25">
      <c r="B48" s="176">
        <f>A44</f>
        <v>0</v>
      </c>
      <c r="C48" s="178" t="e">
        <f>AVERAGE(B44:K44)</f>
        <v>#DIV/0!</v>
      </c>
      <c r="D48" s="179" t="e">
        <f>_xlfn.STDEV.S(B44:K44)</f>
        <v>#DIV/0!</v>
      </c>
      <c r="E48" s="180" t="e">
        <f>D48*1000</f>
        <v>#DIV/0!</v>
      </c>
      <c r="F48" s="225" t="e">
        <f>MAX(E48:E50)</f>
        <v>#DIV/0!</v>
      </c>
      <c r="H48" s="1"/>
      <c r="I48" s="1"/>
      <c r="J48" s="1"/>
      <c r="K48" s="1"/>
      <c r="M48" s="1213"/>
      <c r="N48" s="1214"/>
      <c r="O48" s="1215"/>
    </row>
    <row r="49" spans="1:15" ht="35.1" customHeight="1" thickBot="1" x14ac:dyDescent="0.25">
      <c r="B49" s="176">
        <f>A45</f>
        <v>0</v>
      </c>
      <c r="C49" s="174" t="e">
        <f t="shared" ref="C49:C50" si="2">AVERAGE(B45:K45)</f>
        <v>#DIV/0!</v>
      </c>
      <c r="D49" s="124" t="e">
        <f t="shared" ref="D49:D50" si="3">_xlfn.STDEV.S(B45:K45)</f>
        <v>#DIV/0!</v>
      </c>
      <c r="E49" s="173" t="e">
        <f>D49*1000</f>
        <v>#DIV/0!</v>
      </c>
      <c r="F49" s="1"/>
      <c r="H49" s="1"/>
      <c r="I49" s="1"/>
      <c r="J49" s="1"/>
      <c r="K49" s="1"/>
      <c r="M49" s="1216"/>
      <c r="N49" s="1217"/>
      <c r="O49" s="1218"/>
    </row>
    <row r="50" spans="1:15" ht="35.1" customHeight="1" thickBot="1" x14ac:dyDescent="0.25">
      <c r="A50" s="6"/>
      <c r="B50" s="177">
        <f>A46</f>
        <v>0</v>
      </c>
      <c r="C50" s="175" t="e">
        <f t="shared" si="2"/>
        <v>#DIV/0!</v>
      </c>
      <c r="D50" s="85" t="e">
        <f t="shared" si="3"/>
        <v>#DIV/0!</v>
      </c>
      <c r="E50" s="86" t="e">
        <f t="shared" ref="E50" si="4">D50*1000</f>
        <v>#DIV/0!</v>
      </c>
      <c r="F50" s="1"/>
      <c r="H50" s="1"/>
      <c r="I50" s="1"/>
      <c r="J50" s="1"/>
      <c r="K50" s="1"/>
    </row>
    <row r="51" spans="1:15" ht="29.25" customHeight="1" thickBot="1" x14ac:dyDescent="0.25">
      <c r="A51" s="6"/>
      <c r="B51" s="1"/>
      <c r="C51" s="1"/>
      <c r="D51" s="1"/>
      <c r="E51" s="1"/>
      <c r="F51" s="1"/>
      <c r="G51" s="1"/>
      <c r="H51" s="1"/>
      <c r="I51" s="1"/>
      <c r="J51" s="1"/>
      <c r="K51" s="1"/>
    </row>
    <row r="52" spans="1:15" ht="35.1" customHeight="1" thickBot="1" x14ac:dyDescent="0.25">
      <c r="A52" s="6"/>
      <c r="B52" s="1161" t="s">
        <v>356</v>
      </c>
      <c r="C52" s="1162"/>
      <c r="D52" s="1162"/>
      <c r="E52" s="1162"/>
      <c r="F52" s="1162"/>
      <c r="G52" s="1162"/>
      <c r="H52" s="1162"/>
      <c r="I52" s="1162"/>
      <c r="J52" s="1162"/>
      <c r="K52" s="1162"/>
      <c r="L52" s="1163"/>
      <c r="N52" s="1208" t="s">
        <v>279</v>
      </c>
      <c r="O52" s="1209"/>
    </row>
    <row r="53" spans="1:15" ht="35.1" customHeight="1" thickBot="1" x14ac:dyDescent="0.25">
      <c r="B53" s="1161" t="s">
        <v>357</v>
      </c>
      <c r="C53" s="1162"/>
      <c r="D53" s="1162"/>
      <c r="E53" s="1163"/>
      <c r="F53" s="1"/>
      <c r="G53" s="1161" t="s">
        <v>358</v>
      </c>
      <c r="H53" s="1162"/>
      <c r="I53" s="1162"/>
      <c r="J53" s="1162"/>
      <c r="K53" s="1162"/>
      <c r="L53" s="1163"/>
    </row>
    <row r="54" spans="1:15" ht="46.5" customHeight="1" thickBot="1" x14ac:dyDescent="0.25">
      <c r="A54" s="6"/>
      <c r="B54" s="164" t="s">
        <v>359</v>
      </c>
      <c r="C54" s="112" t="s">
        <v>360</v>
      </c>
      <c r="D54" s="110" t="s">
        <v>361</v>
      </c>
      <c r="E54" s="111" t="s">
        <v>361</v>
      </c>
      <c r="F54" s="1"/>
      <c r="G54" s="183" t="s">
        <v>360</v>
      </c>
      <c r="H54" s="184" t="s">
        <v>362</v>
      </c>
      <c r="I54" s="184"/>
      <c r="J54" s="184"/>
      <c r="K54" s="273" t="s">
        <v>361</v>
      </c>
      <c r="L54" s="272" t="s">
        <v>361</v>
      </c>
      <c r="N54" s="1196" t="s">
        <v>363</v>
      </c>
      <c r="O54" s="1197"/>
    </row>
    <row r="55" spans="1:15" ht="35.1" customHeight="1" thickBot="1" x14ac:dyDescent="0.25">
      <c r="A55" s="6"/>
      <c r="B55" s="145" t="e">
        <f>H21</f>
        <v>#N/A</v>
      </c>
      <c r="C55" s="148"/>
      <c r="D55" s="146" t="e">
        <f>C55-B55</f>
        <v>#N/A</v>
      </c>
      <c r="E55" s="147" t="e">
        <f>D55*1000</f>
        <v>#N/A</v>
      </c>
      <c r="F55" s="1"/>
      <c r="G55" s="148"/>
      <c r="H55" s="149"/>
      <c r="I55" s="116" t="e">
        <f>AVERAGE(G55:H55)</f>
        <v>#DIV/0!</v>
      </c>
      <c r="J55" s="150" t="e">
        <f>I55*1000</f>
        <v>#DIV/0!</v>
      </c>
      <c r="K55" s="265" t="e">
        <f>I55-B55</f>
        <v>#DIV/0!</v>
      </c>
      <c r="L55" s="268" t="e">
        <f>K55*1000</f>
        <v>#DIV/0!</v>
      </c>
      <c r="N55" s="1219" t="str">
        <f>VLOOKUP($N$52,'DATOS # '!$B$183:$C$186,2,FALSE)</f>
        <v>Elvis Aguirre Romero</v>
      </c>
      <c r="O55" s="1220"/>
    </row>
    <row r="56" spans="1:15" ht="35.1" customHeight="1" x14ac:dyDescent="0.2">
      <c r="A56" s="6"/>
      <c r="B56" s="113" t="e">
        <f>H22</f>
        <v>#N/A</v>
      </c>
      <c r="C56" s="768"/>
      <c r="D56" s="25" t="e">
        <f t="shared" ref="D56:D59" si="5">C56-B56</f>
        <v>#N/A</v>
      </c>
      <c r="E56" s="83" t="e">
        <f t="shared" ref="E56:E59" si="6">D56*1000</f>
        <v>#N/A</v>
      </c>
      <c r="F56" s="1"/>
      <c r="G56" s="768"/>
      <c r="H56" s="765"/>
      <c r="I56" s="141" t="e">
        <f>AVERAGE(G56:H56)</f>
        <v>#DIV/0!</v>
      </c>
      <c r="J56" s="144" t="e">
        <f>I56*1000</f>
        <v>#DIV/0!</v>
      </c>
      <c r="K56" s="266" t="e">
        <f>I56-B56</f>
        <v>#DIV/0!</v>
      </c>
      <c r="L56" s="269" t="e">
        <f t="shared" ref="L56:L59" si="7">K56*1000</f>
        <v>#DIV/0!</v>
      </c>
    </row>
    <row r="57" spans="1:15" ht="35.1" customHeight="1" x14ac:dyDescent="0.2">
      <c r="A57" s="6"/>
      <c r="B57" s="113" t="e">
        <f>H23</f>
        <v>#N/A</v>
      </c>
      <c r="C57" s="768"/>
      <c r="D57" s="25" t="e">
        <f t="shared" si="5"/>
        <v>#N/A</v>
      </c>
      <c r="E57" s="83" t="e">
        <f t="shared" si="6"/>
        <v>#N/A</v>
      </c>
      <c r="F57" s="1"/>
      <c r="G57" s="768"/>
      <c r="H57" s="765"/>
      <c r="I57" s="141" t="e">
        <f>AVERAGE(G57:H57)</f>
        <v>#DIV/0!</v>
      </c>
      <c r="J57" s="144" t="e">
        <f t="shared" ref="J57:J59" si="8">I57*1000</f>
        <v>#DIV/0!</v>
      </c>
      <c r="K57" s="266" t="e">
        <f>I57-B57</f>
        <v>#DIV/0!</v>
      </c>
      <c r="L57" s="270" t="e">
        <f t="shared" si="7"/>
        <v>#DIV/0!</v>
      </c>
    </row>
    <row r="58" spans="1:15" ht="35.1" customHeight="1" x14ac:dyDescent="0.2">
      <c r="A58" s="6"/>
      <c r="B58" s="113" t="e">
        <f>H24</f>
        <v>#N/A</v>
      </c>
      <c r="C58" s="768"/>
      <c r="D58" s="25" t="e">
        <f t="shared" si="5"/>
        <v>#N/A</v>
      </c>
      <c r="E58" s="83" t="e">
        <f t="shared" si="6"/>
        <v>#N/A</v>
      </c>
      <c r="F58" s="1"/>
      <c r="G58" s="768"/>
      <c r="H58" s="765"/>
      <c r="I58" s="141" t="e">
        <f>AVERAGE(G58:H58)</f>
        <v>#DIV/0!</v>
      </c>
      <c r="J58" s="144" t="e">
        <f t="shared" si="8"/>
        <v>#DIV/0!</v>
      </c>
      <c r="K58" s="266" t="e">
        <f>I58-B58</f>
        <v>#DIV/0!</v>
      </c>
      <c r="L58" s="270" t="e">
        <f t="shared" si="7"/>
        <v>#DIV/0!</v>
      </c>
    </row>
    <row r="59" spans="1:15" ht="35.1" customHeight="1" thickBot="1" x14ac:dyDescent="0.25">
      <c r="A59" s="6"/>
      <c r="B59" s="114" t="e">
        <f>H25</f>
        <v>#N/A</v>
      </c>
      <c r="C59" s="773"/>
      <c r="D59" s="82" t="e">
        <f t="shared" si="5"/>
        <v>#N/A</v>
      </c>
      <c r="E59" s="84" t="e">
        <f t="shared" si="6"/>
        <v>#N/A</v>
      </c>
      <c r="F59" s="1"/>
      <c r="G59" s="773"/>
      <c r="H59" s="771"/>
      <c r="I59" s="151" t="e">
        <f t="shared" ref="I59" si="9">AVERAGE(G59:H59)</f>
        <v>#DIV/0!</v>
      </c>
      <c r="J59" s="152" t="e">
        <f t="shared" si="8"/>
        <v>#DIV/0!</v>
      </c>
      <c r="K59" s="267" t="e">
        <f>I59-B59</f>
        <v>#DIV/0!</v>
      </c>
      <c r="L59" s="271" t="e">
        <f t="shared" si="7"/>
        <v>#DIV/0!</v>
      </c>
    </row>
    <row r="60" spans="1:15" ht="9.9499999999999993" customHeight="1" thickBot="1" x14ac:dyDescent="0.25">
      <c r="A60" s="6"/>
      <c r="L60" s="6"/>
    </row>
    <row r="61" spans="1:15" ht="35.1" customHeight="1" thickBot="1" x14ac:dyDescent="0.25">
      <c r="A61" s="26"/>
      <c r="B61" s="1227" t="s">
        <v>364</v>
      </c>
      <c r="C61" s="1228"/>
      <c r="D61" s="1228"/>
      <c r="E61" s="1228"/>
      <c r="F61" s="1228"/>
      <c r="G61" s="1228"/>
      <c r="H61" s="1228"/>
      <c r="I61" s="1262"/>
      <c r="K61" s="1"/>
    </row>
    <row r="62" spans="1:15" ht="35.1" customHeight="1" thickBot="1" x14ac:dyDescent="0.25">
      <c r="A62" s="26"/>
      <c r="B62" s="130" t="s">
        <v>365</v>
      </c>
      <c r="C62" s="777"/>
      <c r="D62" s="45" t="s">
        <v>332</v>
      </c>
      <c r="E62" s="63"/>
      <c r="F62" s="45" t="s">
        <v>333</v>
      </c>
      <c r="G62" s="64"/>
      <c r="H62" s="46" t="s">
        <v>334</v>
      </c>
      <c r="I62" s="65"/>
      <c r="K62" s="1"/>
    </row>
    <row r="63" spans="1:15" ht="35.1" customHeight="1" thickBot="1" x14ac:dyDescent="0.25">
      <c r="A63" s="44"/>
      <c r="B63" s="44"/>
      <c r="C63" s="44"/>
      <c r="D63" s="44"/>
      <c r="E63" s="44"/>
      <c r="F63" s="44"/>
      <c r="G63" s="44"/>
      <c r="H63" s="44"/>
      <c r="I63" s="44"/>
      <c r="J63" s="44"/>
      <c r="K63" s="1"/>
    </row>
    <row r="64" spans="1:15" ht="54" customHeight="1" thickBot="1" x14ac:dyDescent="0.25">
      <c r="A64" s="44"/>
      <c r="B64" s="1184" t="s">
        <v>366</v>
      </c>
      <c r="C64" s="1138"/>
      <c r="D64" s="45" t="s">
        <v>332</v>
      </c>
      <c r="E64" s="48" t="e">
        <f>E32+(VLOOKUP(K28,'DATOS # '!$H$189:$U$194,9,FALSE))*E32+(VLOOKUP(K28,'DATOS # '!$H$189:$U$194,10,FALSE))</f>
        <v>#N/A</v>
      </c>
      <c r="F64" s="45" t="s">
        <v>333</v>
      </c>
      <c r="G64" s="48" t="e">
        <f>G32+(VLOOKUP(K28,'DATOS # '!$H$189:$U$194,11,FALSE))*G32+(VLOOKUP(K28,'DATOS # '!$H$189:$U$194,12,FALSE))</f>
        <v>#N/A</v>
      </c>
      <c r="H64" s="46" t="s">
        <v>334</v>
      </c>
      <c r="I64" s="48" t="e">
        <f>I32+(VLOOKUP(K28,'DATOS # '!$H$189:$U$194,13,FALSE))*I32+(VLOOKUP(K28,'DATOS # '!$H$189:$U$194,14,FALSE))</f>
        <v>#N/A</v>
      </c>
      <c r="K64" s="1"/>
    </row>
    <row r="65" spans="1:14" ht="48.75" customHeight="1" thickBot="1" x14ac:dyDescent="0.25">
      <c r="A65" s="44"/>
      <c r="B65" s="1184" t="s">
        <v>367</v>
      </c>
      <c r="C65" s="1138"/>
      <c r="D65" s="45" t="s">
        <v>332</v>
      </c>
      <c r="E65" s="48" t="e">
        <f>E62+(VLOOKUP(K28,'DATOS # '!$H$189:$U$194,9,FALSE))*E62+(VLOOKUP(K28,'DATOS # '!$H$189:$U$194,10,FALSE))</f>
        <v>#N/A</v>
      </c>
      <c r="F65" s="45" t="s">
        <v>333</v>
      </c>
      <c r="G65" s="131" t="e">
        <f>G62+(VLOOKUP(K28,'DATOS # '!$H$189:$U$194,11,FALSE))*G62+(VLOOKUP(K28,'DATOS # '!$H$189:$U$194,12,FALSE))</f>
        <v>#N/A</v>
      </c>
      <c r="H65" s="46" t="s">
        <v>334</v>
      </c>
      <c r="I65" s="48" t="e">
        <f>I62+(VLOOKUP(K28,'DATOS # '!$H$189:$U$194,13,FALSE))*I62+(VLOOKUP(K28,'DATOS # '!$H$189:$U$194,14,FALSE))</f>
        <v>#N/A</v>
      </c>
      <c r="K65" s="1"/>
    </row>
    <row r="66" spans="1:14" ht="21.75" customHeight="1" thickBot="1" x14ac:dyDescent="0.25">
      <c r="B66" s="1"/>
      <c r="C66" s="1"/>
      <c r="D66" s="1"/>
      <c r="E66" s="1"/>
      <c r="F66" s="1"/>
      <c r="G66" s="1"/>
      <c r="H66" s="1"/>
      <c r="I66" s="1"/>
      <c r="J66" s="1"/>
      <c r="K66" s="1"/>
    </row>
    <row r="67" spans="1:14" ht="35.1" customHeight="1" thickBot="1" x14ac:dyDescent="0.25">
      <c r="A67" s="1161" t="s">
        <v>368</v>
      </c>
      <c r="B67" s="1162"/>
      <c r="C67" s="1162"/>
      <c r="D67" s="1162"/>
      <c r="E67" s="1162"/>
      <c r="F67" s="1162"/>
      <c r="G67" s="1162"/>
      <c r="H67" s="1162"/>
      <c r="I67" s="1162"/>
      <c r="J67" s="1162"/>
      <c r="K67" s="1162"/>
      <c r="L67" s="1163"/>
    </row>
    <row r="68" spans="1:14" ht="9.9499999999999993" customHeight="1" thickBot="1" x14ac:dyDescent="0.25">
      <c r="B68" s="1"/>
      <c r="C68" s="1"/>
      <c r="D68" s="1"/>
      <c r="E68" s="1"/>
      <c r="F68" s="1"/>
      <c r="G68" s="1"/>
      <c r="H68" s="1"/>
      <c r="I68" s="1"/>
      <c r="J68" s="1"/>
      <c r="K68" s="1"/>
    </row>
    <row r="69" spans="1:14" ht="35.1" customHeight="1" thickBot="1" x14ac:dyDescent="0.25">
      <c r="B69" s="1"/>
      <c r="C69" s="1"/>
      <c r="D69" s="1"/>
      <c r="E69" s="1"/>
      <c r="F69" s="1174" t="s">
        <v>369</v>
      </c>
      <c r="G69" s="1175"/>
      <c r="H69" s="1175"/>
      <c r="I69" s="1175"/>
      <c r="J69" s="1176"/>
      <c r="K69" s="1"/>
    </row>
    <row r="70" spans="1:14" ht="35.1" customHeight="1" thickBot="1" x14ac:dyDescent="0.25">
      <c r="B70" s="1"/>
      <c r="C70" s="1"/>
      <c r="D70" s="27"/>
      <c r="E70" s="1"/>
      <c r="F70" s="125" t="e">
        <f>G21</f>
        <v>#N/A</v>
      </c>
      <c r="G70" s="126" t="e">
        <f>G22</f>
        <v>#N/A</v>
      </c>
      <c r="H70" s="126" t="e">
        <f>G23</f>
        <v>#N/A</v>
      </c>
      <c r="I70" s="126" t="e">
        <f>G24</f>
        <v>#N/A</v>
      </c>
      <c r="J70" s="127" t="e">
        <f>G25</f>
        <v>#N/A</v>
      </c>
      <c r="K70" s="1"/>
    </row>
    <row r="71" spans="1:14" ht="9.9499999999999993" customHeight="1" thickBot="1" x14ac:dyDescent="0.25">
      <c r="B71" s="1"/>
      <c r="C71" s="1"/>
      <c r="D71" s="1"/>
      <c r="E71" s="1"/>
      <c r="F71" s="1"/>
      <c r="G71" s="1"/>
      <c r="H71" s="1"/>
      <c r="I71" s="1"/>
      <c r="J71" s="1"/>
      <c r="K71" s="1"/>
    </row>
    <row r="72" spans="1:14" ht="70.5" customHeight="1" thickBot="1" x14ac:dyDescent="0.25">
      <c r="A72" s="1196" t="s">
        <v>370</v>
      </c>
      <c r="B72" s="1329"/>
      <c r="C72" s="1329"/>
      <c r="D72" s="1329"/>
      <c r="E72" s="1197"/>
      <c r="F72" s="1227" t="s">
        <v>594</v>
      </c>
      <c r="G72" s="1228"/>
      <c r="H72" s="1228"/>
      <c r="I72" s="1228"/>
      <c r="J72" s="1228"/>
      <c r="K72" s="370" t="s">
        <v>371</v>
      </c>
      <c r="L72" s="371" t="s">
        <v>372</v>
      </c>
      <c r="M72" s="372" t="s">
        <v>373</v>
      </c>
    </row>
    <row r="73" spans="1:14" ht="35.1" customHeight="1" thickBot="1" x14ac:dyDescent="0.25">
      <c r="A73" s="1153" t="s">
        <v>374</v>
      </c>
      <c r="B73" s="1328"/>
      <c r="C73" s="1133"/>
      <c r="D73" s="1134"/>
      <c r="E73" s="1134"/>
      <c r="F73" s="359" t="e">
        <f>((F70*1000)*$C$39)/(2*$G$34*SQRT(3))</f>
        <v>#N/A</v>
      </c>
      <c r="G73" s="373" t="e">
        <f>((G70*1000)*$C$39)/(2*$G$34*SQRT(3))</f>
        <v>#N/A</v>
      </c>
      <c r="H73" s="373" t="e">
        <f>((H70*1000)*$C$39)/(2*$G$34*SQRT(3))</f>
        <v>#N/A</v>
      </c>
      <c r="I73" s="373" t="e">
        <f>((I70*1000)*$C$39)/(2*$G$34*SQRT(3))</f>
        <v>#N/A</v>
      </c>
      <c r="J73" s="940" t="e">
        <f>((J70*1000)*$C$39)/(2*$G$34*SQRT(3))</f>
        <v>#N/A</v>
      </c>
      <c r="K73" s="943" t="s">
        <v>375</v>
      </c>
      <c r="L73" s="248">
        <v>100</v>
      </c>
      <c r="M73" s="284" t="e">
        <f>IFERROR(J73/$J$85,"--")^2</f>
        <v>#VALUE!</v>
      </c>
      <c r="N73" s="684" t="e">
        <f>IF(J73=MAX($J$73,$J$74,$J$76,$J$77,$J$80,$J$81,$J$82),"",J73)</f>
        <v>#N/A</v>
      </c>
    </row>
    <row r="74" spans="1:14" ht="35.1" customHeight="1" thickBot="1" x14ac:dyDescent="0.25">
      <c r="A74" s="1184" t="s">
        <v>376</v>
      </c>
      <c r="B74" s="1138"/>
      <c r="C74" s="1128"/>
      <c r="D74" s="1129"/>
      <c r="E74" s="1129"/>
      <c r="F74" s="81" t="e">
        <f>$F$48</f>
        <v>#DIV/0!</v>
      </c>
      <c r="G74" s="28" t="e">
        <f>$F$48</f>
        <v>#DIV/0!</v>
      </c>
      <c r="H74" s="28" t="e">
        <f>$F$48</f>
        <v>#DIV/0!</v>
      </c>
      <c r="I74" s="28" t="e">
        <f>$F$48</f>
        <v>#DIV/0!</v>
      </c>
      <c r="J74" s="941" t="e">
        <f>$F$48</f>
        <v>#DIV/0!</v>
      </c>
      <c r="K74" s="944" t="s">
        <v>377</v>
      </c>
      <c r="L74" s="247">
        <f>K43-1</f>
        <v>9</v>
      </c>
      <c r="M74" s="285" t="e">
        <f>IFERROR(J74/$J$85,"--")^2</f>
        <v>#VALUE!</v>
      </c>
      <c r="N74" s="684" t="e">
        <f>IF(J74=MAX($J$73,$J$74,$J$76,$J$77,$J$80,$J$81,$J$82),"",J74)</f>
        <v>#DIV/0!</v>
      </c>
    </row>
    <row r="75" spans="1:14" ht="35.1" customHeight="1" thickBot="1" x14ac:dyDescent="0.25">
      <c r="A75" s="1184" t="s">
        <v>589</v>
      </c>
      <c r="B75" s="1138"/>
      <c r="C75" s="1128"/>
      <c r="D75" s="1129"/>
      <c r="E75" s="1129"/>
      <c r="F75" s="1499">
        <f>(0/SQRT(9))</f>
        <v>0</v>
      </c>
      <c r="G75" s="1500">
        <f>(0/SQRT(9))</f>
        <v>0</v>
      </c>
      <c r="H75" s="1500">
        <f>(0/SQRT(9))</f>
        <v>0</v>
      </c>
      <c r="I75" s="1500">
        <f>(0/SQRT(9))</f>
        <v>0</v>
      </c>
      <c r="J75" s="1501">
        <f>(0.0167)/SQRT(9)</f>
        <v>5.5666666666666668E-3</v>
      </c>
      <c r="K75" s="1502" t="s">
        <v>377</v>
      </c>
      <c r="L75" s="1503">
        <v>6</v>
      </c>
      <c r="M75" s="1504" t="e">
        <f>IFERROR(J75/$J$85,"--")^2</f>
        <v>#VALUE!</v>
      </c>
      <c r="N75" s="684" t="e">
        <f>IF(J75=MAX($J$73,$J$74,$J$76,$J$77,$J$80,$J$81,$J$82),"",J75)</f>
        <v>#N/A</v>
      </c>
    </row>
    <row r="76" spans="1:14" ht="35.1" customHeight="1" thickBot="1" x14ac:dyDescent="0.25">
      <c r="A76" s="1182" t="s">
        <v>378</v>
      </c>
      <c r="B76" s="1183"/>
      <c r="C76" s="1146"/>
      <c r="D76" s="1147"/>
      <c r="E76" s="1147"/>
      <c r="F76" s="81" t="e">
        <f t="shared" ref="F76:J77" si="10">($D$14*1000)/SQRT(12)</f>
        <v>#N/A</v>
      </c>
      <c r="G76" s="28" t="e">
        <f t="shared" si="10"/>
        <v>#N/A</v>
      </c>
      <c r="H76" s="28" t="e">
        <f t="shared" si="10"/>
        <v>#N/A</v>
      </c>
      <c r="I76" s="28" t="e">
        <f t="shared" si="10"/>
        <v>#N/A</v>
      </c>
      <c r="J76" s="941" t="e">
        <f t="shared" si="10"/>
        <v>#N/A</v>
      </c>
      <c r="K76" s="944" t="s">
        <v>375</v>
      </c>
      <c r="L76" s="247">
        <v>100</v>
      </c>
      <c r="M76" s="285" t="e">
        <f>IFERROR(J76/$J$85,"--")^2</f>
        <v>#VALUE!</v>
      </c>
      <c r="N76" s="684" t="e">
        <f>IF(J76=MAX($J$73,$J$74,$J$76,$J$77,$J$80,$J$81,$J$82),"",J76)</f>
        <v>#N/A</v>
      </c>
    </row>
    <row r="77" spans="1:14" ht="35.1" customHeight="1" thickBot="1" x14ac:dyDescent="0.25">
      <c r="A77" s="1139" t="s">
        <v>379</v>
      </c>
      <c r="B77" s="1140"/>
      <c r="C77" s="1141"/>
      <c r="D77" s="1142"/>
      <c r="E77" s="1142"/>
      <c r="F77" s="249" t="e">
        <f>($D$14*1000)/SQRT(12)</f>
        <v>#N/A</v>
      </c>
      <c r="G77" s="250" t="e">
        <f t="shared" si="10"/>
        <v>#N/A</v>
      </c>
      <c r="H77" s="250" t="e">
        <f t="shared" si="10"/>
        <v>#N/A</v>
      </c>
      <c r="I77" s="250" t="e">
        <f t="shared" si="10"/>
        <v>#N/A</v>
      </c>
      <c r="J77" s="942" t="e">
        <f t="shared" si="10"/>
        <v>#N/A</v>
      </c>
      <c r="K77" s="945" t="s">
        <v>375</v>
      </c>
      <c r="L77" s="251">
        <v>100</v>
      </c>
      <c r="M77" s="286" t="e">
        <f>IFERROR(J77/$J$85,"--")^2</f>
        <v>#VALUE!</v>
      </c>
      <c r="N77" s="684" t="e">
        <f>IF(J77=MAX($J$73,$J$74,$J$76,$J$77,$J$80,$J$81,$J$82),"",J77)</f>
        <v>#N/A</v>
      </c>
    </row>
    <row r="78" spans="1:14" ht="34.5" customHeight="1" thickBot="1" x14ac:dyDescent="0.25">
      <c r="B78" s="1"/>
      <c r="C78" s="1143"/>
      <c r="D78" s="1144"/>
      <c r="E78" s="1145"/>
      <c r="F78" s="676" t="e">
        <f>SQRT((F73)^2+(F74)^2+(F76)^2+(F77)^2)</f>
        <v>#N/A</v>
      </c>
      <c r="G78" s="677" t="e">
        <f>SQRT((G73)^2+(G74)^2+(G76)^2+(G77)^2)</f>
        <v>#N/A</v>
      </c>
      <c r="H78" s="677" t="e">
        <f>SQRT((H73)^2+(H74)^2+(H76)^2+(H77)^2)</f>
        <v>#N/A</v>
      </c>
      <c r="I78" s="677" t="e">
        <f>SQRT((I73)^2+(I74)^2+(I76)^2+(I77)^2)</f>
        <v>#N/A</v>
      </c>
      <c r="J78" s="678" t="e">
        <f>SQRT((J73)^2+(J74)^2+(J76)^2+(J77)^2)</f>
        <v>#N/A</v>
      </c>
      <c r="K78" s="679" t="s">
        <v>377</v>
      </c>
      <c r="N78" s="684"/>
    </row>
    <row r="79" spans="1:14" ht="35.1" customHeight="1" thickBot="1" x14ac:dyDescent="0.25">
      <c r="B79" s="1"/>
      <c r="C79" s="1"/>
      <c r="D79" s="1"/>
      <c r="F79" s="1158" t="s">
        <v>380</v>
      </c>
      <c r="G79" s="1159"/>
      <c r="H79" s="1159"/>
      <c r="I79" s="1159"/>
      <c r="J79" s="1160"/>
      <c r="K79" s="1"/>
      <c r="N79" s="684"/>
    </row>
    <row r="80" spans="1:14" ht="35.1" customHeight="1" thickBot="1" x14ac:dyDescent="0.25">
      <c r="A80" s="1184" t="s">
        <v>381</v>
      </c>
      <c r="B80" s="1138"/>
      <c r="C80" s="1224"/>
      <c r="D80" s="1225"/>
      <c r="E80" s="1226"/>
      <c r="F80" s="78" t="e">
        <f>I21/L32</f>
        <v>#N/A</v>
      </c>
      <c r="G80" s="79" t="e">
        <f>I22/L32</f>
        <v>#N/A</v>
      </c>
      <c r="H80" s="79" t="e">
        <f>I23/L32</f>
        <v>#N/A</v>
      </c>
      <c r="I80" s="79" t="e">
        <f>I24/L32</f>
        <v>#N/A</v>
      </c>
      <c r="J80" s="79" t="e">
        <f>I25/L32</f>
        <v>#N/A</v>
      </c>
      <c r="K80" s="189" t="s">
        <v>377</v>
      </c>
      <c r="L80" s="248">
        <v>100</v>
      </c>
      <c r="M80" s="284" t="e">
        <f>IFERROR(J80/$J$85,"--")^2</f>
        <v>#VALUE!</v>
      </c>
      <c r="N80" s="684" t="e">
        <f>IF(J80=MAX($J$73,$J$74,$J$76,$J$77,$J$80,$J$81,$J$82),"",J80)</f>
        <v>#N/A</v>
      </c>
    </row>
    <row r="81" spans="1:17" ht="35.1" customHeight="1" x14ac:dyDescent="0.2">
      <c r="A81" s="1133" t="s">
        <v>382</v>
      </c>
      <c r="B81" s="1179"/>
      <c r="C81" s="1202"/>
      <c r="D81" s="1203"/>
      <c r="E81" s="1204"/>
      <c r="F81" s="80" t="e">
        <f>(3*I21)/(4*SQRT(3))</f>
        <v>#N/A</v>
      </c>
      <c r="G81" s="29" t="e">
        <f>(3*I22)/(4*SQRT(3))</f>
        <v>#N/A</v>
      </c>
      <c r="H81" s="29" t="e">
        <f>(3*I23)/(4*SQRT(3))</f>
        <v>#N/A</v>
      </c>
      <c r="I81" s="29" t="e">
        <f>(3*I24)/(4*SQRT(3))</f>
        <v>#N/A</v>
      </c>
      <c r="J81" s="29" t="e">
        <f>(3*I25)/(4*SQRT(3))</f>
        <v>#N/A</v>
      </c>
      <c r="K81" s="640" t="s">
        <v>375</v>
      </c>
      <c r="L81" s="247">
        <v>100</v>
      </c>
      <c r="M81" s="285" t="e">
        <f>IFERROR(J81/$J$85,"--")^2</f>
        <v>#VALUE!</v>
      </c>
      <c r="N81" s="684" t="e">
        <f>IF(J81=MAX($J$73,$J$74,$J$76,$J$77,$J$80,$J$81,$J$82),"",J81)</f>
        <v>#N/A</v>
      </c>
    </row>
    <row r="82" spans="1:17" ht="35.1" customHeight="1" thickBot="1" x14ac:dyDescent="0.25">
      <c r="A82" s="1148" t="s">
        <v>383</v>
      </c>
      <c r="B82" s="1150"/>
      <c r="C82" s="1205"/>
      <c r="D82" s="1206"/>
      <c r="E82" s="1207"/>
      <c r="F82" s="287" t="e">
        <f>VLOOKUP($K$21,'DATOS # '!$C$29:$V$97,13,FALSE)</f>
        <v>#N/A</v>
      </c>
      <c r="G82" s="288" t="e">
        <f>VLOOKUP($K$22,'DATOS # '!$C$29:$V$97,13,FALSE)</f>
        <v>#N/A</v>
      </c>
      <c r="H82" s="288" t="e">
        <f>VLOOKUP($K$23,'DATOS # '!$C$29:$V$97,13,FALSE)</f>
        <v>#N/A</v>
      </c>
      <c r="I82" s="288" t="e">
        <f>VLOOKUP($K$24,'DATOS # '!$C$29:$V$97,13,FALSE)</f>
        <v>#N/A</v>
      </c>
      <c r="J82" s="288" t="e">
        <f>VLOOKUP($K$25,'DATOS # '!$C$29:$V$97,13,FALSE)</f>
        <v>#N/A</v>
      </c>
      <c r="K82" s="641" t="s">
        <v>375</v>
      </c>
      <c r="L82" s="251">
        <v>100</v>
      </c>
      <c r="M82" s="286" t="e">
        <f>IFERROR(J82/$J$85,"--")^2</f>
        <v>#VALUE!</v>
      </c>
      <c r="N82" s="684" t="e">
        <f>IF(J82=MAX($J$73,$J$74,$J$76,$J$77,$J$80,$J$81,$J$82),"",J82)</f>
        <v>#N/A</v>
      </c>
    </row>
    <row r="83" spans="1:17" ht="35.1" customHeight="1" thickBot="1" x14ac:dyDescent="0.25">
      <c r="C83" s="1221"/>
      <c r="D83" s="1222"/>
      <c r="E83" s="1223"/>
      <c r="F83" s="680" t="e">
        <f>SQRT(F80^2+F81^2+F82^2)</f>
        <v>#N/A</v>
      </c>
      <c r="G83" s="681" t="e">
        <f t="shared" ref="G83:J83" si="11">SQRT(G80^2+G81^2+G82^2)</f>
        <v>#N/A</v>
      </c>
      <c r="H83" s="681" t="e">
        <f t="shared" si="11"/>
        <v>#N/A</v>
      </c>
      <c r="I83" s="681" t="e">
        <f t="shared" si="11"/>
        <v>#N/A</v>
      </c>
      <c r="J83" s="682" t="e">
        <f t="shared" si="11"/>
        <v>#N/A</v>
      </c>
      <c r="K83" s="261" t="s">
        <v>377</v>
      </c>
      <c r="L83" s="47"/>
      <c r="M83" s="683" t="e">
        <f>+SUM(M73:M77,M80:M82)</f>
        <v>#VALUE!</v>
      </c>
    </row>
    <row r="84" spans="1:17" ht="35.1" customHeight="1" thickBot="1" x14ac:dyDescent="0.25">
      <c r="B84" s="1"/>
      <c r="C84" s="1"/>
      <c r="D84" s="1"/>
      <c r="F84" s="1161" t="s">
        <v>384</v>
      </c>
      <c r="G84" s="1162"/>
      <c r="H84" s="1162"/>
      <c r="I84" s="1162"/>
      <c r="J84" s="1163"/>
    </row>
    <row r="85" spans="1:17" ht="37.5" customHeight="1" thickBot="1" x14ac:dyDescent="0.25">
      <c r="A85" s="30"/>
      <c r="B85" s="30"/>
      <c r="C85" s="73"/>
      <c r="D85" s="74"/>
      <c r="E85" s="75"/>
      <c r="F85" s="262" t="e">
        <f>SQRT((F78)^2+(F83)^2)</f>
        <v>#N/A</v>
      </c>
      <c r="G85" s="263" t="e">
        <f>SQRT((G78)^2+(G83)^2)</f>
        <v>#N/A</v>
      </c>
      <c r="H85" s="263" t="e">
        <f>SQRT((H78)^2+(H83)^2)</f>
        <v>#N/A</v>
      </c>
      <c r="I85" s="263" t="e">
        <f>SQRT((I78)^2+(I83)^2)</f>
        <v>#N/A</v>
      </c>
      <c r="J85" s="264" t="e">
        <f>SQRT((J78)^2+(J83)^2)</f>
        <v>#N/A</v>
      </c>
      <c r="K85" s="1"/>
    </row>
    <row r="86" spans="1:17" ht="50.1" customHeight="1" thickBot="1" x14ac:dyDescent="0.25">
      <c r="B86" s="1"/>
      <c r="C86" s="1"/>
      <c r="D86" s="1"/>
      <c r="E86" s="1"/>
      <c r="F86" s="1174" t="s">
        <v>385</v>
      </c>
      <c r="G86" s="1175"/>
      <c r="H86" s="1175"/>
      <c r="I86" s="1175"/>
      <c r="J86" s="1176"/>
    </row>
    <row r="87" spans="1:17" ht="50.1" customHeight="1" thickBot="1" x14ac:dyDescent="0.25">
      <c r="B87" s="1"/>
      <c r="C87" s="20"/>
      <c r="D87" s="20"/>
      <c r="F87" s="1193" t="s">
        <v>595</v>
      </c>
      <c r="G87" s="1194"/>
      <c r="H87" s="1194"/>
      <c r="I87" s="1194"/>
      <c r="J87" s="1229"/>
      <c r="K87" s="1185" t="s">
        <v>319</v>
      </c>
      <c r="L87" s="1187" t="s">
        <v>386</v>
      </c>
      <c r="M87" s="1187" t="s">
        <v>387</v>
      </c>
      <c r="N87" s="1187" t="s">
        <v>388</v>
      </c>
      <c r="O87" s="1187" t="s">
        <v>389</v>
      </c>
      <c r="P87" s="1330" t="s">
        <v>390</v>
      </c>
      <c r="Q87" s="368">
        <f>' CMC #'!C21/' CMC #'!B21</f>
        <v>5.0000000000000004E-6</v>
      </c>
    </row>
    <row r="88" spans="1:17" ht="35.1" customHeight="1" thickBot="1" x14ac:dyDescent="0.25">
      <c r="A88" s="1133" t="s">
        <v>391</v>
      </c>
      <c r="B88" s="1134"/>
      <c r="C88" s="1179"/>
      <c r="D88" s="1198"/>
      <c r="E88" s="1199"/>
      <c r="F88" s="67">
        <v>100</v>
      </c>
      <c r="G88" s="95">
        <v>100</v>
      </c>
      <c r="H88" s="95">
        <v>100</v>
      </c>
      <c r="I88" s="95">
        <v>100</v>
      </c>
      <c r="J88" s="68">
        <v>100</v>
      </c>
      <c r="K88" s="1186"/>
      <c r="L88" s="1188"/>
      <c r="M88" s="1188"/>
      <c r="N88" s="1188"/>
      <c r="O88" s="1188"/>
      <c r="P88" s="1331"/>
      <c r="Q88" s="936" t="s">
        <v>392</v>
      </c>
    </row>
    <row r="89" spans="1:17" ht="35.1" customHeight="1" x14ac:dyDescent="0.2">
      <c r="A89" s="1128" t="s">
        <v>393</v>
      </c>
      <c r="B89" s="1129"/>
      <c r="C89" s="1130"/>
      <c r="D89" s="1200"/>
      <c r="E89" s="1201"/>
      <c r="F89" s="69">
        <f>$K$43-1</f>
        <v>9</v>
      </c>
      <c r="G89" s="929">
        <f t="shared" ref="G89:J89" si="12">$K$43-1</f>
        <v>9</v>
      </c>
      <c r="H89" s="929">
        <f t="shared" si="12"/>
        <v>9</v>
      </c>
      <c r="I89" s="929">
        <f t="shared" si="12"/>
        <v>9</v>
      </c>
      <c r="J89" s="930">
        <f t="shared" si="12"/>
        <v>9</v>
      </c>
      <c r="K89" s="931" t="e">
        <f>G21</f>
        <v>#N/A</v>
      </c>
      <c r="L89" s="289" t="e">
        <f>L55</f>
        <v>#DIV/0!</v>
      </c>
      <c r="M89" s="290" t="e">
        <f>K55</f>
        <v>#DIV/0!</v>
      </c>
      <c r="N89" s="291" t="e">
        <f>F85*N97</f>
        <v>#N/A</v>
      </c>
      <c r="O89" s="861" t="e">
        <f>N89/1000</f>
        <v>#N/A</v>
      </c>
      <c r="P89" s="244" t="e">
        <f>N89/(B55*1000)</f>
        <v>#N/A</v>
      </c>
      <c r="Q89" s="483">
        <f>' CMC #'!$C$21</f>
        <v>4.1000000000000002E-2</v>
      </c>
    </row>
    <row r="90" spans="1:17" ht="35.1" customHeight="1" x14ac:dyDescent="0.2">
      <c r="A90" s="1128" t="s">
        <v>590</v>
      </c>
      <c r="B90" s="1129"/>
      <c r="C90" s="1130"/>
      <c r="D90" s="1131"/>
      <c r="E90" s="1132"/>
      <c r="F90" s="69">
        <f>$L$75</f>
        <v>6</v>
      </c>
      <c r="G90" s="929">
        <f t="shared" ref="G90:J90" si="13">$L$75</f>
        <v>6</v>
      </c>
      <c r="H90" s="929">
        <f t="shared" si="13"/>
        <v>6</v>
      </c>
      <c r="I90" s="929">
        <f t="shared" si="13"/>
        <v>6</v>
      </c>
      <c r="J90" s="930">
        <f t="shared" si="13"/>
        <v>6</v>
      </c>
      <c r="K90" s="932" t="e">
        <f>G22</f>
        <v>#N/A</v>
      </c>
      <c r="L90" s="22" t="e">
        <f>L56</f>
        <v>#DIV/0!</v>
      </c>
      <c r="M90" s="292" t="e">
        <f>K56</f>
        <v>#DIV/0!</v>
      </c>
      <c r="N90" s="293" t="e">
        <f>G85*N97</f>
        <v>#N/A</v>
      </c>
      <c r="O90" s="862" t="e">
        <f>N90/1000</f>
        <v>#N/A</v>
      </c>
      <c r="P90" s="361" t="e">
        <f>N90/(B56*1000)</f>
        <v>#N/A</v>
      </c>
      <c r="Q90" s="484">
        <f>' CMC #'!$C$21</f>
        <v>4.1000000000000002E-2</v>
      </c>
    </row>
    <row r="91" spans="1:17" ht="50.1" customHeight="1" thickBot="1" x14ac:dyDescent="0.25">
      <c r="A91" s="1148" t="s">
        <v>394</v>
      </c>
      <c r="B91" s="1149"/>
      <c r="C91" s="1150"/>
      <c r="D91" s="1156"/>
      <c r="E91" s="1157"/>
      <c r="F91" s="690">
        <v>100</v>
      </c>
      <c r="G91" s="260">
        <v>100</v>
      </c>
      <c r="H91" s="260">
        <v>100</v>
      </c>
      <c r="I91" s="260">
        <v>100</v>
      </c>
      <c r="J91" s="691">
        <v>100</v>
      </c>
      <c r="K91" s="932" t="e">
        <f>G23</f>
        <v>#N/A</v>
      </c>
      <c r="L91" s="22" t="e">
        <f>L57</f>
        <v>#DIV/0!</v>
      </c>
      <c r="M91" s="292" t="e">
        <f>K57</f>
        <v>#DIV/0!</v>
      </c>
      <c r="N91" s="293" t="e">
        <f>H85*N97</f>
        <v>#N/A</v>
      </c>
      <c r="O91" s="862" t="e">
        <f>N91/1000</f>
        <v>#N/A</v>
      </c>
      <c r="P91" s="361" t="e">
        <f>N91/(B57*1000)</f>
        <v>#N/A</v>
      </c>
      <c r="Q91" s="484">
        <f>' CMC #'!$C$21</f>
        <v>4.1000000000000002E-2</v>
      </c>
    </row>
    <row r="92" spans="1:17" ht="35.1" customHeight="1" thickBot="1" x14ac:dyDescent="0.25">
      <c r="B92" s="1153"/>
      <c r="C92" s="1154"/>
      <c r="D92" s="1154"/>
      <c r="E92" s="1154"/>
      <c r="F92" s="937" t="e">
        <f>F78^4/(F73^4/$L$73+(F74^4/($L$74))+(F75^4/$L$75)+(F76^4/$L$76)+(F77^4/$L$77))</f>
        <v>#N/A</v>
      </c>
      <c r="G92" s="938" t="e">
        <f>G78^4/(G73^4/$L$73+(G74^4/($L$74))+(G75^4/$L$75)+(G76^4/$L$76)+(G77^4/$L$77))</f>
        <v>#N/A</v>
      </c>
      <c r="H92" s="938" t="e">
        <f>H78^4/(H73^4/$L$73+(H74^4/($L$74))+(H75^4/$L$75)+(H76^4/$L$76)+(H77^4/$L$77))</f>
        <v>#N/A</v>
      </c>
      <c r="I92" s="938" t="e">
        <f>I78^4/(I73^4/$L$73+(I74^4/($L$74))+(I75^4/$L$75)+(I76^4/$L$76)+(I77^4/$L$77))</f>
        <v>#N/A</v>
      </c>
      <c r="J92" s="939" t="e">
        <f>J78^4/(J73^4/$L$73+(J74^4/($L$74))+(J75^4/$L$75)+(J76^4/$L$76)+(J77^4/$L$77))</f>
        <v>#N/A</v>
      </c>
      <c r="K92" s="932" t="e">
        <f>G24</f>
        <v>#N/A</v>
      </c>
      <c r="L92" s="22" t="e">
        <f>L58</f>
        <v>#DIV/0!</v>
      </c>
      <c r="M92" s="294" t="e">
        <f>K58</f>
        <v>#DIV/0!</v>
      </c>
      <c r="N92" s="293" t="e">
        <f>I85*N97</f>
        <v>#N/A</v>
      </c>
      <c r="O92" s="862" t="e">
        <f>N92/1000</f>
        <v>#N/A</v>
      </c>
      <c r="P92" s="361" t="e">
        <f>N92/(B58*1000)</f>
        <v>#N/A</v>
      </c>
      <c r="Q92" s="484">
        <f>' CMC #'!$C$21</f>
        <v>4.1000000000000002E-2</v>
      </c>
    </row>
    <row r="93" spans="1:17" ht="35.1" customHeight="1" thickBot="1" x14ac:dyDescent="0.25">
      <c r="B93" s="1135"/>
      <c r="C93" s="1136"/>
      <c r="D93" s="1136"/>
      <c r="E93" s="1155"/>
      <c r="F93" s="1125" t="s">
        <v>395</v>
      </c>
      <c r="G93" s="1126"/>
      <c r="H93" s="1126"/>
      <c r="I93" s="1126"/>
      <c r="J93" s="1127"/>
      <c r="K93" s="689" t="e">
        <f>G25</f>
        <v>#N/A</v>
      </c>
      <c r="L93" s="90" t="e">
        <f>L59</f>
        <v>#DIV/0!</v>
      </c>
      <c r="M93" s="295" t="e">
        <f>K59</f>
        <v>#DIV/0!</v>
      </c>
      <c r="N93" s="296" t="e">
        <f>J85*N97</f>
        <v>#N/A</v>
      </c>
      <c r="O93" s="486" t="e">
        <f>N93/1000</f>
        <v>#N/A</v>
      </c>
      <c r="P93" s="243" t="e">
        <f>N93/(B59*1000)</f>
        <v>#N/A</v>
      </c>
      <c r="Q93" s="485">
        <f>' CMC #'!$C$21</f>
        <v>4.1000000000000002E-2</v>
      </c>
    </row>
    <row r="94" spans="1:17" ht="35.1" customHeight="1" thickBot="1" x14ac:dyDescent="0.25">
      <c r="A94" s="1133" t="s">
        <v>396</v>
      </c>
      <c r="B94" s="1134"/>
      <c r="C94" s="1179"/>
      <c r="D94" s="1180"/>
      <c r="E94" s="1181"/>
      <c r="F94" s="67">
        <v>100</v>
      </c>
      <c r="G94" s="95">
        <v>100</v>
      </c>
      <c r="H94" s="95">
        <v>100</v>
      </c>
      <c r="I94" s="95">
        <v>100</v>
      </c>
      <c r="J94" s="68">
        <v>100</v>
      </c>
    </row>
    <row r="95" spans="1:17" ht="35.1" customHeight="1" thickBot="1" x14ac:dyDescent="0.25">
      <c r="A95" s="1128" t="s">
        <v>397</v>
      </c>
      <c r="B95" s="1129"/>
      <c r="C95" s="1130"/>
      <c r="D95" s="1146"/>
      <c r="E95" s="1151"/>
      <c r="F95" s="69">
        <v>100</v>
      </c>
      <c r="G95" s="31">
        <v>100</v>
      </c>
      <c r="H95" s="31">
        <v>100</v>
      </c>
      <c r="I95" s="31">
        <v>100</v>
      </c>
      <c r="J95" s="70">
        <v>100</v>
      </c>
      <c r="P95" s="693">
        <v>0.3</v>
      </c>
      <c r="Q95" s="694">
        <v>1.65</v>
      </c>
    </row>
    <row r="96" spans="1:17" ht="35.25" customHeight="1" thickBot="1" x14ac:dyDescent="0.25">
      <c r="A96" s="1148" t="s">
        <v>398</v>
      </c>
      <c r="B96" s="1149"/>
      <c r="C96" s="1150"/>
      <c r="D96" s="1141"/>
      <c r="E96" s="1152"/>
      <c r="F96" s="690">
        <v>100</v>
      </c>
      <c r="G96" s="260">
        <v>100</v>
      </c>
      <c r="H96" s="260">
        <v>100</v>
      </c>
      <c r="I96" s="260">
        <v>100</v>
      </c>
      <c r="J96" s="691">
        <v>100</v>
      </c>
      <c r="L96" s="1240" t="s">
        <v>399</v>
      </c>
      <c r="M96" s="1241"/>
      <c r="N96" s="1241"/>
      <c r="O96" s="1241"/>
      <c r="P96" s="1242"/>
      <c r="Q96" s="695" t="s">
        <v>11</v>
      </c>
    </row>
    <row r="97" spans="1:17" ht="54.95" customHeight="1" thickBot="1" x14ac:dyDescent="0.25">
      <c r="A97" s="935"/>
      <c r="B97" s="1135"/>
      <c r="C97" s="1136"/>
      <c r="D97" s="1137"/>
      <c r="E97" s="1138"/>
      <c r="F97" s="686" t="e">
        <f>F83^4/((F80^4/$L$80)+(F81^4/$L$81)+(F82^4/$L$82))</f>
        <v>#N/A</v>
      </c>
      <c r="G97" s="360" t="e">
        <f>G83^4/((G80^4/$L$80)+(G81^4/$L$81)+(G82^4/$L$82))</f>
        <v>#N/A</v>
      </c>
      <c r="H97" s="360" t="e">
        <f>H83^4/((H80^4/$L$80)+(H81^4/$L$81)+(H82^4/$L$82))</f>
        <v>#N/A</v>
      </c>
      <c r="I97" s="360" t="e">
        <f>I83^4/((I80^4/$L$80)+(I81^4/$L$81)+(I82^4/$L$82))</f>
        <v>#N/A</v>
      </c>
      <c r="J97" s="687" t="e">
        <f>J83^4/((J80^4/$L$80)+(J81^4/$L$81)+(J82^4/$L$82))</f>
        <v>#N/A</v>
      </c>
      <c r="L97" s="169" t="s">
        <v>401</v>
      </c>
      <c r="M97" s="692" t="str">
        <f>IFERROR(SQRT(SUMSQ(N73,N74,N76,N77,N80,N81,N82))/MAX(J73,J74,J76,J77,J80,J81,J82),"--")</f>
        <v>--</v>
      </c>
      <c r="N97" s="169" t="str">
        <f>IF((M97)&lt;=(P95),"1,65","2,0")</f>
        <v>2,0</v>
      </c>
      <c r="O97" s="165" t="s">
        <v>402</v>
      </c>
      <c r="P97" s="166" t="s">
        <v>403</v>
      </c>
      <c r="Q97" s="334">
        <v>1.65</v>
      </c>
    </row>
    <row r="98" spans="1:17" ht="50.1" customHeight="1" thickBot="1" x14ac:dyDescent="0.25">
      <c r="B98" s="1"/>
      <c r="F98" s="1177" t="s">
        <v>400</v>
      </c>
      <c r="G98" s="1178"/>
      <c r="H98" s="1178"/>
      <c r="I98" s="1178"/>
      <c r="J98" s="1178"/>
      <c r="K98" s="934" t="s">
        <v>404</v>
      </c>
      <c r="O98" s="167" t="s">
        <v>402</v>
      </c>
      <c r="P98" s="168" t="s">
        <v>405</v>
      </c>
      <c r="Q98" s="696">
        <v>2</v>
      </c>
    </row>
    <row r="99" spans="1:17" ht="50.1" customHeight="1" thickBot="1" x14ac:dyDescent="0.25">
      <c r="B99" s="30"/>
      <c r="C99" s="1221"/>
      <c r="D99" s="1222"/>
      <c r="E99" s="1222"/>
      <c r="F99" s="824" t="e">
        <f>F85^4/((F78^4/F92)+(F83^4/F97))</f>
        <v>#N/A</v>
      </c>
      <c r="G99" s="231" t="e">
        <f>G85^4/((G78^4/G92)+(G83^4/G97))</f>
        <v>#N/A</v>
      </c>
      <c r="H99" s="231" t="e">
        <f>H85^4/((H78^4/H92)+(H83^4/H97))</f>
        <v>#N/A</v>
      </c>
      <c r="I99" s="231" t="e">
        <f>I85^4/((I78^4/I92)+(I83^4/I97))</f>
        <v>#N/A</v>
      </c>
      <c r="J99" s="232" t="e">
        <f>J85^4/((J78^4/J92)+(J83^4/J97))</f>
        <v>#N/A</v>
      </c>
      <c r="K99" s="933" t="e">
        <f>MAX(F99:J99)</f>
        <v>#N/A</v>
      </c>
    </row>
    <row r="100" spans="1:17" ht="35.1" customHeight="1" thickBot="1" x14ac:dyDescent="0.25">
      <c r="B100" s="1"/>
      <c r="C100" s="1"/>
      <c r="D100" s="1"/>
      <c r="E100" s="1"/>
      <c r="F100" s="1237" t="s">
        <v>406</v>
      </c>
      <c r="G100" s="1238"/>
      <c r="H100" s="1238"/>
      <c r="I100" s="1238"/>
      <c r="J100" s="1239"/>
      <c r="K100" s="1"/>
    </row>
    <row r="101" spans="1:17" ht="35.1" customHeight="1" thickBot="1" x14ac:dyDescent="0.25">
      <c r="B101" s="76"/>
      <c r="C101" s="115"/>
      <c r="D101" s="77"/>
      <c r="E101" s="642"/>
      <c r="F101" s="686" t="e">
        <f>_xlfn.T.INV.2T(0.05,F99)</f>
        <v>#N/A</v>
      </c>
      <c r="G101" s="360" t="e">
        <f>_xlfn.T.INV.2T(0.05,G99)</f>
        <v>#N/A</v>
      </c>
      <c r="H101" s="360" t="e">
        <f>_xlfn.T.INV.2T(0.05,H99)</f>
        <v>#N/A</v>
      </c>
      <c r="I101" s="360" t="e">
        <f>_xlfn.T.INV.2T(0.05,I99)</f>
        <v>#N/A</v>
      </c>
      <c r="J101" s="687" t="e">
        <f>_xlfn.T.INV.2T(0.05,J99)</f>
        <v>#N/A</v>
      </c>
    </row>
    <row r="102" spans="1:17" ht="9.9499999999999993" customHeight="1" thickBot="1" x14ac:dyDescent="0.25">
      <c r="K102" s="1"/>
    </row>
    <row r="103" spans="1:17" ht="35.1" customHeight="1" thickBot="1" x14ac:dyDescent="0.25">
      <c r="F103" s="1174" t="s">
        <v>407</v>
      </c>
      <c r="G103" s="1175"/>
      <c r="H103" s="1175"/>
      <c r="I103" s="1175"/>
      <c r="J103" s="1176"/>
    </row>
    <row r="104" spans="1:17" ht="44.25" customHeight="1" thickBot="1" x14ac:dyDescent="0.25">
      <c r="B104" s="1"/>
      <c r="C104" s="1"/>
      <c r="D104" s="1"/>
      <c r="E104" s="1"/>
      <c r="F104" s="685" t="e">
        <f>(1-_xlfn.T.DIST.2T(F101,F99))</f>
        <v>#N/A</v>
      </c>
      <c r="G104" s="685" t="e">
        <f>(1-_xlfn.T.DIST.2T(G101,G99))</f>
        <v>#N/A</v>
      </c>
      <c r="H104" s="685" t="e">
        <f>(1-_xlfn.T.DIST.2T(H101,H99))</f>
        <v>#N/A</v>
      </c>
      <c r="I104" s="685" t="e">
        <f>(1-_xlfn.T.DIST.2T(I101,I99))</f>
        <v>#N/A</v>
      </c>
      <c r="J104" s="688" t="e">
        <f>(1-_xlfn.T.DIST.2T(J101,J99))</f>
        <v>#N/A</v>
      </c>
      <c r="K104" s="1"/>
    </row>
    <row r="105" spans="1:17" ht="35.1" customHeight="1" thickBot="1" x14ac:dyDescent="0.25"/>
    <row r="106" spans="1:17" ht="35.1" customHeight="1" thickBot="1" x14ac:dyDescent="0.25">
      <c r="B106" s="1174" t="s">
        <v>408</v>
      </c>
      <c r="C106" s="1322"/>
      <c r="D106" s="1322"/>
      <c r="E106" s="1322"/>
      <c r="F106" s="1322"/>
      <c r="G106" s="1322"/>
      <c r="H106" s="1322"/>
      <c r="I106" s="1322"/>
      <c r="J106" s="1322"/>
      <c r="K106" s="1322"/>
      <c r="L106" s="1322"/>
      <c r="M106" s="1322"/>
      <c r="N106" s="1322"/>
      <c r="O106" s="1322"/>
      <c r="P106" s="1323"/>
    </row>
    <row r="107" spans="1:17" ht="33" customHeight="1" x14ac:dyDescent="0.2">
      <c r="B107" s="1251" t="s">
        <v>409</v>
      </c>
      <c r="C107" s="1317" t="s">
        <v>410</v>
      </c>
      <c r="D107" s="1317" t="s">
        <v>411</v>
      </c>
      <c r="E107" s="297" t="s">
        <v>412</v>
      </c>
      <c r="F107" s="1317" t="s">
        <v>413</v>
      </c>
      <c r="G107" s="297" t="s">
        <v>414</v>
      </c>
      <c r="H107" s="1317" t="s">
        <v>415</v>
      </c>
      <c r="I107" s="1317" t="s">
        <v>416</v>
      </c>
      <c r="J107" s="1246" t="s">
        <v>417</v>
      </c>
      <c r="K107" s="298" t="s">
        <v>418</v>
      </c>
      <c r="L107" s="1310" t="s">
        <v>419</v>
      </c>
      <c r="M107" s="1312" t="s">
        <v>420</v>
      </c>
    </row>
    <row r="108" spans="1:17" ht="35.1" customHeight="1" thickBot="1" x14ac:dyDescent="0.25">
      <c r="B108" s="1252"/>
      <c r="C108" s="1318"/>
      <c r="D108" s="1318"/>
      <c r="E108" s="299"/>
      <c r="F108" s="1318"/>
      <c r="G108" s="300"/>
      <c r="H108" s="1318"/>
      <c r="I108" s="1318"/>
      <c r="J108" s="1247"/>
      <c r="K108" s="301"/>
      <c r="L108" s="1311"/>
      <c r="M108" s="1313"/>
    </row>
    <row r="109" spans="1:17" ht="35.1" customHeight="1" x14ac:dyDescent="0.2">
      <c r="B109" s="67" t="e">
        <f>J55</f>
        <v>#DIV/0!</v>
      </c>
      <c r="C109" s="189" t="e">
        <f>L89</f>
        <v>#DIV/0!</v>
      </c>
      <c r="D109" s="314" t="e">
        <f>F85</f>
        <v>#N/A</v>
      </c>
      <c r="E109" s="245" t="e">
        <f>1/D109^2</f>
        <v>#N/A</v>
      </c>
      <c r="F109" s="315" t="e">
        <f>E109*B109*C109</f>
        <v>#N/A</v>
      </c>
      <c r="G109" s="316" t="e">
        <f>E109*B109^2</f>
        <v>#N/A</v>
      </c>
      <c r="H109" s="245" t="e">
        <f>E109*($C$116*B109-C109)^2</f>
        <v>#N/A</v>
      </c>
      <c r="I109" s="316" t="e">
        <f>((($C$117*$C$119)+($C$118*(J55^2))))</f>
        <v>#N/A</v>
      </c>
      <c r="J109" s="189" t="e">
        <f>SQRT(I109)</f>
        <v>#N/A</v>
      </c>
      <c r="K109" s="317" t="e">
        <f>SQRT($C$119+I109)</f>
        <v>#DIV/0!</v>
      </c>
      <c r="L109" s="318" t="e">
        <f>$E$136+$G$136*N128</f>
        <v>#DIV/0!</v>
      </c>
      <c r="M109" s="319" t="e">
        <f>L109/B109</f>
        <v>#DIV/0!</v>
      </c>
    </row>
    <row r="110" spans="1:17" ht="35.1" customHeight="1" x14ac:dyDescent="0.2">
      <c r="B110" s="69" t="e">
        <f t="shared" ref="B110:B113" si="14">J56</f>
        <v>#DIV/0!</v>
      </c>
      <c r="C110" s="124" t="e">
        <f>L90</f>
        <v>#DIV/0!</v>
      </c>
      <c r="D110" s="124" t="e">
        <f>G85</f>
        <v>#N/A</v>
      </c>
      <c r="E110" s="302" t="e">
        <f t="shared" ref="E110:E113" si="15">1/D110^2</f>
        <v>#N/A</v>
      </c>
      <c r="F110" s="303" t="e">
        <f t="shared" ref="F110:F113" si="16">E110*B110*C110</f>
        <v>#N/A</v>
      </c>
      <c r="G110" s="304" t="e">
        <f t="shared" ref="G110:G113" si="17">E110*B110^2</f>
        <v>#N/A</v>
      </c>
      <c r="H110" s="302" t="e">
        <f>E110*($C$116*B110-C110)^2</f>
        <v>#N/A</v>
      </c>
      <c r="I110" s="304" t="e">
        <f>$C$117*$C$119+$C$118*J56^2</f>
        <v>#N/A</v>
      </c>
      <c r="J110" s="31" t="e">
        <f t="shared" ref="J110:J113" si="18">SQRT(I110)</f>
        <v>#N/A</v>
      </c>
      <c r="K110" s="305" t="e">
        <f>SQRT($C$119+I110)</f>
        <v>#DIV/0!</v>
      </c>
      <c r="L110" s="306" t="e">
        <f t="shared" ref="L110:L113" si="19">$E$136+$G$136*N129</f>
        <v>#DIV/0!</v>
      </c>
      <c r="M110" s="307" t="e">
        <f t="shared" ref="M110:M113" si="20">L110/B110</f>
        <v>#DIV/0!</v>
      </c>
    </row>
    <row r="111" spans="1:17" ht="35.1" customHeight="1" x14ac:dyDescent="0.2">
      <c r="B111" s="69" t="e">
        <f t="shared" si="14"/>
        <v>#DIV/0!</v>
      </c>
      <c r="C111" s="124" t="e">
        <f>L91</f>
        <v>#DIV/0!</v>
      </c>
      <c r="D111" s="124" t="e">
        <f>H85</f>
        <v>#N/A</v>
      </c>
      <c r="E111" s="302" t="e">
        <f t="shared" si="15"/>
        <v>#N/A</v>
      </c>
      <c r="F111" s="303" t="e">
        <f t="shared" si="16"/>
        <v>#N/A</v>
      </c>
      <c r="G111" s="304" t="e">
        <f t="shared" si="17"/>
        <v>#N/A</v>
      </c>
      <c r="H111" s="302" t="e">
        <f>E111*($C$116*B111-C111)^2</f>
        <v>#N/A</v>
      </c>
      <c r="I111" s="304" t="e">
        <f>$C$117*$C$119+$C$118*J57^2</f>
        <v>#N/A</v>
      </c>
      <c r="J111" s="31" t="e">
        <f t="shared" si="18"/>
        <v>#N/A</v>
      </c>
      <c r="K111" s="305" t="e">
        <f>SQRT($C$119+I111)</f>
        <v>#DIV/0!</v>
      </c>
      <c r="L111" s="306" t="e">
        <f t="shared" si="19"/>
        <v>#DIV/0!</v>
      </c>
      <c r="M111" s="307" t="e">
        <f t="shared" si="20"/>
        <v>#DIV/0!</v>
      </c>
    </row>
    <row r="112" spans="1:17" ht="35.1" customHeight="1" x14ac:dyDescent="0.2">
      <c r="B112" s="69" t="e">
        <f t="shared" si="14"/>
        <v>#DIV/0!</v>
      </c>
      <c r="C112" s="124" t="e">
        <f>L92</f>
        <v>#DIV/0!</v>
      </c>
      <c r="D112" s="124" t="e">
        <f>I85</f>
        <v>#N/A</v>
      </c>
      <c r="E112" s="302" t="e">
        <f t="shared" si="15"/>
        <v>#N/A</v>
      </c>
      <c r="F112" s="303" t="e">
        <f t="shared" si="16"/>
        <v>#N/A</v>
      </c>
      <c r="G112" s="304" t="e">
        <f t="shared" si="17"/>
        <v>#N/A</v>
      </c>
      <c r="H112" s="302" t="e">
        <f>E112*($C$116*B112-C112)^2</f>
        <v>#N/A</v>
      </c>
      <c r="I112" s="304" t="e">
        <f>$C$117*$C$119+$C$118*J58^2</f>
        <v>#N/A</v>
      </c>
      <c r="J112" s="31" t="e">
        <f t="shared" si="18"/>
        <v>#N/A</v>
      </c>
      <c r="K112" s="305" t="e">
        <f>SQRT($C$119+I112)</f>
        <v>#DIV/0!</v>
      </c>
      <c r="L112" s="306" t="e">
        <f t="shared" si="19"/>
        <v>#DIV/0!</v>
      </c>
      <c r="M112" s="307" t="e">
        <f t="shared" si="20"/>
        <v>#DIV/0!</v>
      </c>
    </row>
    <row r="113" spans="2:26" ht="35.1" customHeight="1" thickBot="1" x14ac:dyDescent="0.25">
      <c r="B113" s="71" t="e">
        <f t="shared" si="14"/>
        <v>#DIV/0!</v>
      </c>
      <c r="C113" s="85" t="e">
        <f>L93</f>
        <v>#DIV/0!</v>
      </c>
      <c r="D113" s="85" t="e">
        <f>J85</f>
        <v>#N/A</v>
      </c>
      <c r="E113" s="246" t="e">
        <f t="shared" si="15"/>
        <v>#N/A</v>
      </c>
      <c r="F113" s="308" t="e">
        <f t="shared" si="16"/>
        <v>#N/A</v>
      </c>
      <c r="G113" s="309" t="e">
        <f t="shared" si="17"/>
        <v>#N/A</v>
      </c>
      <c r="H113" s="246" t="e">
        <f>E113*($C$116*B113-C113)^2</f>
        <v>#N/A</v>
      </c>
      <c r="I113" s="309" t="e">
        <f>$C$117*$C$119+$C$118*J59^2</f>
        <v>#N/A</v>
      </c>
      <c r="J113" s="310" t="e">
        <f t="shared" si="18"/>
        <v>#N/A</v>
      </c>
      <c r="K113" s="311" t="e">
        <f>SQRT($C$119+I113)</f>
        <v>#DIV/0!</v>
      </c>
      <c r="L113" s="312" t="e">
        <f t="shared" si="19"/>
        <v>#DIV/0!</v>
      </c>
      <c r="M113" s="313" t="e">
        <f t="shared" si="20"/>
        <v>#DIV/0!</v>
      </c>
    </row>
    <row r="114" spans="2:26" ht="35.1" customHeight="1" thickBot="1" x14ac:dyDescent="0.25">
      <c r="B114" s="1"/>
      <c r="C114" s="1"/>
      <c r="D114" s="1"/>
      <c r="E114" s="320" t="s">
        <v>421</v>
      </c>
      <c r="F114" s="321" t="e">
        <f>SUM(F109:F113)</f>
        <v>#N/A</v>
      </c>
      <c r="G114" s="321" t="e">
        <f>SUM(G109:G113)</f>
        <v>#N/A</v>
      </c>
      <c r="H114" s="321" t="e">
        <f t="shared" ref="H114" si="21">SUM(H109:H113)</f>
        <v>#N/A</v>
      </c>
      <c r="I114" s="322" t="e">
        <f>SUM(I109:I113)</f>
        <v>#N/A</v>
      </c>
      <c r="J114" s="1"/>
      <c r="K114" s="1"/>
    </row>
    <row r="115" spans="2:26" ht="35.1" customHeight="1" thickBot="1" x14ac:dyDescent="0.25">
      <c r="B115" s="1"/>
      <c r="C115" s="1"/>
      <c r="D115" s="1"/>
      <c r="E115" s="1"/>
      <c r="F115" s="1"/>
      <c r="G115" s="1"/>
      <c r="H115" s="1"/>
      <c r="I115" s="1"/>
      <c r="J115" s="1"/>
      <c r="K115" s="1"/>
    </row>
    <row r="116" spans="2:26" s="6" customFormat="1" ht="33" customHeight="1" thickBot="1" x14ac:dyDescent="0.25">
      <c r="B116" s="194" t="s">
        <v>422</v>
      </c>
      <c r="C116" s="200" t="e">
        <f>(F114/G114)</f>
        <v>#N/A</v>
      </c>
      <c r="E116" s="222" t="s">
        <v>423</v>
      </c>
      <c r="F116" s="214">
        <v>1</v>
      </c>
      <c r="G116" s="366" t="s">
        <v>424</v>
      </c>
      <c r="H116" s="367">
        <f>5-2</f>
        <v>3</v>
      </c>
      <c r="I116" s="1"/>
      <c r="M116" s="1"/>
      <c r="N116" s="1"/>
      <c r="R116" s="47"/>
      <c r="S116" s="47"/>
      <c r="T116" s="47"/>
      <c r="U116" s="47"/>
      <c r="V116" s="47"/>
      <c r="W116" s="47"/>
      <c r="X116" s="47"/>
      <c r="Y116" s="47"/>
    </row>
    <row r="117" spans="2:26" s="6" customFormat="1" ht="28.5" customHeight="1" thickBot="1" x14ac:dyDescent="0.25">
      <c r="B117" s="195" t="s">
        <v>425</v>
      </c>
      <c r="C117" s="201" t="e">
        <f>C116^2</f>
        <v>#N/A</v>
      </c>
      <c r="E117" s="223" t="s">
        <v>426</v>
      </c>
      <c r="F117" s="215">
        <v>2</v>
      </c>
      <c r="G117" s="32"/>
      <c r="M117" s="1"/>
      <c r="N117" s="1"/>
      <c r="R117" s="47"/>
      <c r="S117" s="47"/>
      <c r="T117" s="47"/>
      <c r="U117" s="47"/>
      <c r="V117" s="47"/>
      <c r="W117" s="47"/>
      <c r="X117" s="47"/>
      <c r="Y117" s="47"/>
    </row>
    <row r="118" spans="2:26" ht="35.1" customHeight="1" x14ac:dyDescent="0.2">
      <c r="B118" s="196" t="s">
        <v>427</v>
      </c>
      <c r="C118" s="201" t="e">
        <f>1/G114</f>
        <v>#N/A</v>
      </c>
      <c r="E118" s="216" t="s">
        <v>428</v>
      </c>
      <c r="F118" s="202" t="e">
        <f>H114</f>
        <v>#N/A</v>
      </c>
      <c r="K118" s="1314"/>
      <c r="L118" s="1315"/>
      <c r="M118" s="1316"/>
    </row>
    <row r="119" spans="2:26" ht="35.1" customHeight="1" thickBot="1" x14ac:dyDescent="0.25">
      <c r="B119" s="197" t="s">
        <v>429</v>
      </c>
      <c r="C119" s="230" t="e">
        <f>SUMSQ(F74:F77)</f>
        <v>#DIV/0!</v>
      </c>
      <c r="E119" s="217" t="s">
        <v>430</v>
      </c>
      <c r="F119" s="212">
        <v>2</v>
      </c>
      <c r="K119" s="220" t="e">
        <f>ABS(F118-F120)</f>
        <v>#N/A</v>
      </c>
      <c r="L119" s="221" t="s">
        <v>431</v>
      </c>
      <c r="M119" s="226">
        <f>F119*SQRT(2*F120)</f>
        <v>4.8989794855663558</v>
      </c>
    </row>
    <row r="120" spans="2:26" ht="35.1" customHeight="1" thickBot="1" x14ac:dyDescent="0.25">
      <c r="B120" s="198" t="s">
        <v>432</v>
      </c>
      <c r="C120" s="202" t="e">
        <f>(C39/(G34*SQRT(12)))^2</f>
        <v>#DIV/0!</v>
      </c>
      <c r="E120" s="224" t="s">
        <v>433</v>
      </c>
      <c r="F120" s="213">
        <f>H116</f>
        <v>3</v>
      </c>
      <c r="K120" s="1232" t="e">
        <f>IF(K119&lt;=M119,"APROBADO","NO APROBADO")</f>
        <v>#N/A</v>
      </c>
      <c r="L120" s="1233"/>
      <c r="M120" s="1234"/>
    </row>
    <row r="121" spans="2:26" ht="30.75" customHeight="1" thickBot="1" x14ac:dyDescent="0.25">
      <c r="B121" s="199"/>
      <c r="C121" s="203" t="e">
        <f>F48^2</f>
        <v>#DIV/0!</v>
      </c>
      <c r="E121" s="218" t="s">
        <v>434</v>
      </c>
      <c r="F121" s="190" t="e">
        <f>MAX(F101:J101)</f>
        <v>#N/A</v>
      </c>
    </row>
    <row r="122" spans="2:26" ht="30.75" customHeight="1" thickBot="1" x14ac:dyDescent="0.25"/>
    <row r="123" spans="2:26" ht="35.1" customHeight="1" thickBot="1" x14ac:dyDescent="0.25">
      <c r="B123" s="1248"/>
      <c r="C123" s="1249"/>
      <c r="D123" s="1249"/>
      <c r="E123" s="1249"/>
      <c r="F123" s="1249"/>
      <c r="G123" s="1249"/>
      <c r="H123" s="1249"/>
      <c r="I123" s="1249"/>
      <c r="J123" s="1249"/>
      <c r="K123" s="1249"/>
      <c r="L123" s="1249"/>
      <c r="M123" s="1249"/>
      <c r="N123" s="1249"/>
      <c r="O123" s="1249"/>
      <c r="P123" s="1250"/>
    </row>
    <row r="124" spans="2:26" ht="35.1" customHeight="1" x14ac:dyDescent="0.2">
      <c r="C124" s="192" t="s">
        <v>435</v>
      </c>
      <c r="D124" s="241" t="e">
        <f>SLOPE(O128:O132,N128:N132)</f>
        <v>#DIV/0!</v>
      </c>
      <c r="E124" s="1172" t="s">
        <v>436</v>
      </c>
      <c r="F124" s="1173"/>
      <c r="G124" s="193" t="s">
        <v>437</v>
      </c>
      <c r="H124" s="219">
        <v>5</v>
      </c>
      <c r="I124" s="1"/>
      <c r="K124" s="1"/>
    </row>
    <row r="125" spans="2:26" ht="35.1" customHeight="1" thickBot="1" x14ac:dyDescent="0.25">
      <c r="C125" s="117" t="s">
        <v>438</v>
      </c>
      <c r="D125" s="242" t="e">
        <f>INTERCEPT(K109:K113,G21:G25)</f>
        <v>#DIV/0!</v>
      </c>
      <c r="E125" s="1170" t="s">
        <v>439</v>
      </c>
      <c r="F125" s="1171"/>
      <c r="G125" s="118" t="s">
        <v>440</v>
      </c>
      <c r="H125" s="132" t="e">
        <f>D124*H124+D125</f>
        <v>#DIV/0!</v>
      </c>
    </row>
    <row r="126" spans="2:26" ht="35.1" customHeight="1" thickBot="1" x14ac:dyDescent="0.25">
      <c r="L126" s="6"/>
    </row>
    <row r="127" spans="2:26" ht="35.1" customHeight="1" thickBot="1" x14ac:dyDescent="0.25">
      <c r="N127" s="181" t="s">
        <v>441</v>
      </c>
      <c r="O127" s="254" t="s">
        <v>442</v>
      </c>
      <c r="R127" s="337" t="s">
        <v>443</v>
      </c>
      <c r="S127" s="337" t="s">
        <v>444</v>
      </c>
      <c r="T127" s="338">
        <v>5</v>
      </c>
      <c r="U127" s="337"/>
      <c r="V127" s="337"/>
      <c r="W127" s="337"/>
      <c r="X127" s="337"/>
      <c r="Y127" s="337"/>
      <c r="Z127" s="274"/>
    </row>
    <row r="128" spans="2:26" ht="35.1" customHeight="1" x14ac:dyDescent="0.2">
      <c r="N128" s="252" t="e">
        <f>G21</f>
        <v>#N/A</v>
      </c>
      <c r="O128" s="253" t="e">
        <f>K109</f>
        <v>#DIV/0!</v>
      </c>
      <c r="R128" s="339" t="s">
        <v>445</v>
      </c>
      <c r="S128" s="340" t="s">
        <v>446</v>
      </c>
      <c r="T128" s="340" t="s">
        <v>447</v>
      </c>
      <c r="U128" s="340" t="s">
        <v>448</v>
      </c>
      <c r="V128" s="341" t="s">
        <v>449</v>
      </c>
      <c r="W128" s="341" t="s">
        <v>450</v>
      </c>
      <c r="X128" s="341" t="s">
        <v>451</v>
      </c>
      <c r="Y128" s="341" t="s">
        <v>452</v>
      </c>
      <c r="Z128" s="274"/>
    </row>
    <row r="129" spans="1:26" ht="35.1" customHeight="1" x14ac:dyDescent="0.2">
      <c r="I129" s="12"/>
      <c r="L129" s="129"/>
      <c r="N129" s="69" t="e">
        <f>G22</f>
        <v>#N/A</v>
      </c>
      <c r="O129" s="70" t="e">
        <f>K110</f>
        <v>#DIV/0!</v>
      </c>
      <c r="R129" s="338" t="e">
        <f t="shared" ref="R129:S133" si="22">N128</f>
        <v>#N/A</v>
      </c>
      <c r="S129" s="338" t="e">
        <f t="shared" si="22"/>
        <v>#DIV/0!</v>
      </c>
      <c r="T129" s="338" t="e">
        <f>R129*S129</f>
        <v>#N/A</v>
      </c>
      <c r="U129" s="338" t="e">
        <f>R129^2</f>
        <v>#N/A</v>
      </c>
      <c r="V129" s="337" t="e">
        <f>R134/T127</f>
        <v>#N/A</v>
      </c>
      <c r="W129" s="342" t="e">
        <f>S134/T127</f>
        <v>#DIV/0!</v>
      </c>
      <c r="X129" s="343" t="e">
        <f>SLOPE(S129:S133,R129:R133)</f>
        <v>#DIV/0!</v>
      </c>
      <c r="Y129" s="337" t="e">
        <f>INTERCEPT(K109:K113,G21:G25)</f>
        <v>#DIV/0!</v>
      </c>
      <c r="Z129" s="274"/>
    </row>
    <row r="130" spans="1:26" ht="35.1" customHeight="1" x14ac:dyDescent="0.2">
      <c r="I130" s="12"/>
      <c r="N130" s="69" t="e">
        <f>G23</f>
        <v>#N/A</v>
      </c>
      <c r="O130" s="70" t="e">
        <f>K111</f>
        <v>#DIV/0!</v>
      </c>
      <c r="R130" s="338" t="e">
        <f t="shared" si="22"/>
        <v>#N/A</v>
      </c>
      <c r="S130" s="338" t="e">
        <f t="shared" si="22"/>
        <v>#DIV/0!</v>
      </c>
      <c r="T130" s="338" t="e">
        <f t="shared" ref="T130:T133" si="23">R130*S130</f>
        <v>#N/A</v>
      </c>
      <c r="U130" s="338" t="e">
        <f t="shared" ref="U130:U133" si="24">R130^2</f>
        <v>#N/A</v>
      </c>
      <c r="V130" s="337"/>
      <c r="W130" s="337"/>
      <c r="X130" s="337"/>
      <c r="Y130" s="337"/>
      <c r="Z130" s="274"/>
    </row>
    <row r="131" spans="1:26" ht="35.1" customHeight="1" x14ac:dyDescent="0.2">
      <c r="I131" s="12"/>
      <c r="N131" s="69" t="e">
        <f>G24</f>
        <v>#N/A</v>
      </c>
      <c r="O131" s="70" t="e">
        <f>K112</f>
        <v>#DIV/0!</v>
      </c>
      <c r="R131" s="338" t="e">
        <f t="shared" si="22"/>
        <v>#N/A</v>
      </c>
      <c r="S131" s="338" t="e">
        <f t="shared" si="22"/>
        <v>#DIV/0!</v>
      </c>
      <c r="T131" s="338" t="e">
        <f t="shared" si="23"/>
        <v>#N/A</v>
      </c>
      <c r="U131" s="338" t="e">
        <f t="shared" si="24"/>
        <v>#N/A</v>
      </c>
      <c r="V131" s="337"/>
      <c r="W131" s="337"/>
      <c r="X131" s="337"/>
      <c r="Y131" s="337"/>
      <c r="Z131" s="274"/>
    </row>
    <row r="132" spans="1:26" ht="35.1" customHeight="1" thickBot="1" x14ac:dyDescent="0.25">
      <c r="A132" s="33"/>
      <c r="I132" s="12"/>
      <c r="N132" s="71" t="e">
        <f>G25</f>
        <v>#N/A</v>
      </c>
      <c r="O132" s="72" t="e">
        <f>K113</f>
        <v>#DIV/0!</v>
      </c>
      <c r="R132" s="338" t="e">
        <f t="shared" si="22"/>
        <v>#N/A</v>
      </c>
      <c r="S132" s="338" t="e">
        <f t="shared" si="22"/>
        <v>#DIV/0!</v>
      </c>
      <c r="T132" s="338" t="e">
        <f t="shared" si="23"/>
        <v>#N/A</v>
      </c>
      <c r="U132" s="338" t="e">
        <f t="shared" si="24"/>
        <v>#N/A</v>
      </c>
      <c r="V132" s="337"/>
      <c r="W132" s="337"/>
      <c r="X132" s="337"/>
      <c r="Y132" s="337"/>
      <c r="Z132" s="274"/>
    </row>
    <row r="133" spans="1:26" ht="35.1" customHeight="1" x14ac:dyDescent="0.2">
      <c r="A133" s="33"/>
      <c r="I133" s="12"/>
      <c r="J133" s="12"/>
      <c r="K133" s="12"/>
      <c r="L133" s="12"/>
      <c r="R133" s="338" t="e">
        <f t="shared" si="22"/>
        <v>#N/A</v>
      </c>
      <c r="S133" s="338" t="e">
        <f t="shared" si="22"/>
        <v>#DIV/0!</v>
      </c>
      <c r="T133" s="338" t="e">
        <f t="shared" si="23"/>
        <v>#N/A</v>
      </c>
      <c r="U133" s="338" t="e">
        <f t="shared" si="24"/>
        <v>#N/A</v>
      </c>
      <c r="V133" s="337"/>
      <c r="W133" s="337"/>
      <c r="X133" s="337"/>
      <c r="Y133" s="337"/>
      <c r="Z133" s="274"/>
    </row>
    <row r="134" spans="1:26" ht="43.5" customHeight="1" thickBot="1" x14ac:dyDescent="0.25">
      <c r="A134" s="33"/>
      <c r="I134" s="34"/>
      <c r="J134" s="34"/>
      <c r="K134" s="34"/>
      <c r="L134" s="34"/>
      <c r="R134" s="344" t="e">
        <f>SUM(R129:R133)</f>
        <v>#N/A</v>
      </c>
      <c r="S134" s="344" t="e">
        <f t="shared" ref="S134:U134" si="25">SUM(S129:S133)</f>
        <v>#DIV/0!</v>
      </c>
      <c r="T134" s="344" t="e">
        <f t="shared" si="25"/>
        <v>#N/A</v>
      </c>
      <c r="U134" s="344" t="e">
        <f t="shared" si="25"/>
        <v>#N/A</v>
      </c>
      <c r="V134" s="345" t="s">
        <v>453</v>
      </c>
      <c r="W134" s="346"/>
      <c r="X134" s="346"/>
      <c r="Y134" s="346"/>
      <c r="Z134" s="33"/>
    </row>
    <row r="135" spans="1:26" s="6" customFormat="1" ht="35.1" customHeight="1" thickBot="1" x14ac:dyDescent="0.25">
      <c r="C135" s="204" t="s">
        <v>454</v>
      </c>
      <c r="D135" s="205"/>
      <c r="E135" s="206" t="e">
        <f>C117*C119</f>
        <v>#N/A</v>
      </c>
      <c r="F135" s="207" t="s">
        <v>455</v>
      </c>
      <c r="G135" s="206" t="e">
        <f>C118+C117*C120</f>
        <v>#N/A</v>
      </c>
      <c r="H135" s="209" t="s">
        <v>456</v>
      </c>
      <c r="L135" s="12"/>
      <c r="M135" s="1"/>
      <c r="N135" s="1"/>
      <c r="O135" s="1"/>
      <c r="P135" s="1"/>
      <c r="Q135" s="1"/>
      <c r="R135" s="333"/>
      <c r="S135" s="333"/>
      <c r="T135" s="333"/>
      <c r="U135" s="47"/>
      <c r="V135" s="47"/>
      <c r="W135" s="47"/>
      <c r="X135" s="47"/>
      <c r="Y135" s="47"/>
    </row>
    <row r="136" spans="1:26" s="6" customFormat="1" ht="35.1" customHeight="1" thickBot="1" x14ac:dyDescent="0.25">
      <c r="A136" s="1"/>
      <c r="C136" s="1308" t="s">
        <v>457</v>
      </c>
      <c r="D136" s="1309"/>
      <c r="E136" s="240" t="e">
        <f>D125*N97</f>
        <v>#DIV/0!</v>
      </c>
      <c r="F136" s="208" t="s">
        <v>455</v>
      </c>
      <c r="G136" s="211" t="e">
        <f>D124*N97</f>
        <v>#DIV/0!</v>
      </c>
      <c r="H136" s="210" t="s">
        <v>458</v>
      </c>
      <c r="M136" s="1"/>
      <c r="N136" s="1"/>
      <c r="O136" s="1"/>
      <c r="P136" s="1"/>
      <c r="Q136" s="1"/>
      <c r="R136" s="333"/>
      <c r="S136" s="333"/>
      <c r="T136" s="333"/>
      <c r="U136" s="47"/>
      <c r="V136" s="47"/>
      <c r="W136" s="47"/>
      <c r="X136" s="47"/>
      <c r="Y136" s="47"/>
    </row>
    <row r="137" spans="1:26" ht="35.1" customHeight="1" thickBot="1" x14ac:dyDescent="0.25"/>
    <row r="138" spans="1:26" ht="35.1" customHeight="1" thickBot="1" x14ac:dyDescent="0.25">
      <c r="B138" s="1243" t="s">
        <v>459</v>
      </c>
      <c r="C138" s="1244"/>
      <c r="D138" s="1244"/>
      <c r="E138" s="1244"/>
      <c r="F138" s="1244"/>
      <c r="G138" s="1244"/>
      <c r="H138" s="1244"/>
      <c r="I138" s="1244"/>
      <c r="J138" s="1244"/>
      <c r="K138" s="1244"/>
      <c r="L138" s="1244"/>
      <c r="M138" s="1244"/>
      <c r="N138" s="1244"/>
      <c r="O138" s="1244"/>
      <c r="P138" s="1245"/>
    </row>
    <row r="139" spans="1:26" ht="35.1" customHeight="1" thickBot="1" x14ac:dyDescent="0.25">
      <c r="F139" s="323" t="s">
        <v>460</v>
      </c>
      <c r="H139" s="1"/>
      <c r="O139" s="188"/>
    </row>
    <row r="140" spans="1:26" ht="35.1" customHeight="1" x14ac:dyDescent="0.2">
      <c r="B140" s="1168" t="s">
        <v>461</v>
      </c>
      <c r="C140" s="1169"/>
      <c r="D140" s="1169"/>
      <c r="E140" s="119" t="s">
        <v>462</v>
      </c>
      <c r="F140" s="245" t="e">
        <f>C116</f>
        <v>#N/A</v>
      </c>
      <c r="G140" s="135" t="s">
        <v>463</v>
      </c>
      <c r="I140" s="1168" t="s">
        <v>464</v>
      </c>
      <c r="J140" s="1169"/>
      <c r="K140" s="1169"/>
      <c r="L140" s="186" t="s">
        <v>465</v>
      </c>
      <c r="M140" s="95" t="e">
        <f>D125*N97</f>
        <v>#DIV/0!</v>
      </c>
      <c r="N140" s="120" t="s">
        <v>455</v>
      </c>
      <c r="O140" s="244" t="e">
        <f>D124*N97</f>
        <v>#DIV/0!</v>
      </c>
      <c r="P140" s="133" t="s">
        <v>463</v>
      </c>
    </row>
    <row r="141" spans="1:26" ht="35.1" customHeight="1" thickBot="1" x14ac:dyDescent="0.25">
      <c r="B141" s="1235" t="s">
        <v>461</v>
      </c>
      <c r="C141" s="1236"/>
      <c r="D141" s="1236"/>
      <c r="E141" s="139" t="s">
        <v>466</v>
      </c>
      <c r="F141" s="246" t="e">
        <f>F140</f>
        <v>#N/A</v>
      </c>
      <c r="G141" s="136" t="s">
        <v>467</v>
      </c>
      <c r="I141" s="1230" t="s">
        <v>464</v>
      </c>
      <c r="J141" s="1231"/>
      <c r="K141" s="1231"/>
      <c r="L141" s="138" t="s">
        <v>468</v>
      </c>
      <c r="M141" s="283" t="e">
        <f>M140/1000</f>
        <v>#DIV/0!</v>
      </c>
      <c r="N141" s="121" t="s">
        <v>455</v>
      </c>
      <c r="O141" s="243" t="e">
        <f>O140/1000</f>
        <v>#DIV/0!</v>
      </c>
      <c r="P141" s="134" t="s">
        <v>467</v>
      </c>
    </row>
    <row r="142" spans="1:26" ht="35.1" customHeight="1" x14ac:dyDescent="0.2">
      <c r="J142" s="1"/>
    </row>
    <row r="143" spans="1:26" ht="35.1" customHeight="1" x14ac:dyDescent="0.2">
      <c r="F143" s="227"/>
      <c r="J143" s="1"/>
      <c r="K143" s="1"/>
    </row>
    <row r="144" spans="1:26" ht="35.1" customHeight="1" x14ac:dyDescent="0.2">
      <c r="F144" s="185"/>
      <c r="H144" s="35"/>
      <c r="O144" s="129"/>
    </row>
  </sheetData>
  <sheetProtection algorithmName="SHA-512" hashValue="2kJODFBWRkTkPd7hQukG6eIN5kxdnUkUbBeqYI3Y0wFc9xnlP5SntE+osiaA+oKVaKZJwCyAR/UCg5+lG7kWUQ==" saltValue="XN1duU2/zny6n8CprgdfSg==" spinCount="100000" sheet="1" objects="1" scenarios="1"/>
  <dataConsolidate>
    <dataRefs count="2">
      <dataRef ref="C5:D7" sheet="DATOS DE LOS PATRONES " r:id="rId1"/>
      <dataRef ref="K5:L7" sheet="DATOS DE LOS PATRONES " r:id="rId2"/>
    </dataRefs>
  </dataConsolidate>
  <mergeCells count="135">
    <mergeCell ref="A1:C3"/>
    <mergeCell ref="D1:Q3"/>
    <mergeCell ref="C136:D136"/>
    <mergeCell ref="L107:L108"/>
    <mergeCell ref="M107:M108"/>
    <mergeCell ref="K118:M118"/>
    <mergeCell ref="C107:C108"/>
    <mergeCell ref="D107:D108"/>
    <mergeCell ref="G11:H11"/>
    <mergeCell ref="B15:C15"/>
    <mergeCell ref="B106:P106"/>
    <mergeCell ref="G15:H15"/>
    <mergeCell ref="I15:J15"/>
    <mergeCell ref="F107:F108"/>
    <mergeCell ref="A73:B73"/>
    <mergeCell ref="A74:B74"/>
    <mergeCell ref="A72:E72"/>
    <mergeCell ref="H107:H108"/>
    <mergeCell ref="I107:I108"/>
    <mergeCell ref="M41:O41"/>
    <mergeCell ref="P87:P88"/>
    <mergeCell ref="I12:J12"/>
    <mergeCell ref="B27:K27"/>
    <mergeCell ref="G28:H28"/>
    <mergeCell ref="B13:C13"/>
    <mergeCell ref="I13:J13"/>
    <mergeCell ref="G8:J8"/>
    <mergeCell ref="I9:J9"/>
    <mergeCell ref="G9:H9"/>
    <mergeCell ref="B8:E8"/>
    <mergeCell ref="B9:C9"/>
    <mergeCell ref="B10:C10"/>
    <mergeCell ref="B11:C11"/>
    <mergeCell ref="G10:H10"/>
    <mergeCell ref="I10:J10"/>
    <mergeCell ref="I11:J11"/>
    <mergeCell ref="B14:C14"/>
    <mergeCell ref="A80:B80"/>
    <mergeCell ref="B29:C29"/>
    <mergeCell ref="B21:C23"/>
    <mergeCell ref="B64:C64"/>
    <mergeCell ref="B52:L52"/>
    <mergeCell ref="B61:I61"/>
    <mergeCell ref="F69:J69"/>
    <mergeCell ref="I19:I20"/>
    <mergeCell ref="J19:J20"/>
    <mergeCell ref="B41:K41"/>
    <mergeCell ref="B17:J17"/>
    <mergeCell ref="G18:J18"/>
    <mergeCell ref="F29:G29"/>
    <mergeCell ref="K31:L31"/>
    <mergeCell ref="G19:G20"/>
    <mergeCell ref="K28:K29"/>
    <mergeCell ref="D20:F21"/>
    <mergeCell ref="D18:D19"/>
    <mergeCell ref="F18:F19"/>
    <mergeCell ref="D23:F23"/>
    <mergeCell ref="C24:D24"/>
    <mergeCell ref="H19:H20"/>
    <mergeCell ref="B18:C20"/>
    <mergeCell ref="I141:K141"/>
    <mergeCell ref="B140:D140"/>
    <mergeCell ref="K120:M120"/>
    <mergeCell ref="B141:D141"/>
    <mergeCell ref="F100:J100"/>
    <mergeCell ref="F103:J103"/>
    <mergeCell ref="L96:P96"/>
    <mergeCell ref="B138:P138"/>
    <mergeCell ref="J107:J108"/>
    <mergeCell ref="B123:P123"/>
    <mergeCell ref="C99:E99"/>
    <mergeCell ref="B107:B108"/>
    <mergeCell ref="N87:N88"/>
    <mergeCell ref="O87:O88"/>
    <mergeCell ref="B42:J42"/>
    <mergeCell ref="N54:O54"/>
    <mergeCell ref="A89:C89"/>
    <mergeCell ref="A88:C88"/>
    <mergeCell ref="D88:E88"/>
    <mergeCell ref="D89:E89"/>
    <mergeCell ref="C81:E81"/>
    <mergeCell ref="C82:E82"/>
    <mergeCell ref="A81:B81"/>
    <mergeCell ref="M87:M88"/>
    <mergeCell ref="N52:O52"/>
    <mergeCell ref="M42:O49"/>
    <mergeCell ref="N55:O55"/>
    <mergeCell ref="F79:J79"/>
    <mergeCell ref="F84:J84"/>
    <mergeCell ref="C83:E83"/>
    <mergeCell ref="A82:B82"/>
    <mergeCell ref="C75:E75"/>
    <mergeCell ref="C80:E80"/>
    <mergeCell ref="F72:J72"/>
    <mergeCell ref="F87:J87"/>
    <mergeCell ref="B33:G33"/>
    <mergeCell ref="B31:I31"/>
    <mergeCell ref="G13:H13"/>
    <mergeCell ref="J5:J6"/>
    <mergeCell ref="B53:E53"/>
    <mergeCell ref="I140:K140"/>
    <mergeCell ref="E125:F125"/>
    <mergeCell ref="E124:F124"/>
    <mergeCell ref="G53:L53"/>
    <mergeCell ref="F86:J86"/>
    <mergeCell ref="F98:J98"/>
    <mergeCell ref="A94:C94"/>
    <mergeCell ref="A95:C95"/>
    <mergeCell ref="D94:E94"/>
    <mergeCell ref="A76:B76"/>
    <mergeCell ref="A75:B75"/>
    <mergeCell ref="K87:K88"/>
    <mergeCell ref="L87:L88"/>
    <mergeCell ref="B65:C65"/>
    <mergeCell ref="A67:L67"/>
    <mergeCell ref="G14:H14"/>
    <mergeCell ref="I14:J14"/>
    <mergeCell ref="B12:C12"/>
    <mergeCell ref="G12:H12"/>
    <mergeCell ref="F93:J93"/>
    <mergeCell ref="A90:C90"/>
    <mergeCell ref="D90:E90"/>
    <mergeCell ref="C73:E73"/>
    <mergeCell ref="C74:E74"/>
    <mergeCell ref="B97:E97"/>
    <mergeCell ref="A77:B77"/>
    <mergeCell ref="C77:E77"/>
    <mergeCell ref="C78:E78"/>
    <mergeCell ref="C76:E76"/>
    <mergeCell ref="A96:C96"/>
    <mergeCell ref="D95:E95"/>
    <mergeCell ref="D96:E96"/>
    <mergeCell ref="A91:C91"/>
    <mergeCell ref="B92:E93"/>
    <mergeCell ref="D91:E91"/>
  </mergeCells>
  <conditionalFormatting sqref="K120">
    <cfRule type="cellIs" dxfId="4" priority="4" operator="greaterThan">
      <formula>$K$119</formula>
    </cfRule>
  </conditionalFormatting>
  <conditionalFormatting sqref="M73:M82">
    <cfRule type="cellIs" dxfId="3" priority="12" operator="equal">
      <formula>MAX($M$73:$M$82)</formula>
    </cfRule>
  </conditionalFormatting>
  <pageMargins left="0.70866141732283472" right="0.70866141732283472" top="0.74803149606299213" bottom="0.74803149606299213" header="0.31496062992125984" footer="0.31496062992125984"/>
  <pageSetup scale="10" orientation="landscape" r:id="rId3"/>
  <headerFooter>
    <oddFooter>&amp;RRT03-F12 Vr.14 (2022-03-18)
Página &amp;P de 3</oddFooter>
  </headerFooter>
  <rowBreaks count="2" manualBreakCount="2">
    <brk id="50" max="16383" man="1"/>
    <brk id="105" max="16" man="1"/>
  </rowBreaks>
  <drawing r:id="rId4"/>
  <legacyDrawing r:id="rId5"/>
  <extLst>
    <ext xmlns:x14="http://schemas.microsoft.com/office/spreadsheetml/2009/9/main" uri="{CCE6A557-97BC-4b89-ADB6-D9C93CAAB3DF}">
      <x14:dataValidations xmlns:xm="http://schemas.microsoft.com/office/excel/2006/main" xWindow="1307" yWindow="694" count="10">
        <x14:dataValidation type="list" allowBlank="1" showInputMessage="1" showErrorMessage="1" xr:uid="{00000000-0002-0000-0100-000000000000}">
          <x14:formula1>
            <xm:f>'DATOS # '!$C$9:$C$11</xm:f>
          </x14:formula1>
          <xm:sqref>J5:J6</xm:sqref>
        </x14:dataValidation>
        <x14:dataValidation type="list" allowBlank="1" showInputMessage="1" showErrorMessage="1" xr:uid="{00000000-0002-0000-0100-000001000000}">
          <x14:formula1>
            <xm:f>'DATOS # '!$U$29:$U$49</xm:f>
          </x14:formula1>
          <xm:sqref>E19</xm:sqref>
        </x14:dataValidation>
        <x14:dataValidation type="list" allowBlank="1" showInputMessage="1" showErrorMessage="1" xr:uid="{00000000-0002-0000-0100-000002000000}">
          <x14:formula1>
            <xm:f>'DATOS # '!$V$29:$V$56</xm:f>
          </x14:formula1>
          <xm:sqref>D22:F22</xm:sqref>
        </x14:dataValidation>
        <x14:dataValidation type="list" allowBlank="1" showInputMessage="1" showErrorMessage="1" xr:uid="{00000000-0002-0000-0100-000003000000}">
          <x14:formula1>
            <xm:f>'DATOS # '!$H$189:$H$194</xm:f>
          </x14:formula1>
          <xm:sqref>K28:K29</xm:sqref>
        </x14:dataValidation>
        <x14:dataValidation type="list" allowBlank="1" showInputMessage="1" showErrorMessage="1" xr:uid="{00000000-0002-0000-0100-000004000000}">
          <x14:formula1>
            <xm:f>'DATOS # '!$B$183:$B$186</xm:f>
          </x14:formula1>
          <xm:sqref>N52:O52</xm:sqref>
        </x14:dataValidation>
        <x14:dataValidation type="list" errorStyle="warning" allowBlank="1" showInputMessage="1" showErrorMessage="1" promptTitle="Verificar División de escala" prompt="Tener en cuenta IPFNA al calibrar" xr:uid="{00000000-0002-0000-0100-000005000000}">
          <x14:formula1>
            <xm:f>'DATOS # '!$C$18:$C$21</xm:f>
          </x14:formula1>
          <xm:sqref>F8</xm:sqref>
        </x14:dataValidation>
        <x14:dataValidation type="list" allowBlank="1" showInputMessage="1" showErrorMessage="1" xr:uid="{00000000-0002-0000-0100-000006000000}">
          <x14:formula1>
            <xm:f>'DATOS # '!$C$29:$C$117</xm:f>
          </x14:formula1>
          <xm:sqref>E24</xm:sqref>
        </x14:dataValidation>
        <x14:dataValidation type="list" allowBlank="1" showInputMessage="1" showErrorMessage="1" xr:uid="{00000000-0002-0000-0100-000007000000}">
          <x14:formula1>
            <xm:f>'DATOS # '!$C$29:$C$118</xm:f>
          </x14:formula1>
          <xm:sqref>K21:K24</xm:sqref>
        </x14:dataValidation>
        <x14:dataValidation type="list" allowBlank="1" showInputMessage="1" showErrorMessage="1" xr:uid="{00000000-0002-0000-0100-000008000000}">
          <x14:formula1>
            <xm:f>'DATOS # '!$B$29:$B$117</xm:f>
          </x14:formula1>
          <xm:sqref>K8</xm:sqref>
        </x14:dataValidation>
        <x14:dataValidation type="list" errorStyle="warning" allowBlank="1" showInputMessage="1" showErrorMessage="1" errorTitle="Verifique Cargas" error="Verifique caraga Max del IPFNA" promptTitle="Carga Maxima" prompt="Para carga de 8 200 g uasando M-016 tenga en cuenta las siguientes pesas 200 g sin punto, 2 kg sin punto, 1 kg y 5 kg._x000a__x000a__x000a__x000a_" xr:uid="{00000000-0002-0000-0100-000009000000}">
          <x14:formula1>
            <xm:f>'DATOS # '!$C$29:$C$118</xm:f>
          </x14:formula1>
          <xm:sqref>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O90"/>
  <sheetViews>
    <sheetView showGridLines="0" view="pageBreakPreview" zoomScale="80" zoomScaleNormal="140" zoomScaleSheetLayoutView="80" workbookViewId="0">
      <selection activeCell="AC181" sqref="AC181"/>
    </sheetView>
  </sheetViews>
  <sheetFormatPr baseColWidth="10" defaultColWidth="11.42578125" defaultRowHeight="15" x14ac:dyDescent="0.25"/>
  <cols>
    <col min="1" max="1" width="11.42578125" style="863"/>
    <col min="2" max="2" width="14.5703125" style="863" customWidth="1"/>
    <col min="3" max="3" width="20.28515625" style="863" customWidth="1"/>
    <col min="4" max="4" width="11.42578125" style="863"/>
    <col min="5" max="5" width="13.42578125" style="863" customWidth="1"/>
    <col min="6" max="6" width="11.42578125" style="863"/>
    <col min="7" max="7" width="13.140625" style="863" bestFit="1" customWidth="1"/>
    <col min="8" max="8" width="25.140625" style="863" customWidth="1"/>
    <col min="9" max="9" width="12" style="863" customWidth="1"/>
    <col min="10" max="10" width="12.28515625" style="863" bestFit="1" customWidth="1"/>
    <col min="11" max="16384" width="11.42578125" style="863"/>
  </cols>
  <sheetData>
    <row r="1" spans="1:11" ht="77.099999999999994" customHeight="1" thickBot="1" x14ac:dyDescent="0.3">
      <c r="A1" s="1348"/>
      <c r="B1" s="1349"/>
      <c r="C1" s="1348"/>
      <c r="D1" s="1350" t="s">
        <v>469</v>
      </c>
      <c r="E1" s="1350"/>
      <c r="F1" s="1350"/>
      <c r="G1" s="1350"/>
      <c r="H1" s="1350"/>
      <c r="I1" s="1350"/>
      <c r="J1" s="1350"/>
      <c r="K1" s="1350"/>
    </row>
    <row r="2" spans="1:11" ht="30" customHeight="1" thickBot="1" x14ac:dyDescent="0.3">
      <c r="B2" s="881"/>
    </row>
    <row r="3" spans="1:11" ht="15.75" thickBot="1" x14ac:dyDescent="0.3">
      <c r="B3" s="1363" t="s">
        <v>470</v>
      </c>
      <c r="C3" s="1364"/>
      <c r="D3" s="1364"/>
      <c r="E3" s="1364"/>
      <c r="F3" s="1364"/>
      <c r="G3" s="1364"/>
      <c r="H3" s="1364"/>
      <c r="I3" s="1364"/>
      <c r="J3" s="1364"/>
      <c r="K3" s="1365"/>
    </row>
    <row r="4" spans="1:11" ht="15.75" thickBot="1" x14ac:dyDescent="0.3">
      <c r="B4" s="1351" t="s">
        <v>471</v>
      </c>
      <c r="C4" s="1352"/>
      <c r="D4" s="1352"/>
      <c r="E4" s="1352"/>
      <c r="F4" s="1352"/>
      <c r="G4" s="1352"/>
      <c r="H4" s="1352"/>
      <c r="I4" s="1353"/>
    </row>
    <row r="5" spans="1:11" ht="60" customHeight="1" x14ac:dyDescent="0.25">
      <c r="B5" s="348" t="s">
        <v>472</v>
      </c>
      <c r="C5" s="349" t="s">
        <v>473</v>
      </c>
      <c r="D5" s="349" t="s">
        <v>474</v>
      </c>
      <c r="E5" s="349" t="s">
        <v>475</v>
      </c>
      <c r="F5" s="349" t="s">
        <v>476</v>
      </c>
      <c r="G5" s="349" t="s">
        <v>477</v>
      </c>
      <c r="H5" s="347" t="s">
        <v>478</v>
      </c>
      <c r="I5" s="350" t="s">
        <v>479</v>
      </c>
    </row>
    <row r="6" spans="1:11" x14ac:dyDescent="0.25">
      <c r="B6" s="864" t="e">
        <f>'RT03-F12 #'!K89</f>
        <v>#N/A</v>
      </c>
      <c r="C6" s="865" t="e">
        <f>' RT03-F15 #'!C102</f>
        <v>#DIV/0!</v>
      </c>
      <c r="D6" s="865" t="e">
        <f>' RT03-F15 #'!D102</f>
        <v>#N/A</v>
      </c>
      <c r="E6" s="866" t="e">
        <f>D6/B6</f>
        <v>#N/A</v>
      </c>
      <c r="F6" s="1360" t="e">
        <f>MAX(E6:E10)</f>
        <v>#N/A</v>
      </c>
      <c r="G6" s="1366" t="e">
        <f>MIN(E6:E10)</f>
        <v>#N/A</v>
      </c>
      <c r="H6" s="865" t="e">
        <f>'RT03-F12 #'!$M$141+('RT03-F12 #'!$O$141*' CMC #'!B6)</f>
        <v>#DIV/0!</v>
      </c>
      <c r="I6" s="867" t="e">
        <f>H6/B6</f>
        <v>#DIV/0!</v>
      </c>
      <c r="J6" s="873" t="e">
        <f>'RT03-F12 #'!$M$141+(' CMC #'!D21*' CMC #'!B6)</f>
        <v>#DIV/0!</v>
      </c>
    </row>
    <row r="7" spans="1:11" x14ac:dyDescent="0.25">
      <c r="B7" s="864" t="e">
        <f>'RT03-F12 #'!K90</f>
        <v>#N/A</v>
      </c>
      <c r="C7" s="865" t="e">
        <f>' RT03-F15 #'!C103</f>
        <v>#DIV/0!</v>
      </c>
      <c r="D7" s="865" t="e">
        <f>' RT03-F15 #'!D103</f>
        <v>#N/A</v>
      </c>
      <c r="E7" s="866" t="e">
        <f t="shared" ref="E7:E10" si="0">D7/B7</f>
        <v>#N/A</v>
      </c>
      <c r="F7" s="1361"/>
      <c r="G7" s="1367"/>
      <c r="H7" s="865" t="e">
        <f>'RT03-F12 #'!$M$141+('RT03-F12 #'!$O$141*' CMC #'!B7)</f>
        <v>#DIV/0!</v>
      </c>
      <c r="I7" s="867" t="e">
        <f t="shared" ref="I7:I9" si="1">H7/B7</f>
        <v>#DIV/0!</v>
      </c>
      <c r="J7" s="873" t="e">
        <f>'RT03-F12 #'!$M$141+(' CMC #'!D21*' CMC #'!B7)</f>
        <v>#DIV/0!</v>
      </c>
    </row>
    <row r="8" spans="1:11" x14ac:dyDescent="0.25">
      <c r="B8" s="864" t="e">
        <f>'RT03-F12 #'!K91</f>
        <v>#N/A</v>
      </c>
      <c r="C8" s="865" t="e">
        <f>' RT03-F15 #'!C104</f>
        <v>#DIV/0!</v>
      </c>
      <c r="D8" s="865" t="e">
        <f>' RT03-F15 #'!D104</f>
        <v>#N/A</v>
      </c>
      <c r="E8" s="866" t="e">
        <f t="shared" si="0"/>
        <v>#N/A</v>
      </c>
      <c r="F8" s="1361"/>
      <c r="G8" s="1367"/>
      <c r="H8" s="865" t="e">
        <f>'RT03-F12 #'!$M$141+('RT03-F12 #'!$O$141*' CMC #'!B8)</f>
        <v>#DIV/0!</v>
      </c>
      <c r="I8" s="867" t="e">
        <f t="shared" si="1"/>
        <v>#DIV/0!</v>
      </c>
      <c r="J8" s="873" t="e">
        <f>'RT03-F12 #'!$M$141+(' CMC #'!D21*' CMC #'!B8)</f>
        <v>#DIV/0!</v>
      </c>
    </row>
    <row r="9" spans="1:11" x14ac:dyDescent="0.25">
      <c r="B9" s="864" t="e">
        <f>'RT03-F12 #'!K92</f>
        <v>#N/A</v>
      </c>
      <c r="C9" s="868" t="e">
        <f>' RT03-F15 #'!C105</f>
        <v>#DIV/0!</v>
      </c>
      <c r="D9" s="868" t="e">
        <f>' RT03-F15 #'!D105</f>
        <v>#N/A</v>
      </c>
      <c r="E9" s="866" t="e">
        <f t="shared" si="0"/>
        <v>#N/A</v>
      </c>
      <c r="F9" s="1361"/>
      <c r="G9" s="1367"/>
      <c r="H9" s="868" t="e">
        <f>'RT03-F12 #'!$M$141+('RT03-F12 #'!$O$141*' CMC #'!B9)</f>
        <v>#DIV/0!</v>
      </c>
      <c r="I9" s="867" t="e">
        <f t="shared" si="1"/>
        <v>#DIV/0!</v>
      </c>
      <c r="J9" s="873" t="e">
        <f>'RT03-F12 #'!$M$141+(' CMC #'!D21*' CMC #'!B9)</f>
        <v>#DIV/0!</v>
      </c>
    </row>
    <row r="10" spans="1:11" ht="15.75" thickBot="1" x14ac:dyDescent="0.3">
      <c r="B10" s="864" t="e">
        <f>'RT03-F12 #'!K93</f>
        <v>#N/A</v>
      </c>
      <c r="C10" s="869" t="e">
        <f>' RT03-F15 #'!C106</f>
        <v>#DIV/0!</v>
      </c>
      <c r="D10" s="869" t="e">
        <f>' RT03-F15 #'!D106</f>
        <v>#N/A</v>
      </c>
      <c r="E10" s="870" t="e">
        <f t="shared" si="0"/>
        <v>#N/A</v>
      </c>
      <c r="F10" s="1362"/>
      <c r="G10" s="1368"/>
      <c r="H10" s="869" t="e">
        <f>'RT03-F12 #'!$M$141+('RT03-F12 #'!$O$141*' CMC #'!B10)</f>
        <v>#DIV/0!</v>
      </c>
      <c r="I10" s="871" t="e">
        <f>H10/B10</f>
        <v>#DIV/0!</v>
      </c>
      <c r="J10" s="873" t="e">
        <f>'RT03-F12 #'!$M$141+(' CMC #'!D21*' CMC #'!B10)</f>
        <v>#DIV/0!</v>
      </c>
    </row>
    <row r="11" spans="1:11" x14ac:dyDescent="0.25">
      <c r="B11" s="872"/>
      <c r="C11" s="872"/>
      <c r="D11" s="872"/>
      <c r="E11" s="872"/>
      <c r="F11" s="872"/>
      <c r="G11" s="872"/>
    </row>
    <row r="12" spans="1:11" ht="15.75" thickBot="1" x14ac:dyDescent="0.3"/>
    <row r="13" spans="1:11" ht="51" customHeight="1" thickBot="1" x14ac:dyDescent="0.3">
      <c r="B13" s="1339" t="s">
        <v>480</v>
      </c>
      <c r="C13" s="1340"/>
      <c r="D13" s="1340"/>
      <c r="E13" s="1340"/>
      <c r="F13" s="1340"/>
      <c r="G13" s="1340"/>
      <c r="H13" s="1340"/>
      <c r="I13" s="1340"/>
      <c r="J13" s="1340"/>
      <c r="K13" s="1341"/>
    </row>
    <row r="14" spans="1:11" ht="15.75" thickBot="1" x14ac:dyDescent="0.3">
      <c r="B14" s="863" t="s">
        <v>481</v>
      </c>
    </row>
    <row r="15" spans="1:11" ht="60" customHeight="1" x14ac:dyDescent="0.25">
      <c r="B15" s="348" t="s">
        <v>482</v>
      </c>
      <c r="C15" s="882" t="s">
        <v>483</v>
      </c>
      <c r="D15" s="1342" t="s">
        <v>484</v>
      </c>
      <c r="G15" s="1354" t="s">
        <v>485</v>
      </c>
      <c r="H15" s="1357" t="s">
        <v>486</v>
      </c>
    </row>
    <row r="16" spans="1:11" ht="15.95" customHeight="1" x14ac:dyDescent="0.25">
      <c r="B16" s="883">
        <v>200</v>
      </c>
      <c r="C16" s="884">
        <v>1</v>
      </c>
      <c r="D16" s="1343"/>
      <c r="G16" s="1355"/>
      <c r="H16" s="1358"/>
    </row>
    <row r="17" spans="2:15" ht="15.95" customHeight="1" x14ac:dyDescent="0.25">
      <c r="B17" s="885">
        <v>1000</v>
      </c>
      <c r="C17" s="884">
        <v>5</v>
      </c>
      <c r="D17" s="1343"/>
      <c r="G17" s="1355"/>
      <c r="H17" s="1358"/>
    </row>
    <row r="18" spans="2:15" ht="15.95" customHeight="1" x14ac:dyDescent="0.25">
      <c r="B18" s="885">
        <v>2000</v>
      </c>
      <c r="C18" s="886">
        <v>10</v>
      </c>
      <c r="D18" s="1343"/>
      <c r="G18" s="1355"/>
      <c r="H18" s="1358"/>
    </row>
    <row r="19" spans="2:15" ht="15.95" customHeight="1" thickBot="1" x14ac:dyDescent="0.3">
      <c r="B19" s="887">
        <v>5000</v>
      </c>
      <c r="C19" s="888">
        <v>25</v>
      </c>
      <c r="D19" s="1344"/>
      <c r="G19" s="1356"/>
      <c r="H19" s="1359"/>
      <c r="O19" s="873"/>
    </row>
    <row r="20" spans="2:15" ht="15.95" customHeight="1" thickBot="1" x14ac:dyDescent="0.3">
      <c r="B20" s="1345" t="s">
        <v>487</v>
      </c>
      <c r="C20" s="1346"/>
      <c r="D20" s="1347"/>
      <c r="G20" s="874"/>
      <c r="H20" s="875"/>
    </row>
    <row r="21" spans="2:15" ht="15.95" customHeight="1" thickBot="1" x14ac:dyDescent="0.3">
      <c r="B21" s="889">
        <f>SUM(B16:B19)</f>
        <v>8200</v>
      </c>
      <c r="C21" s="890">
        <f>SUM(C16:C19)/1000</f>
        <v>4.1000000000000002E-2</v>
      </c>
      <c r="D21" s="891">
        <f>C21/B21</f>
        <v>5.0000000000000004E-6</v>
      </c>
      <c r="G21" s="876" t="e">
        <f>'RT03-F12 #'!$M$141+(' CMC #'!D21*' CMC #'!B21)</f>
        <v>#DIV/0!</v>
      </c>
      <c r="H21" s="895" t="e">
        <f>G21/B21</f>
        <v>#DIV/0!</v>
      </c>
      <c r="O21" s="877"/>
    </row>
    <row r="22" spans="2:15" ht="15.95" customHeight="1" thickBot="1" x14ac:dyDescent="0.3"/>
    <row r="23" spans="2:15" ht="15.95" customHeight="1" thickBot="1" x14ac:dyDescent="0.3">
      <c r="D23" s="878" t="e">
        <f>MIN(D21,E10,I10)</f>
        <v>#N/A</v>
      </c>
    </row>
    <row r="24" spans="2:15" ht="15.95" customHeight="1" x14ac:dyDescent="0.25"/>
    <row r="25" spans="2:15" ht="15.95" customHeight="1" x14ac:dyDescent="0.25"/>
    <row r="26" spans="2:15" ht="30" customHeight="1" thickBot="1" x14ac:dyDescent="0.3"/>
    <row r="27" spans="2:15" ht="15.95" customHeight="1" thickBot="1" x14ac:dyDescent="0.3">
      <c r="B27" s="1363" t="s">
        <v>470</v>
      </c>
      <c r="C27" s="1364"/>
      <c r="D27" s="1364"/>
      <c r="E27" s="1364"/>
      <c r="F27" s="1364"/>
      <c r="G27" s="1364"/>
      <c r="H27" s="1364"/>
      <c r="I27" s="1364"/>
      <c r="J27" s="1364"/>
      <c r="K27" s="1365"/>
    </row>
    <row r="28" spans="2:15" ht="15.95" customHeight="1" thickBot="1" x14ac:dyDescent="0.3">
      <c r="B28" s="1351" t="s">
        <v>471</v>
      </c>
      <c r="C28" s="1352"/>
      <c r="D28" s="1352"/>
      <c r="E28" s="1352"/>
      <c r="F28" s="1352"/>
      <c r="G28" s="1352"/>
      <c r="H28" s="1352"/>
      <c r="I28" s="1353"/>
    </row>
    <row r="29" spans="2:15" ht="60" customHeight="1" x14ac:dyDescent="0.25">
      <c r="B29" s="348" t="s">
        <v>472</v>
      </c>
      <c r="C29" s="349" t="s">
        <v>473</v>
      </c>
      <c r="D29" s="349" t="s">
        <v>474</v>
      </c>
      <c r="E29" s="349" t="s">
        <v>475</v>
      </c>
      <c r="F29" s="349" t="s">
        <v>476</v>
      </c>
      <c r="G29" s="349" t="s">
        <v>477</v>
      </c>
      <c r="H29" s="347" t="s">
        <v>478</v>
      </c>
      <c r="I29" s="350" t="s">
        <v>479</v>
      </c>
    </row>
    <row r="30" spans="2:15" ht="15.95" customHeight="1" x14ac:dyDescent="0.25">
      <c r="B30" s="864" t="e">
        <f>'RT03-F12 #'!K89</f>
        <v>#N/A</v>
      </c>
      <c r="C30" s="865" t="e">
        <f>' RT03-F15 #'!C102</f>
        <v>#DIV/0!</v>
      </c>
      <c r="D30" s="865" t="e">
        <f>' RT03-F15 #'!D102</f>
        <v>#N/A</v>
      </c>
      <c r="E30" s="866" t="e">
        <f>D30/B30</f>
        <v>#N/A</v>
      </c>
      <c r="F30" s="1360" t="e">
        <f>MAX(E30:E34)</f>
        <v>#N/A</v>
      </c>
      <c r="G30" s="1366" t="e">
        <f>MIN(E30:E34)</f>
        <v>#N/A</v>
      </c>
      <c r="H30" s="865" t="e">
        <f>'RT03-F12 #'!$M$141+('RT03-F12 #'!$O$141*' CMC #'!B30)</f>
        <v>#DIV/0!</v>
      </c>
      <c r="I30" s="867" t="e">
        <f>H30/B30</f>
        <v>#DIV/0!</v>
      </c>
    </row>
    <row r="31" spans="2:15" ht="15.95" customHeight="1" x14ac:dyDescent="0.25">
      <c r="B31" s="864" t="e">
        <f>'RT03-F12 #'!K90</f>
        <v>#N/A</v>
      </c>
      <c r="C31" s="865" t="e">
        <f>' RT03-F15 #'!C103</f>
        <v>#DIV/0!</v>
      </c>
      <c r="D31" s="865" t="e">
        <f>' RT03-F15 #'!D103</f>
        <v>#N/A</v>
      </c>
      <c r="E31" s="866" t="e">
        <f>D31/B31</f>
        <v>#N/A</v>
      </c>
      <c r="F31" s="1361"/>
      <c r="G31" s="1367"/>
      <c r="H31" s="865" t="e">
        <f>'RT03-F12 #'!$M$141+('RT03-F12 #'!$O$141*' CMC #'!B31)</f>
        <v>#DIV/0!</v>
      </c>
      <c r="I31" s="867" t="e">
        <f t="shared" ref="I31:I33" si="2">H31/B31</f>
        <v>#DIV/0!</v>
      </c>
    </row>
    <row r="32" spans="2:15" ht="15.95" customHeight="1" x14ac:dyDescent="0.25">
      <c r="B32" s="864" t="e">
        <f>'RT03-F12 #'!K91</f>
        <v>#N/A</v>
      </c>
      <c r="C32" s="865" t="e">
        <f>' RT03-F15 #'!C104</f>
        <v>#DIV/0!</v>
      </c>
      <c r="D32" s="865" t="e">
        <f>' RT03-F15 #'!D104</f>
        <v>#N/A</v>
      </c>
      <c r="E32" s="866" t="e">
        <f>D32/B32</f>
        <v>#N/A</v>
      </c>
      <c r="F32" s="1361"/>
      <c r="G32" s="1367"/>
      <c r="H32" s="865" t="e">
        <f>'RT03-F12 #'!$M$141+('RT03-F12 #'!$O$141*' CMC #'!B32)</f>
        <v>#DIV/0!</v>
      </c>
      <c r="I32" s="867" t="e">
        <f t="shared" si="2"/>
        <v>#DIV/0!</v>
      </c>
    </row>
    <row r="33" spans="2:11" ht="15.95" customHeight="1" x14ac:dyDescent="0.25">
      <c r="B33" s="864" t="e">
        <f>'RT03-F12 #'!K92</f>
        <v>#N/A</v>
      </c>
      <c r="C33" s="865" t="e">
        <f>' RT03-F15 #'!C105</f>
        <v>#DIV/0!</v>
      </c>
      <c r="D33" s="868" t="e">
        <f>' RT03-F15 #'!D105</f>
        <v>#N/A</v>
      </c>
      <c r="E33" s="866" t="e">
        <f>D33/B33</f>
        <v>#N/A</v>
      </c>
      <c r="F33" s="1361"/>
      <c r="G33" s="1367"/>
      <c r="H33" s="868" t="e">
        <f>'RT03-F12 #'!$M$141+('RT03-F12 #'!$O$141*' CMC #'!B33)</f>
        <v>#DIV/0!</v>
      </c>
      <c r="I33" s="867" t="e">
        <f t="shared" si="2"/>
        <v>#DIV/0!</v>
      </c>
    </row>
    <row r="34" spans="2:11" ht="15.95" customHeight="1" thickBot="1" x14ac:dyDescent="0.3">
      <c r="B34" s="864" t="e">
        <f>'RT03-F12 #'!K93</f>
        <v>#N/A</v>
      </c>
      <c r="C34" s="865" t="e">
        <f>' RT03-F15 #'!C106</f>
        <v>#DIV/0!</v>
      </c>
      <c r="D34" s="868" t="e">
        <f>' RT03-F15 #'!D106</f>
        <v>#N/A</v>
      </c>
      <c r="E34" s="870" t="e">
        <f>D34/B34</f>
        <v>#N/A</v>
      </c>
      <c r="F34" s="1362"/>
      <c r="G34" s="1368"/>
      <c r="H34" s="869" t="e">
        <f>'RT03-F12 #'!$M$141+('RT03-F12 #'!$O$141*' CMC #'!B34)</f>
        <v>#DIV/0!</v>
      </c>
      <c r="I34" s="871" t="e">
        <f>H34/B34</f>
        <v>#DIV/0!</v>
      </c>
    </row>
    <row r="35" spans="2:11" ht="15.95" customHeight="1" x14ac:dyDescent="0.25"/>
    <row r="36" spans="2:11" ht="15.95" customHeight="1" thickBot="1" x14ac:dyDescent="0.3"/>
    <row r="37" spans="2:11" ht="60" customHeight="1" thickBot="1" x14ac:dyDescent="0.3">
      <c r="B37" s="1339" t="s">
        <v>480</v>
      </c>
      <c r="C37" s="1340"/>
      <c r="D37" s="1340"/>
      <c r="E37" s="1340"/>
      <c r="F37" s="1340"/>
      <c r="G37" s="1340"/>
      <c r="H37" s="1340"/>
      <c r="I37" s="1340"/>
      <c r="J37" s="1340"/>
      <c r="K37" s="1341"/>
    </row>
    <row r="38" spans="2:11" ht="15.95" customHeight="1" thickBot="1" x14ac:dyDescent="0.3"/>
    <row r="39" spans="2:11" ht="15.95" customHeight="1" thickBot="1" x14ac:dyDescent="0.3">
      <c r="B39" s="879" t="s">
        <v>488</v>
      </c>
    </row>
    <row r="40" spans="2:11" ht="60" customHeight="1" x14ac:dyDescent="0.25">
      <c r="B40" s="348" t="s">
        <v>482</v>
      </c>
      <c r="C40" s="882" t="s">
        <v>483</v>
      </c>
      <c r="D40" s="1342" t="s">
        <v>484</v>
      </c>
      <c r="G40" s="1342" t="s">
        <v>485</v>
      </c>
      <c r="H40" s="1342" t="s">
        <v>486</v>
      </c>
    </row>
    <row r="41" spans="2:11" ht="15.95" customHeight="1" x14ac:dyDescent="0.25">
      <c r="B41" s="883">
        <v>10000</v>
      </c>
      <c r="C41" s="892">
        <v>50</v>
      </c>
      <c r="D41" s="1343"/>
      <c r="G41" s="1343"/>
      <c r="H41" s="1343"/>
    </row>
    <row r="42" spans="2:11" ht="15.95" customHeight="1" thickBot="1" x14ac:dyDescent="0.3">
      <c r="B42" s="887">
        <v>2000</v>
      </c>
      <c r="C42" s="893">
        <v>10</v>
      </c>
      <c r="D42" s="1344"/>
      <c r="G42" s="1344"/>
      <c r="H42" s="1344"/>
    </row>
    <row r="43" spans="2:11" ht="15.95" customHeight="1" thickBot="1" x14ac:dyDescent="0.3">
      <c r="B43" s="1345" t="s">
        <v>487</v>
      </c>
      <c r="C43" s="1346"/>
      <c r="D43" s="1347"/>
      <c r="G43" s="749"/>
      <c r="H43" s="750"/>
    </row>
    <row r="44" spans="2:11" ht="15.95" customHeight="1" thickBot="1" x14ac:dyDescent="0.3">
      <c r="B44" s="889">
        <f>B41+B42</f>
        <v>12000</v>
      </c>
      <c r="C44" s="894">
        <f>(C41+C42)/1000</f>
        <v>0.06</v>
      </c>
      <c r="D44" s="891">
        <f>C44/B44</f>
        <v>4.9999999999999996E-6</v>
      </c>
      <c r="G44" s="880" t="e">
        <f>'RT03-F12 #'!$M$141+(' CMC #'!D44*' CMC #'!B44)</f>
        <v>#DIV/0!</v>
      </c>
      <c r="H44" s="895" t="e">
        <f>G44/B44</f>
        <v>#DIV/0!</v>
      </c>
    </row>
    <row r="45" spans="2:11" ht="15.95" customHeight="1" thickBot="1" x14ac:dyDescent="0.3"/>
    <row r="46" spans="2:11" ht="15.95" customHeight="1" thickBot="1" x14ac:dyDescent="0.3">
      <c r="D46" s="878" t="e">
        <f>MIN(D44,E34,I34)</f>
        <v>#N/A</v>
      </c>
    </row>
    <row r="47" spans="2:11" ht="15.95" customHeight="1" x14ac:dyDescent="0.25"/>
    <row r="48" spans="2:11" ht="15.95" customHeight="1" x14ac:dyDescent="0.25"/>
    <row r="49" ht="15.95" customHeight="1" x14ac:dyDescent="0.25"/>
    <row r="50" ht="15.95" customHeight="1" x14ac:dyDescent="0.25"/>
    <row r="51" ht="15.95" customHeight="1" x14ac:dyDescent="0.25"/>
    <row r="52" ht="15.95" customHeight="1" x14ac:dyDescent="0.25"/>
    <row r="53" ht="60"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sheetData>
  <sheetProtection algorithmName="SHA-512" hashValue="d7D7ik2zs5Yi6s/m/HDx3ZhzpTTI+KrYUkuNHY+wCN+Lvcbxr/3LbZt8EaOVkPd0iYUXjrwc69dC7RuHbSUO6w==" saltValue="ZQEpFfNBoPBwRrn/thIFKw==" spinCount="100000" sheet="1" objects="1" scenarios="1"/>
  <mergeCells count="20">
    <mergeCell ref="B28:I28"/>
    <mergeCell ref="F30:F34"/>
    <mergeCell ref="B27:K27"/>
    <mergeCell ref="B3:K3"/>
    <mergeCell ref="B20:D20"/>
    <mergeCell ref="D15:D19"/>
    <mergeCell ref="F6:F10"/>
    <mergeCell ref="G6:G10"/>
    <mergeCell ref="B13:K13"/>
    <mergeCell ref="G30:G34"/>
    <mergeCell ref="A1:C1"/>
    <mergeCell ref="D1:K1"/>
    <mergeCell ref="B4:I4"/>
    <mergeCell ref="G15:G19"/>
    <mergeCell ref="H15:H19"/>
    <mergeCell ref="B37:K37"/>
    <mergeCell ref="G40:G42"/>
    <mergeCell ref="H40:H42"/>
    <mergeCell ref="B43:D43"/>
    <mergeCell ref="D40:D42"/>
  </mergeCells>
  <pageMargins left="0.70866141732283472" right="0.70866141732283472" top="0.74803149606299213" bottom="0.74803149606299213" header="0.31496062992125984" footer="0.31496062992125984"/>
  <pageSetup scale="10" orientation="landscape" r:id="rId1"/>
  <headerFooter>
    <oddFooter>&amp;RRT03-F12 Vr.14 (2022-03-18)
Página &amp;P de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Q11"/>
  <sheetViews>
    <sheetView showGridLines="0" view="pageBreakPreview" zoomScale="70" zoomScaleNormal="80" zoomScaleSheetLayoutView="70" workbookViewId="0">
      <selection activeCell="AC181" sqref="AC181"/>
    </sheetView>
  </sheetViews>
  <sheetFormatPr baseColWidth="10" defaultColWidth="11.42578125" defaultRowHeight="15" x14ac:dyDescent="0.25"/>
  <cols>
    <col min="3" max="9" width="15.5703125" customWidth="1"/>
    <col min="10" max="10" width="17.42578125" customWidth="1"/>
    <col min="11" max="13" width="18.7109375" customWidth="1"/>
    <col min="14" max="14" width="17.42578125" customWidth="1"/>
  </cols>
  <sheetData>
    <row r="1" spans="1:17" s="275" customFormat="1" ht="30" customHeight="1" x14ac:dyDescent="0.2">
      <c r="A1" s="1369"/>
      <c r="B1" s="1369"/>
      <c r="C1" s="1369"/>
      <c r="D1" s="1369"/>
      <c r="E1" s="1372" t="s">
        <v>0</v>
      </c>
      <c r="F1" s="1372"/>
      <c r="G1" s="1372"/>
      <c r="H1" s="1372"/>
      <c r="I1" s="1372"/>
      <c r="J1" s="1372"/>
      <c r="K1" s="1372"/>
      <c r="L1" s="1372"/>
      <c r="M1" s="1372"/>
      <c r="N1" s="1372"/>
      <c r="O1" s="1372"/>
      <c r="P1" s="1372"/>
      <c r="Q1" s="1372"/>
    </row>
    <row r="2" spans="1:17" s="275" customFormat="1" ht="30" customHeight="1" x14ac:dyDescent="0.2">
      <c r="A2" s="1370"/>
      <c r="B2" s="1370"/>
      <c r="C2" s="1370"/>
      <c r="D2" s="1370"/>
      <c r="E2" s="1373"/>
      <c r="F2" s="1373"/>
      <c r="G2" s="1373"/>
      <c r="H2" s="1373"/>
      <c r="I2" s="1373"/>
      <c r="J2" s="1373"/>
      <c r="K2" s="1373"/>
      <c r="L2" s="1373"/>
      <c r="M2" s="1373"/>
      <c r="N2" s="1373"/>
      <c r="O2" s="1373"/>
      <c r="P2" s="1373"/>
      <c r="Q2" s="1373"/>
    </row>
    <row r="3" spans="1:17" s="275" customFormat="1" ht="30" customHeight="1" x14ac:dyDescent="0.2">
      <c r="A3" s="1371"/>
      <c r="B3" s="1371"/>
      <c r="C3" s="1371"/>
      <c r="D3" s="1371"/>
      <c r="E3" s="1374"/>
      <c r="F3" s="1374"/>
      <c r="G3" s="1374"/>
      <c r="H3" s="1374"/>
      <c r="I3" s="1374"/>
      <c r="J3" s="1374"/>
      <c r="K3" s="1374"/>
      <c r="L3" s="1374"/>
      <c r="M3" s="1374"/>
      <c r="N3" s="1374"/>
      <c r="O3" s="1374"/>
      <c r="P3" s="1374"/>
      <c r="Q3" s="1374"/>
    </row>
    <row r="5" spans="1:17" ht="15.75" thickBot="1" x14ac:dyDescent="0.3"/>
    <row r="6" spans="1:17" ht="63.75" thickBot="1" x14ac:dyDescent="0.3">
      <c r="A6" s="1375" t="s">
        <v>292</v>
      </c>
      <c r="B6" s="1376"/>
      <c r="C6" s="351" t="s">
        <v>293</v>
      </c>
      <c r="D6" s="352" t="s">
        <v>489</v>
      </c>
      <c r="E6" s="387" t="s">
        <v>490</v>
      </c>
      <c r="F6" s="387" t="s">
        <v>491</v>
      </c>
      <c r="G6" s="388" t="s">
        <v>492</v>
      </c>
      <c r="H6" s="388" t="s">
        <v>493</v>
      </c>
      <c r="I6" s="388" t="s">
        <v>493</v>
      </c>
      <c r="J6" s="388" t="s">
        <v>494</v>
      </c>
      <c r="K6" s="388" t="s">
        <v>495</v>
      </c>
      <c r="L6" s="388" t="s">
        <v>496</v>
      </c>
      <c r="M6" s="388" t="s">
        <v>497</v>
      </c>
      <c r="N6" s="389" t="s">
        <v>498</v>
      </c>
      <c r="P6" s="357">
        <v>1</v>
      </c>
      <c r="Q6" s="357">
        <v>-1</v>
      </c>
    </row>
    <row r="7" spans="1:17" ht="30" customHeight="1" x14ac:dyDescent="0.25">
      <c r="A7" s="1377" t="s">
        <v>295</v>
      </c>
      <c r="B7" s="1378"/>
      <c r="C7" s="353" t="e">
        <f>' RT03-F15 #'!D114</f>
        <v>#N/A</v>
      </c>
      <c r="D7" s="397">
        <v>1</v>
      </c>
      <c r="E7" s="399" t="e">
        <f>'RT03-F12 #'!K89</f>
        <v>#N/A</v>
      </c>
      <c r="F7" s="381" t="e">
        <f>' RT03-F15 #'!C102</f>
        <v>#DIV/0!</v>
      </c>
      <c r="G7" s="381" t="e">
        <f>' RT03-F15 #'!D102</f>
        <v>#N/A</v>
      </c>
      <c r="H7" s="354">
        <v>-1</v>
      </c>
      <c r="I7" s="354">
        <v>1</v>
      </c>
      <c r="J7" s="355" t="e">
        <f>_xlfn.NORM.S.DIST(M7,1)</f>
        <v>#DIV/0!</v>
      </c>
      <c r="K7" s="391" t="e">
        <f>1-J7</f>
        <v>#DIV/0!</v>
      </c>
      <c r="L7" s="381" t="e">
        <f>ABS(F7)</f>
        <v>#DIV/0!</v>
      </c>
      <c r="M7" s="396" t="e">
        <f>(I7-L7)/(G7/2)</f>
        <v>#DIV/0!</v>
      </c>
      <c r="N7" s="392" t="e">
        <f>IF(AND(J7&gt;=97.5%,K7&lt;=2.5%),"SI","NO")</f>
        <v>#DIV/0!</v>
      </c>
      <c r="P7" s="357">
        <v>1</v>
      </c>
      <c r="Q7" s="357">
        <v>-1</v>
      </c>
    </row>
    <row r="8" spans="1:17" ht="30" customHeight="1" thickBot="1" x14ac:dyDescent="0.3">
      <c r="A8" s="1379" t="s">
        <v>297</v>
      </c>
      <c r="B8" s="1380"/>
      <c r="C8" s="356" t="e">
        <f>' RT03-F15 #'!D115</f>
        <v>#N/A</v>
      </c>
      <c r="D8" s="398">
        <v>2</v>
      </c>
      <c r="E8" s="400" t="e">
        <f>'RT03-F12 #'!K90</f>
        <v>#N/A</v>
      </c>
      <c r="F8" s="378" t="e">
        <f>' RT03-F15 #'!C103</f>
        <v>#DIV/0!</v>
      </c>
      <c r="G8" s="378" t="e">
        <f>' RT03-F15 #'!D103</f>
        <v>#N/A</v>
      </c>
      <c r="H8" s="357">
        <v>-1</v>
      </c>
      <c r="I8" s="357">
        <v>1</v>
      </c>
      <c r="J8" s="379" t="e">
        <f t="shared" ref="J8:J11" si="0">_xlfn.NORM.S.DIST(M8,1)</f>
        <v>#DIV/0!</v>
      </c>
      <c r="K8" s="390" t="e">
        <f t="shared" ref="K8:K11" si="1">1-J8</f>
        <v>#DIV/0!</v>
      </c>
      <c r="L8" s="378" t="e">
        <f t="shared" ref="L8:L11" si="2">ABS(F8)</f>
        <v>#DIV/0!</v>
      </c>
      <c r="M8" s="380" t="e">
        <f t="shared" ref="M8:M11" si="3">(I8-L8)/(G8/2)</f>
        <v>#DIV/0!</v>
      </c>
      <c r="N8" s="393" t="e">
        <f>IF(AND(J8&gt;=97.5%,K8&lt;=2.5%),"SI","NO")</f>
        <v>#DIV/0!</v>
      </c>
      <c r="P8" s="357">
        <v>1</v>
      </c>
      <c r="Q8" s="357">
        <v>-1</v>
      </c>
    </row>
    <row r="9" spans="1:17" ht="30" customHeight="1" x14ac:dyDescent="0.25">
      <c r="E9" s="400" t="e">
        <f>'RT03-F12 #'!K91</f>
        <v>#N/A</v>
      </c>
      <c r="F9" s="378" t="e">
        <f>' RT03-F15 #'!C104</f>
        <v>#DIV/0!</v>
      </c>
      <c r="G9" s="384" t="e">
        <f>' RT03-F15 #'!D104</f>
        <v>#N/A</v>
      </c>
      <c r="H9" s="357">
        <v>-1</v>
      </c>
      <c r="I9" s="357">
        <v>1</v>
      </c>
      <c r="J9" s="379" t="e">
        <f t="shared" si="0"/>
        <v>#DIV/0!</v>
      </c>
      <c r="K9" s="390" t="e">
        <f t="shared" si="1"/>
        <v>#DIV/0!</v>
      </c>
      <c r="L9" s="378" t="e">
        <f t="shared" si="2"/>
        <v>#DIV/0!</v>
      </c>
      <c r="M9" s="380" t="e">
        <f t="shared" si="3"/>
        <v>#DIV/0!</v>
      </c>
      <c r="N9" s="393" t="e">
        <f>IF(AND(J9&gt;=97.5%,K9&lt;=2.5%),"SI","NO")</f>
        <v>#DIV/0!</v>
      </c>
      <c r="P9" s="357">
        <v>1</v>
      </c>
      <c r="Q9" s="357">
        <v>-1</v>
      </c>
    </row>
    <row r="10" spans="1:17" ht="30" customHeight="1" x14ac:dyDescent="0.25">
      <c r="E10" s="400" t="e">
        <f>'RT03-F12 #'!K92</f>
        <v>#N/A</v>
      </c>
      <c r="F10" s="378" t="e">
        <f>' RT03-F15 #'!C105</f>
        <v>#DIV/0!</v>
      </c>
      <c r="G10" s="384" t="e">
        <f>' RT03-F15 #'!D105</f>
        <v>#N/A</v>
      </c>
      <c r="H10" s="357">
        <v>-2</v>
      </c>
      <c r="I10" s="357">
        <v>2</v>
      </c>
      <c r="J10" s="379" t="e">
        <f t="shared" si="0"/>
        <v>#DIV/0!</v>
      </c>
      <c r="K10" s="390" t="e">
        <f t="shared" si="1"/>
        <v>#DIV/0!</v>
      </c>
      <c r="L10" s="378" t="e">
        <f t="shared" si="2"/>
        <v>#DIV/0!</v>
      </c>
      <c r="M10" s="380" t="e">
        <f t="shared" si="3"/>
        <v>#DIV/0!</v>
      </c>
      <c r="N10" s="393" t="e">
        <f>IF(AND(J10&gt;=97.5%,K10&lt;=2.5%),"SI","NO")</f>
        <v>#DIV/0!</v>
      </c>
      <c r="P10" s="357">
        <v>2</v>
      </c>
      <c r="Q10" s="357">
        <v>-2</v>
      </c>
    </row>
    <row r="11" spans="1:17" ht="30" customHeight="1" thickBot="1" x14ac:dyDescent="0.3">
      <c r="E11" s="401" t="e">
        <f>'RT03-F12 #'!K93</f>
        <v>#N/A</v>
      </c>
      <c r="F11" s="382" t="e">
        <f>' RT03-F15 #'!C106</f>
        <v>#DIV/0!</v>
      </c>
      <c r="G11" s="385" t="e">
        <f>' RT03-F15 #'!D106</f>
        <v>#N/A</v>
      </c>
      <c r="H11" s="358">
        <v>-2</v>
      </c>
      <c r="I11" s="358">
        <v>2</v>
      </c>
      <c r="J11" s="383" t="e">
        <f t="shared" si="0"/>
        <v>#DIV/0!</v>
      </c>
      <c r="K11" s="394" t="e">
        <f t="shared" si="1"/>
        <v>#DIV/0!</v>
      </c>
      <c r="L11" s="382" t="e">
        <f t="shared" si="2"/>
        <v>#DIV/0!</v>
      </c>
      <c r="M11" s="386" t="e">
        <f t="shared" si="3"/>
        <v>#DIV/0!</v>
      </c>
      <c r="N11" s="395" t="e">
        <f>IF(AND(J11&gt;=97.5%,K11&lt;=2.5%),"SI","NO")</f>
        <v>#DIV/0!</v>
      </c>
      <c r="P11" s="357">
        <v>2</v>
      </c>
      <c r="Q11" s="357">
        <v>-2</v>
      </c>
    </row>
  </sheetData>
  <sheetProtection algorithmName="SHA-512" hashValue="iWZuo6TY53UBivUV2uVg7mBzwAykMZ0OEtLcM4pCs0x9wF03PmxdJmwMRii+ouMeMbSMDKqv0jxkm7hxmgJ+lQ==" saltValue="qTQ0E8aG5llz5vnE/ihXkw==" spinCount="100000" sheet="1" objects="1" scenarios="1"/>
  <mergeCells count="5">
    <mergeCell ref="A1:D3"/>
    <mergeCell ref="E1:Q3"/>
    <mergeCell ref="A6:B6"/>
    <mergeCell ref="A7:B7"/>
    <mergeCell ref="A8:B8"/>
  </mergeCells>
  <pageMargins left="0.70866141732283472" right="0.70866141732283472" top="0.74803149606299213" bottom="0.74803149606299213" header="0.31496062992125984" footer="0.31496062992125984"/>
  <pageSetup scale="10" orientation="landscape" r:id="rId1"/>
  <headerFooter>
    <oddFooter>&amp;RRT03-F12 Vr.14 (2022-03-18)
Página &amp;P de 3</oddFooter>
  </headerFooter>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V43"/>
  <sheetViews>
    <sheetView showGridLines="0" tabSelected="1" view="pageBreakPreview" zoomScale="80" zoomScaleNormal="30" zoomScaleSheetLayoutView="80" workbookViewId="0">
      <selection activeCell="F8" sqref="F8"/>
    </sheetView>
  </sheetViews>
  <sheetFormatPr baseColWidth="10" defaultColWidth="11.42578125" defaultRowHeight="15" x14ac:dyDescent="0.2"/>
  <cols>
    <col min="1" max="5" width="26.7109375" style="275" customWidth="1"/>
    <col min="6" max="16384" width="11.42578125" style="275"/>
  </cols>
  <sheetData>
    <row r="1" spans="1:22" ht="98.45" customHeight="1" x14ac:dyDescent="0.2">
      <c r="A1" s="1384"/>
      <c r="B1" s="1384"/>
      <c r="C1" s="1393" t="s">
        <v>0</v>
      </c>
      <c r="D1" s="1394"/>
      <c r="E1" s="1394"/>
      <c r="F1" s="1394"/>
      <c r="G1" s="1394"/>
      <c r="H1" s="1394"/>
      <c r="I1" s="1395"/>
      <c r="J1" s="857"/>
      <c r="K1" s="857"/>
      <c r="L1" s="857"/>
      <c r="M1" s="857"/>
      <c r="N1" s="857"/>
      <c r="O1" s="857"/>
      <c r="P1" s="857"/>
      <c r="Q1" s="857"/>
      <c r="R1" s="857"/>
      <c r="S1" s="857"/>
      <c r="T1" s="857"/>
      <c r="U1" s="857"/>
      <c r="V1" s="857"/>
    </row>
    <row r="2" spans="1:22" ht="15.95" customHeight="1" thickBot="1" x14ac:dyDescent="0.25">
      <c r="A2" s="857"/>
      <c r="B2" s="857"/>
      <c r="C2" s="857"/>
      <c r="D2" s="857"/>
      <c r="E2" s="857"/>
      <c r="F2" s="857"/>
      <c r="G2" s="857"/>
      <c r="H2" s="857"/>
      <c r="I2" s="857"/>
      <c r="J2" s="857"/>
      <c r="K2" s="857"/>
      <c r="L2" s="857"/>
      <c r="M2" s="857"/>
      <c r="N2" s="857"/>
      <c r="O2" s="857"/>
      <c r="P2" s="857"/>
      <c r="Q2" s="857"/>
      <c r="R2" s="857"/>
      <c r="S2" s="857"/>
      <c r="T2" s="857"/>
      <c r="U2" s="857"/>
      <c r="V2" s="857"/>
    </row>
    <row r="3" spans="1:22" ht="15" customHeight="1" x14ac:dyDescent="0.2">
      <c r="A3" s="1387" t="s">
        <v>499</v>
      </c>
      <c r="B3" s="1388"/>
      <c r="C3" s="1388"/>
      <c r="D3" s="1388"/>
      <c r="E3" s="1388"/>
      <c r="F3" s="1388"/>
      <c r="G3" s="1388"/>
      <c r="H3" s="1388"/>
      <c r="I3" s="1389"/>
      <c r="J3" s="822"/>
      <c r="K3" s="822"/>
      <c r="L3" s="822"/>
      <c r="M3" s="822"/>
      <c r="N3" s="822"/>
      <c r="O3" s="822"/>
      <c r="P3" s="822"/>
      <c r="Q3" s="822"/>
      <c r="R3" s="822"/>
      <c r="S3" s="822"/>
      <c r="T3" s="822"/>
      <c r="U3" s="822"/>
      <c r="V3" s="822"/>
    </row>
    <row r="4" spans="1:22" ht="44.25" customHeight="1" thickBot="1" x14ac:dyDescent="0.25">
      <c r="A4" s="1390"/>
      <c r="B4" s="1391"/>
      <c r="C4" s="1391"/>
      <c r="D4" s="1391"/>
      <c r="E4" s="1391"/>
      <c r="F4" s="1391"/>
      <c r="G4" s="1391"/>
      <c r="H4" s="1391"/>
      <c r="I4" s="1392"/>
      <c r="J4" s="822"/>
      <c r="K4" s="822"/>
      <c r="L4" s="822"/>
      <c r="M4" s="822"/>
      <c r="N4" s="822"/>
      <c r="O4" s="822"/>
      <c r="P4" s="822"/>
      <c r="Q4" s="822"/>
      <c r="R4" s="822"/>
      <c r="S4" s="822"/>
      <c r="T4" s="822"/>
      <c r="U4" s="822"/>
      <c r="V4" s="822"/>
    </row>
    <row r="5" spans="1:22" s="277" customFormat="1" ht="46.5" customHeight="1" thickBot="1" x14ac:dyDescent="0.25">
      <c r="A5" s="332"/>
      <c r="B5" s="823" t="s">
        <v>500</v>
      </c>
      <c r="C5" s="823" t="s">
        <v>501</v>
      </c>
      <c r="D5" s="276"/>
      <c r="E5" s="276"/>
      <c r="H5" s="1385" t="s">
        <v>502</v>
      </c>
      <c r="I5" s="1386"/>
    </row>
    <row r="6" spans="1:22" s="278" customFormat="1" ht="30" customHeight="1" thickBot="1" x14ac:dyDescent="0.3">
      <c r="A6" s="324" t="s">
        <v>291</v>
      </c>
      <c r="B6" s="778">
        <f>'RT03-F12 #'!C32</f>
        <v>0</v>
      </c>
      <c r="C6" s="778">
        <f>'RT03-F12 #'!C62</f>
        <v>0</v>
      </c>
      <c r="D6" s="325" t="s">
        <v>503</v>
      </c>
      <c r="E6" s="326">
        <f>'RT03-F12 #'!K28</f>
        <v>0</v>
      </c>
      <c r="F6" s="858"/>
      <c r="G6" s="858"/>
      <c r="H6" s="701" t="s">
        <v>504</v>
      </c>
      <c r="I6" s="702" t="s">
        <v>505</v>
      </c>
      <c r="J6" s="858"/>
      <c r="K6" s="858"/>
      <c r="L6" s="858"/>
      <c r="M6" s="858"/>
      <c r="N6" s="858"/>
      <c r="O6" s="858"/>
      <c r="P6" s="858"/>
      <c r="Q6" s="858"/>
      <c r="R6" s="858"/>
      <c r="S6" s="858"/>
      <c r="T6" s="858"/>
      <c r="U6" s="858"/>
      <c r="V6" s="858"/>
    </row>
    <row r="7" spans="1:22" s="278" customFormat="1" ht="30" customHeight="1" thickBot="1" x14ac:dyDescent="0.3">
      <c r="A7" s="327" t="s">
        <v>506</v>
      </c>
      <c r="B7" s="374" t="s">
        <v>1</v>
      </c>
      <c r="C7" s="374" t="s">
        <v>233</v>
      </c>
      <c r="D7" s="374" t="s">
        <v>234</v>
      </c>
      <c r="E7" s="375" t="s">
        <v>235</v>
      </c>
      <c r="F7" s="858"/>
      <c r="G7" s="858"/>
      <c r="H7" s="703">
        <v>15</v>
      </c>
      <c r="I7" s="704">
        <v>35</v>
      </c>
      <c r="J7" s="858"/>
      <c r="K7" s="858"/>
      <c r="L7" s="858"/>
      <c r="M7" s="858"/>
      <c r="N7" s="858"/>
      <c r="O7" s="858"/>
      <c r="P7" s="858"/>
      <c r="Q7" s="858"/>
      <c r="R7" s="858"/>
      <c r="S7" s="858"/>
      <c r="T7" s="858"/>
      <c r="U7" s="858"/>
      <c r="V7" s="858"/>
    </row>
    <row r="8" spans="1:22" s="278" customFormat="1" ht="48" customHeight="1" x14ac:dyDescent="0.25">
      <c r="A8" s="1381" t="e">
        <f>'RT03-F12 #'!F6</f>
        <v>#N/A</v>
      </c>
      <c r="B8" s="328" t="s">
        <v>507</v>
      </c>
      <c r="C8" s="759"/>
      <c r="D8" s="330"/>
      <c r="E8" s="331"/>
      <c r="F8" s="858"/>
      <c r="G8" s="858"/>
      <c r="H8" s="701" t="s">
        <v>508</v>
      </c>
      <c r="I8" s="702" t="s">
        <v>509</v>
      </c>
      <c r="J8" s="858"/>
      <c r="K8" s="858"/>
      <c r="L8" s="858"/>
      <c r="M8" s="858"/>
      <c r="N8" s="858"/>
      <c r="O8" s="858"/>
      <c r="P8" s="858"/>
      <c r="Q8" s="858"/>
      <c r="R8" s="858"/>
      <c r="S8" s="858"/>
      <c r="T8" s="858"/>
      <c r="U8" s="858"/>
      <c r="V8" s="858"/>
    </row>
    <row r="9" spans="1:22" s="278" customFormat="1" ht="48" customHeight="1" thickBot="1" x14ac:dyDescent="0.3">
      <c r="A9" s="1382"/>
      <c r="B9" s="377" t="s">
        <v>510</v>
      </c>
      <c r="C9" s="760"/>
      <c r="D9" s="761"/>
      <c r="E9" s="762"/>
      <c r="F9" s="858"/>
      <c r="G9" s="858"/>
      <c r="H9" s="703">
        <v>30</v>
      </c>
      <c r="I9" s="704">
        <v>80</v>
      </c>
      <c r="J9" s="858"/>
      <c r="K9" s="858"/>
      <c r="L9" s="858"/>
      <c r="M9" s="858"/>
      <c r="N9" s="858"/>
      <c r="O9" s="858"/>
      <c r="P9" s="858"/>
      <c r="Q9" s="858"/>
      <c r="R9" s="858"/>
      <c r="S9" s="858"/>
      <c r="T9" s="858"/>
      <c r="U9" s="858"/>
      <c r="V9" s="858"/>
    </row>
    <row r="10" spans="1:22" s="278" customFormat="1" ht="48" customHeight="1" x14ac:dyDescent="0.25">
      <c r="A10" s="1382"/>
      <c r="B10" s="377" t="s">
        <v>511</v>
      </c>
      <c r="C10" s="756" t="e">
        <f>C8+(VLOOKUP('RT03-F12 #'!K28,'DATOS # '!H189:U195,9,FALSE))*C8+(VLOOKUP('RT03-F12 #'!K28,'DATOS # '!H189:U195,10,FALSE))</f>
        <v>#N/A</v>
      </c>
      <c r="D10" s="757" t="e">
        <f>D8+(VLOOKUP('RT03-F12 #'!K28,'DATOS # '!H189:U195,11,FALSE))*D8+(VLOOKUP('RT03-F12 #'!K28,'DATOS # '!H189:U195,12,FALSE))</f>
        <v>#N/A</v>
      </c>
      <c r="E10" s="758" t="e">
        <f>E8+(VLOOKUP('RT03-F12 #'!K28,'DATOS # '!H189:U195,13,FALSE))*E8+(VLOOKUP('RT03-F12 #'!K28,'DATOS # '!H189:U195,14,FALSE))</f>
        <v>#N/A</v>
      </c>
      <c r="F10" s="858"/>
      <c r="G10" s="858"/>
      <c r="H10" s="701" t="s">
        <v>512</v>
      </c>
      <c r="I10" s="702" t="s">
        <v>513</v>
      </c>
      <c r="J10" s="858"/>
      <c r="K10" s="858"/>
      <c r="L10" s="858"/>
      <c r="M10" s="858"/>
      <c r="N10" s="858"/>
      <c r="O10" s="858"/>
      <c r="P10" s="858"/>
      <c r="Q10" s="858"/>
      <c r="R10" s="858"/>
      <c r="S10" s="858"/>
      <c r="T10" s="858"/>
      <c r="U10" s="858"/>
      <c r="V10" s="858"/>
    </row>
    <row r="11" spans="1:22" s="278" customFormat="1" ht="48" customHeight="1" thickBot="1" x14ac:dyDescent="0.3">
      <c r="A11" s="1383"/>
      <c r="B11" s="329" t="s">
        <v>514</v>
      </c>
      <c r="C11" s="376" t="e">
        <f>C9+(VLOOKUP('RT03-F12 #'!K28,'DATOS # '!H189:U195,9,FALSE))*C9+(VLOOKUP('RT03-F12 #'!K28,'DATOS # '!H189:U195,10,FALSE))</f>
        <v>#N/A</v>
      </c>
      <c r="D11" s="279" t="e">
        <f>D9+(VLOOKUP('RT03-F12 #'!K28,'DATOS # '!H189:U195,11,FALSE))*D9+(VLOOKUP('RT03-F12 #'!K28,'DATOS # '!H189:U195,12,FALSE))</f>
        <v>#N/A</v>
      </c>
      <c r="E11" s="280" t="e">
        <f>E9+(VLOOKUP('RT03-F12 #'!K28,'DATOS # '!H189:U195,13,FALSE))*E9+(VLOOKUP('RT03-F12 #'!K28,'DATOS # '!H189:U195,14,FALSE))</f>
        <v>#N/A</v>
      </c>
      <c r="F11" s="858"/>
      <c r="G11" s="858"/>
      <c r="H11" s="705">
        <v>400</v>
      </c>
      <c r="I11" s="706">
        <v>1100</v>
      </c>
      <c r="J11" s="858"/>
      <c r="K11" s="858"/>
      <c r="L11" s="858"/>
      <c r="M11" s="858"/>
      <c r="N11" s="858"/>
      <c r="O11" s="858"/>
      <c r="P11" s="858"/>
      <c r="Q11" s="858"/>
      <c r="R11" s="858"/>
      <c r="S11" s="858"/>
      <c r="T11" s="858"/>
      <c r="U11" s="858"/>
      <c r="V11" s="858"/>
    </row>
    <row r="12" spans="1:22" s="278" customFormat="1" ht="30" customHeight="1" x14ac:dyDescent="0.25">
      <c r="A12" s="858"/>
      <c r="B12" s="859"/>
      <c r="C12" s="860"/>
      <c r="D12" s="860"/>
      <c r="E12" s="860"/>
      <c r="F12" s="858"/>
      <c r="G12" s="858"/>
      <c r="H12" s="858"/>
      <c r="I12" s="858"/>
      <c r="J12" s="858"/>
      <c r="K12" s="858"/>
      <c r="L12" s="858"/>
      <c r="M12" s="858"/>
      <c r="N12" s="858"/>
      <c r="O12" s="858"/>
      <c r="P12" s="858"/>
      <c r="Q12" s="858"/>
      <c r="R12" s="858"/>
      <c r="S12" s="858"/>
      <c r="T12" s="858"/>
      <c r="U12" s="858"/>
      <c r="V12" s="858"/>
    </row>
    <row r="13" spans="1:22" s="278" customFormat="1" ht="30" customHeight="1" x14ac:dyDescent="0.25">
      <c r="A13" s="858"/>
      <c r="B13" s="859"/>
      <c r="C13" s="860"/>
      <c r="D13" s="860"/>
      <c r="E13" s="860"/>
      <c r="F13" s="858"/>
      <c r="G13" s="858"/>
      <c r="H13" s="858"/>
      <c r="I13" s="858"/>
      <c r="J13" s="858"/>
      <c r="K13" s="858"/>
      <c r="L13" s="858"/>
      <c r="M13" s="858"/>
      <c r="N13" s="858"/>
      <c r="O13" s="858"/>
      <c r="P13" s="858"/>
      <c r="Q13" s="858"/>
      <c r="R13" s="858"/>
      <c r="S13" s="858"/>
      <c r="T13" s="858"/>
      <c r="U13" s="858"/>
      <c r="V13" s="858"/>
    </row>
    <row r="14" spans="1:22" s="278" customFormat="1" ht="30" customHeight="1" x14ac:dyDescent="0.25">
      <c r="A14" s="858"/>
      <c r="B14" s="858"/>
      <c r="C14" s="858"/>
      <c r="D14" s="858"/>
      <c r="E14" s="858"/>
      <c r="F14" s="858"/>
      <c r="G14" s="858"/>
      <c r="H14" s="858"/>
      <c r="I14" s="858"/>
      <c r="J14" s="858"/>
      <c r="K14" s="858"/>
      <c r="L14" s="858"/>
      <c r="M14" s="858"/>
      <c r="N14" s="858"/>
      <c r="O14" s="858"/>
      <c r="P14" s="858"/>
      <c r="Q14" s="858"/>
      <c r="R14" s="858"/>
      <c r="S14" s="858"/>
      <c r="T14" s="858"/>
      <c r="U14" s="858"/>
      <c r="V14" s="858"/>
    </row>
    <row r="15" spans="1:22" s="278" customFormat="1" ht="30" customHeight="1" x14ac:dyDescent="0.25">
      <c r="A15" s="858"/>
      <c r="B15" s="858"/>
      <c r="C15" s="858"/>
      <c r="D15" s="858"/>
      <c r="E15" s="858"/>
      <c r="F15" s="858"/>
      <c r="G15" s="858"/>
      <c r="H15" s="858"/>
      <c r="I15" s="858"/>
      <c r="J15" s="858"/>
      <c r="K15" s="858"/>
      <c r="L15" s="858"/>
      <c r="M15" s="858"/>
      <c r="N15" s="858"/>
      <c r="O15" s="858"/>
      <c r="P15" s="858"/>
      <c r="Q15" s="858"/>
      <c r="R15" s="858"/>
      <c r="S15" s="858"/>
      <c r="T15" s="858"/>
      <c r="U15" s="858"/>
      <c r="V15" s="858"/>
    </row>
    <row r="16" spans="1:22" s="278" customFormat="1" ht="30" customHeight="1" x14ac:dyDescent="0.25">
      <c r="A16" s="858"/>
      <c r="B16" s="858"/>
      <c r="C16" s="858"/>
      <c r="D16" s="858"/>
      <c r="E16" s="858"/>
      <c r="F16" s="858"/>
      <c r="G16" s="858"/>
      <c r="H16" s="858"/>
      <c r="I16" s="858"/>
      <c r="J16" s="858"/>
      <c r="K16" s="858"/>
      <c r="L16" s="858"/>
      <c r="M16" s="858"/>
      <c r="N16" s="858"/>
      <c r="O16" s="858"/>
      <c r="P16" s="858"/>
      <c r="Q16" s="858"/>
      <c r="R16" s="858"/>
      <c r="S16" s="858"/>
      <c r="T16" s="858"/>
      <c r="U16" s="858"/>
      <c r="V16" s="858"/>
    </row>
    <row r="17" s="278" customFormat="1" ht="30" customHeight="1" x14ac:dyDescent="0.25"/>
    <row r="18" s="278" customFormat="1" ht="30" customHeight="1" x14ac:dyDescent="0.25"/>
    <row r="19" s="278" customFormat="1" ht="30" customHeight="1" x14ac:dyDescent="0.25"/>
    <row r="20" s="278" customFormat="1" ht="30" customHeight="1" x14ac:dyDescent="0.25"/>
    <row r="21" s="278" customFormat="1" ht="30" customHeight="1" x14ac:dyDescent="0.25"/>
    <row r="22" s="278" customFormat="1" ht="30" customHeight="1" x14ac:dyDescent="0.25"/>
    <row r="23" s="278" customFormat="1" x14ac:dyDescent="0.25"/>
    <row r="24" s="278" customFormat="1" x14ac:dyDescent="0.25"/>
    <row r="25" s="278" customFormat="1" x14ac:dyDescent="0.25"/>
    <row r="26" s="278" customFormat="1" x14ac:dyDescent="0.25"/>
    <row r="27" s="278" customFormat="1" x14ac:dyDescent="0.25"/>
    <row r="28" s="278" customFormat="1" x14ac:dyDescent="0.25"/>
    <row r="29" s="278" customFormat="1" x14ac:dyDescent="0.25"/>
    <row r="30" s="278" customFormat="1" x14ac:dyDescent="0.25"/>
    <row r="31" s="278" customFormat="1" x14ac:dyDescent="0.25"/>
    <row r="32" s="278" customFormat="1" x14ac:dyDescent="0.25"/>
    <row r="33" s="278" customFormat="1" x14ac:dyDescent="0.25"/>
    <row r="34" s="278" customFormat="1" x14ac:dyDescent="0.25"/>
    <row r="35" s="278" customFormat="1" x14ac:dyDescent="0.25"/>
    <row r="36" s="278" customFormat="1" x14ac:dyDescent="0.25"/>
    <row r="37" s="278" customFormat="1" x14ac:dyDescent="0.25"/>
    <row r="38" s="278" customFormat="1" x14ac:dyDescent="0.25"/>
    <row r="39" s="278" customFormat="1" x14ac:dyDescent="0.25"/>
    <row r="40" s="278" customFormat="1" x14ac:dyDescent="0.25"/>
    <row r="41" s="278" customFormat="1" x14ac:dyDescent="0.25"/>
    <row r="42" s="278" customFormat="1" x14ac:dyDescent="0.25"/>
    <row r="43" s="278" customFormat="1" x14ac:dyDescent="0.25"/>
  </sheetData>
  <sheetProtection algorithmName="SHA-512" hashValue="XOofZ5sVWHXpYbdKjZ/GAR7KKXpQ6NxxFxjJVjX3Rte6S7sJ9wWkKJJrFb4EhcaE92D9P+9PUxWZ+9dF8drV6Q==" saltValue="0F6UVj2qLevCHUkbBKBnLQ==" spinCount="100000" sheet="1" objects="1" scenarios="1"/>
  <mergeCells count="5">
    <mergeCell ref="A8:A11"/>
    <mergeCell ref="A1:B1"/>
    <mergeCell ref="H5:I5"/>
    <mergeCell ref="A3:I4"/>
    <mergeCell ref="C1:I1"/>
  </mergeCells>
  <conditionalFormatting sqref="C10:C11">
    <cfRule type="cellIs" dxfId="2" priority="7" operator="notBetween">
      <formula>$H$7</formula>
      <formula>$I$7</formula>
    </cfRule>
  </conditionalFormatting>
  <conditionalFormatting sqref="D10:D11">
    <cfRule type="cellIs" dxfId="1" priority="9" operator="notBetween">
      <formula>$H$9</formula>
      <formula>$I$9</formula>
    </cfRule>
  </conditionalFormatting>
  <conditionalFormatting sqref="E10:E11">
    <cfRule type="cellIs" dxfId="0" priority="11" operator="notBetween">
      <formula>$H$11</formula>
      <formula>$I$11</formula>
    </cfRule>
  </conditionalFormatting>
  <pageMargins left="0.70866141732283472" right="0.70866141732283472" top="0.74803149606299213" bottom="0.74803149606299213" header="0.31496062992125984" footer="0.31496062992125984"/>
  <pageSetup scale="10" orientation="landscape" r:id="rId1"/>
  <headerFooter>
    <oddFooter>&amp;RRT03-F12 Vr.14 (2022-03-18)
Página &amp;P de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R173"/>
  <sheetViews>
    <sheetView showGridLines="0" showRuler="0" showWhiteSpace="0" view="pageBreakPreview" topLeftCell="A31" zoomScale="106" zoomScaleNormal="110" zoomScaleSheetLayoutView="106" zoomScalePageLayoutView="85" workbookViewId="0">
      <selection activeCell="G4" sqref="G4"/>
    </sheetView>
  </sheetViews>
  <sheetFormatPr baseColWidth="10" defaultColWidth="11.42578125" defaultRowHeight="15" customHeight="1" x14ac:dyDescent="0.2"/>
  <cols>
    <col min="1" max="1" width="3.42578125" style="49" customWidth="1"/>
    <col min="2" max="2" width="21.140625" style="49" customWidth="1"/>
    <col min="3" max="3" width="19.5703125" style="49" customWidth="1"/>
    <col min="4" max="4" width="18.5703125" style="49" customWidth="1"/>
    <col min="5" max="6" width="17.7109375" style="49" customWidth="1"/>
    <col min="7" max="7" width="21.28515625" style="49" customWidth="1"/>
    <col min="8" max="14" width="11.42578125" style="49"/>
    <col min="15" max="15" width="7.140625" style="49" customWidth="1"/>
    <col min="16" max="18" width="11.42578125" style="49" hidden="1" customWidth="1"/>
    <col min="19" max="16384" width="11.42578125" style="49"/>
  </cols>
  <sheetData>
    <row r="1" spans="1:7" ht="125.1" customHeight="1" x14ac:dyDescent="0.2">
      <c r="A1" s="1457"/>
      <c r="B1" s="1457"/>
      <c r="C1" s="1457"/>
      <c r="D1" s="1457"/>
      <c r="E1" s="1457"/>
      <c r="F1" s="1457"/>
      <c r="G1" s="1457"/>
    </row>
    <row r="2" spans="1:7" ht="35.1" customHeight="1" x14ac:dyDescent="0.2">
      <c r="A2" s="714"/>
      <c r="B2" s="714"/>
      <c r="C2" s="714"/>
    </row>
    <row r="3" spans="1:7" ht="35.1" customHeight="1" x14ac:dyDescent="0.2">
      <c r="A3" s="714"/>
      <c r="B3" s="714"/>
      <c r="C3" s="714"/>
      <c r="E3" s="1413" t="s">
        <v>515</v>
      </c>
      <c r="F3" s="1413"/>
      <c r="G3" s="404" t="e">
        <f>'RT03-F12 #'!I6</f>
        <v>#N/A</v>
      </c>
    </row>
    <row r="4" spans="1:7" ht="30" customHeight="1" x14ac:dyDescent="0.2">
      <c r="A4" s="1456" t="s">
        <v>516</v>
      </c>
      <c r="B4" s="1456"/>
      <c r="C4" s="1456"/>
      <c r="D4" s="1456"/>
    </row>
    <row r="5" spans="1:7" ht="15.75" customHeight="1" x14ac:dyDescent="0.2">
      <c r="A5" s="720"/>
      <c r="B5" s="720"/>
      <c r="C5" s="405"/>
      <c r="D5" s="405"/>
      <c r="E5" s="405"/>
      <c r="F5" s="405"/>
      <c r="G5" s="405"/>
    </row>
    <row r="6" spans="1:7" ht="30" customHeight="1" x14ac:dyDescent="0.2">
      <c r="A6" s="1460" t="s">
        <v>517</v>
      </c>
      <c r="B6" s="1460"/>
      <c r="C6" s="1460"/>
      <c r="D6" s="1458" t="e">
        <f>'RT03-F12 #'!G6</f>
        <v>#N/A</v>
      </c>
      <c r="E6" s="1459"/>
      <c r="F6" s="1459"/>
      <c r="G6" s="1459"/>
    </row>
    <row r="7" spans="1:7" ht="30" customHeight="1" x14ac:dyDescent="0.2">
      <c r="A7" s="1460" t="s">
        <v>518</v>
      </c>
      <c r="B7" s="1460"/>
      <c r="C7" s="1460"/>
      <c r="D7" s="1469" t="e">
        <f>'RT03-F12 #'!H6</f>
        <v>#N/A</v>
      </c>
      <c r="E7" s="1469"/>
      <c r="F7" s="1469"/>
      <c r="G7" s="1469"/>
    </row>
    <row r="8" spans="1:7" ht="30" customHeight="1" x14ac:dyDescent="0.2">
      <c r="A8" s="1460" t="s">
        <v>519</v>
      </c>
      <c r="B8" s="1460"/>
      <c r="C8" s="1460"/>
      <c r="D8" s="1458" t="e">
        <f>'RT03-F12 #'!B6</f>
        <v>#N/A</v>
      </c>
      <c r="E8" s="1459"/>
      <c r="F8" s="716"/>
      <c r="G8" s="716"/>
    </row>
    <row r="9" spans="1:7" ht="18" customHeight="1" x14ac:dyDescent="0.2">
      <c r="A9" s="717"/>
      <c r="B9" s="717"/>
      <c r="C9" s="717"/>
      <c r="D9" s="715"/>
      <c r="E9" s="717"/>
      <c r="F9" s="406"/>
      <c r="G9" s="406"/>
    </row>
    <row r="10" spans="1:7" ht="30" customHeight="1" x14ac:dyDescent="0.2">
      <c r="A10" s="1460" t="s">
        <v>520</v>
      </c>
      <c r="B10" s="1460"/>
      <c r="C10" s="1460"/>
      <c r="D10" s="407" t="e">
        <f>'RT03-F12 #'!C6</f>
        <v>#N/A</v>
      </c>
      <c r="E10" s="1466" t="s">
        <v>307</v>
      </c>
      <c r="F10" s="1466"/>
      <c r="G10" s="407" t="e">
        <f>'RT03-F12 #'!F6</f>
        <v>#N/A</v>
      </c>
    </row>
    <row r="11" spans="1:7" ht="15" customHeight="1" x14ac:dyDescent="0.2">
      <c r="A11" s="717"/>
      <c r="B11" s="717"/>
      <c r="C11" s="717"/>
      <c r="D11" s="407"/>
      <c r="E11" s="719"/>
      <c r="F11" s="719"/>
      <c r="G11" s="407"/>
    </row>
    <row r="12" spans="1:7" ht="30" customHeight="1" x14ac:dyDescent="0.2">
      <c r="A12" s="1456" t="s">
        <v>521</v>
      </c>
      <c r="B12" s="1456"/>
      <c r="C12" s="1456"/>
      <c r="D12" s="1456"/>
      <c r="E12" s="1456"/>
      <c r="F12" s="1456"/>
      <c r="G12" s="1456"/>
    </row>
    <row r="13" spans="1:7" ht="12" customHeight="1" x14ac:dyDescent="0.2">
      <c r="A13" s="717"/>
      <c r="B13" s="717"/>
      <c r="C13" s="717"/>
      <c r="D13" s="717"/>
      <c r="E13" s="717"/>
      <c r="F13" s="406"/>
      <c r="G13" s="406"/>
    </row>
    <row r="14" spans="1:7" ht="27.95" customHeight="1" x14ac:dyDescent="0.2">
      <c r="A14" s="1460" t="s">
        <v>522</v>
      </c>
      <c r="B14" s="1460"/>
      <c r="C14" s="1460"/>
      <c r="D14" s="1470" t="s">
        <v>523</v>
      </c>
      <c r="E14" s="1470"/>
      <c r="F14" s="406"/>
      <c r="G14" s="406"/>
    </row>
    <row r="15" spans="1:7" ht="27.95" customHeight="1" x14ac:dyDescent="0.2">
      <c r="A15" s="1460" t="s">
        <v>524</v>
      </c>
      <c r="B15" s="1460"/>
      <c r="C15" s="1460"/>
      <c r="D15" s="1460" t="e">
        <f>'RT03-F12 #'!D9</f>
        <v>#N/A</v>
      </c>
      <c r="E15" s="1460"/>
      <c r="F15" s="406"/>
      <c r="G15" s="406"/>
    </row>
    <row r="16" spans="1:7" ht="27.95" customHeight="1" x14ac:dyDescent="0.2">
      <c r="A16" s="1460" t="s">
        <v>525</v>
      </c>
      <c r="B16" s="1460"/>
      <c r="C16" s="1460"/>
      <c r="D16" s="1460" t="e">
        <f>'RT03-F12 #'!D11</f>
        <v>#N/A</v>
      </c>
      <c r="E16" s="1460"/>
      <c r="F16" s="1460"/>
      <c r="G16" s="1460"/>
    </row>
    <row r="17" spans="1:7" ht="27.95" customHeight="1" x14ac:dyDescent="0.2">
      <c r="A17" s="1460" t="s">
        <v>526</v>
      </c>
      <c r="B17" s="1460"/>
      <c r="C17" s="1460"/>
      <c r="D17" s="1460" t="e">
        <f>'RT03-F12 #'!D10</f>
        <v>#N/A</v>
      </c>
      <c r="E17" s="1460"/>
      <c r="F17" s="406"/>
      <c r="G17" s="406"/>
    </row>
    <row r="18" spans="1:7" ht="27.95" customHeight="1" x14ac:dyDescent="0.2">
      <c r="A18" s="1467" t="s">
        <v>527</v>
      </c>
      <c r="B18" s="1467"/>
      <c r="C18" s="1467"/>
      <c r="D18" s="409" t="e">
        <f>'RT03-F12 #'!D12</f>
        <v>#N/A</v>
      </c>
      <c r="E18" s="717"/>
      <c r="F18" s="408"/>
      <c r="G18" s="717"/>
    </row>
    <row r="19" spans="1:7" ht="27.95" customHeight="1" x14ac:dyDescent="0.2">
      <c r="A19" s="1460" t="s">
        <v>528</v>
      </c>
      <c r="B19" s="1460"/>
      <c r="C19" s="1460"/>
      <c r="D19" s="409" t="e">
        <f>'RT03-F12 #'!D13</f>
        <v>#N/A</v>
      </c>
      <c r="F19" s="720"/>
      <c r="G19" s="720"/>
    </row>
    <row r="20" spans="1:7" ht="27.95" customHeight="1" x14ac:dyDescent="0.2">
      <c r="A20" s="1467" t="s">
        <v>529</v>
      </c>
      <c r="B20" s="1467"/>
      <c r="C20" s="1467"/>
      <c r="D20" s="793" t="e">
        <f>'RT03-F12 #'!D14</f>
        <v>#N/A</v>
      </c>
      <c r="E20" s="720"/>
      <c r="F20" s="720"/>
      <c r="G20" s="720"/>
    </row>
    <row r="21" spans="1:7" ht="27.95" customHeight="1" x14ac:dyDescent="0.2">
      <c r="A21" s="1467" t="s">
        <v>530</v>
      </c>
      <c r="B21" s="1467"/>
      <c r="C21" s="1467"/>
      <c r="D21" s="409" t="e">
        <f>'RT03-F12 #'!D15</f>
        <v>#N/A</v>
      </c>
      <c r="E21" s="720"/>
      <c r="F21" s="720"/>
      <c r="G21" s="720"/>
    </row>
    <row r="22" spans="1:7" ht="23.1" customHeight="1" x14ac:dyDescent="0.2"/>
    <row r="23" spans="1:7" ht="27.95" customHeight="1" x14ac:dyDescent="0.2">
      <c r="A23" s="1456" t="s">
        <v>531</v>
      </c>
      <c r="B23" s="1456"/>
      <c r="C23" s="1456"/>
      <c r="D23" s="1456"/>
      <c r="E23" s="1456"/>
      <c r="F23" s="1456"/>
      <c r="G23" s="1456"/>
    </row>
    <row r="24" spans="1:7" ht="23.1" customHeight="1" x14ac:dyDescent="0.2">
      <c r="A24" s="1469" t="e">
        <f>'RT03-F12 #'!E6</f>
        <v>#N/A</v>
      </c>
      <c r="B24" s="1469"/>
      <c r="C24" s="1469"/>
      <c r="D24" s="1469"/>
      <c r="E24" s="1469"/>
      <c r="F24" s="1469"/>
      <c r="G24" s="1469"/>
    </row>
    <row r="25" spans="1:7" ht="23.1" customHeight="1" x14ac:dyDescent="0.2">
      <c r="A25" s="410"/>
      <c r="B25" s="410"/>
      <c r="C25" s="405"/>
      <c r="D25" s="410"/>
      <c r="E25" s="405"/>
      <c r="F25" s="712"/>
      <c r="G25" s="712"/>
    </row>
    <row r="26" spans="1:7" ht="27.95" customHeight="1" x14ac:dyDescent="0.2">
      <c r="A26" s="1456" t="s">
        <v>532</v>
      </c>
      <c r="B26" s="1456"/>
      <c r="C26" s="1456"/>
      <c r="D26" s="1471" t="e">
        <f>'RT03-F12 #'!D6</f>
        <v>#N/A</v>
      </c>
      <c r="E26" s="1471"/>
      <c r="F26" s="1471"/>
      <c r="G26" s="712"/>
    </row>
    <row r="27" spans="1:7" ht="23.1" customHeight="1" x14ac:dyDescent="0.2">
      <c r="E27" s="405"/>
      <c r="F27" s="405"/>
      <c r="G27" s="405"/>
    </row>
    <row r="28" spans="1:7" ht="27.95" customHeight="1" x14ac:dyDescent="0.2">
      <c r="A28" s="1414" t="s">
        <v>533</v>
      </c>
      <c r="B28" s="1414"/>
      <c r="C28" s="1414"/>
      <c r="D28" s="1414"/>
      <c r="E28" s="1414"/>
      <c r="F28" s="1414"/>
      <c r="G28" s="1414"/>
    </row>
    <row r="29" spans="1:7" ht="15" customHeight="1" x14ac:dyDescent="0.2">
      <c r="A29" s="411"/>
      <c r="B29" s="411"/>
      <c r="C29" s="411"/>
      <c r="D29" s="411"/>
      <c r="E29" s="405"/>
      <c r="F29" s="405"/>
      <c r="G29" s="405"/>
    </row>
    <row r="30" spans="1:7" ht="33" customHeight="1" x14ac:dyDescent="0.2">
      <c r="A30" s="1468" t="s">
        <v>534</v>
      </c>
      <c r="B30" s="1468"/>
      <c r="C30" s="1468"/>
      <c r="D30" s="1468"/>
      <c r="E30" s="1468"/>
      <c r="F30" s="1468"/>
      <c r="G30" s="1468"/>
    </row>
    <row r="31" spans="1:7" ht="25.5" customHeight="1" x14ac:dyDescent="0.2">
      <c r="A31" s="412"/>
      <c r="B31" s="412"/>
      <c r="C31" s="412"/>
      <c r="D31" s="412"/>
      <c r="E31" s="412"/>
      <c r="F31" s="412"/>
      <c r="G31" s="412"/>
    </row>
    <row r="32" spans="1:7" ht="23.1" customHeight="1" x14ac:dyDescent="0.2">
      <c r="A32" s="1456" t="s">
        <v>535</v>
      </c>
      <c r="B32" s="1456"/>
      <c r="C32" s="1456"/>
      <c r="D32" s="1456"/>
      <c r="E32" s="1456"/>
      <c r="F32" s="1456"/>
      <c r="G32" s="1456"/>
    </row>
    <row r="33" spans="1:7" ht="8.1" customHeight="1" thickBot="1" x14ac:dyDescent="0.25">
      <c r="A33" s="710"/>
      <c r="B33" s="710"/>
      <c r="C33" s="710"/>
      <c r="D33" s="710"/>
      <c r="E33" s="710"/>
      <c r="G33" s="405"/>
    </row>
    <row r="34" spans="1:7" ht="33" customHeight="1" thickBot="1" x14ac:dyDescent="0.25">
      <c r="A34" s="413"/>
      <c r="B34" s="413"/>
      <c r="C34" s="413"/>
      <c r="D34" s="414" t="s">
        <v>332</v>
      </c>
      <c r="E34" s="414" t="s">
        <v>333</v>
      </c>
      <c r="F34" s="414" t="s">
        <v>334</v>
      </c>
      <c r="G34" s="710"/>
    </row>
    <row r="35" spans="1:7" ht="33" customHeight="1" thickBot="1" x14ac:dyDescent="0.25">
      <c r="A35" s="1461" t="s">
        <v>536</v>
      </c>
      <c r="B35" s="1462"/>
      <c r="C35" s="1463"/>
      <c r="D35" s="415" t="e">
        <f>'RT03-F12 #'!E64</f>
        <v>#N/A</v>
      </c>
      <c r="E35" s="416" t="e">
        <f>'RT03-F12 #'!G64</f>
        <v>#N/A</v>
      </c>
      <c r="F35" s="417" t="e">
        <f>'RT03-F12 #'!I64</f>
        <v>#N/A</v>
      </c>
      <c r="G35" s="710"/>
    </row>
    <row r="36" spans="1:7" ht="33" customHeight="1" thickBot="1" x14ac:dyDescent="0.25">
      <c r="A36" s="1461" t="s">
        <v>537</v>
      </c>
      <c r="B36" s="1462"/>
      <c r="C36" s="1463"/>
      <c r="D36" s="418" t="e">
        <f>'RT03-F12 #'!E65</f>
        <v>#N/A</v>
      </c>
      <c r="E36" s="419" t="e">
        <f>'RT03-F12 #'!G65</f>
        <v>#N/A</v>
      </c>
      <c r="F36" s="419" t="e">
        <f>'RT03-F12 #'!I65</f>
        <v>#N/A</v>
      </c>
      <c r="G36" s="710"/>
    </row>
    <row r="37" spans="1:7" ht="27.75" customHeight="1" x14ac:dyDescent="0.2">
      <c r="A37" s="1443" t="s">
        <v>538</v>
      </c>
      <c r="B37" s="1443"/>
      <c r="C37" s="1443"/>
      <c r="D37" s="1443"/>
      <c r="E37" s="1443"/>
      <c r="F37" s="1443"/>
      <c r="G37" s="1443"/>
    </row>
    <row r="38" spans="1:7" ht="125.1" customHeight="1" x14ac:dyDescent="0.2"/>
    <row r="39" spans="1:7" ht="35.1" customHeight="1" x14ac:dyDescent="0.2">
      <c r="A39" s="712"/>
      <c r="B39" s="712"/>
      <c r="C39" s="712"/>
      <c r="D39" s="712"/>
    </row>
    <row r="40" spans="1:7" ht="35.1" customHeight="1" x14ac:dyDescent="0.2">
      <c r="A40" s="712"/>
      <c r="B40" s="712"/>
      <c r="C40" s="712"/>
      <c r="D40" s="712"/>
      <c r="E40" s="1413" t="s">
        <v>515</v>
      </c>
      <c r="F40" s="1413"/>
      <c r="G40" s="404" t="e">
        <f>G3</f>
        <v>#N/A</v>
      </c>
    </row>
    <row r="41" spans="1:7" ht="23.1" customHeight="1" x14ac:dyDescent="0.2">
      <c r="A41" s="1456" t="s">
        <v>539</v>
      </c>
      <c r="B41" s="1456"/>
      <c r="C41" s="1456"/>
      <c r="D41" s="1456"/>
      <c r="E41" s="1456"/>
      <c r="F41" s="1456"/>
      <c r="G41" s="1456"/>
    </row>
    <row r="42" spans="1:7" ht="12" customHeight="1" x14ac:dyDescent="0.2">
      <c r="A42" s="710"/>
      <c r="B42" s="710"/>
      <c r="C42" s="710"/>
      <c r="D42" s="710"/>
      <c r="E42" s="710"/>
      <c r="F42" s="710"/>
      <c r="G42" s="710"/>
    </row>
    <row r="43" spans="1:7" ht="48" customHeight="1" x14ac:dyDescent="0.2">
      <c r="A43" s="1426" t="s">
        <v>540</v>
      </c>
      <c r="B43" s="1426"/>
      <c r="C43" s="1426"/>
      <c r="D43" s="1426"/>
      <c r="E43" s="1426"/>
      <c r="F43" s="1426"/>
      <c r="G43" s="1426"/>
    </row>
    <row r="44" spans="1:7" ht="12" customHeight="1" thickBot="1" x14ac:dyDescent="0.25">
      <c r="A44" s="720"/>
      <c r="B44" s="720"/>
      <c r="C44" s="720"/>
      <c r="D44" s="720"/>
      <c r="E44" s="720"/>
      <c r="F44" s="720"/>
      <c r="G44" s="720"/>
    </row>
    <row r="45" spans="1:7" ht="30" customHeight="1" thickBot="1" x14ac:dyDescent="0.25">
      <c r="A45" s="1444" t="s">
        <v>541</v>
      </c>
      <c r="B45" s="1445"/>
      <c r="C45" s="1446"/>
      <c r="D45" s="1450" t="e">
        <f>'RT03-F12 #'!I11</f>
        <v>#N/A</v>
      </c>
      <c r="E45" s="1451"/>
      <c r="F45" s="712"/>
      <c r="G45" s="712"/>
    </row>
    <row r="46" spans="1:7" ht="30" customHeight="1" thickBot="1" x14ac:dyDescent="0.25">
      <c r="A46" s="1444" t="s">
        <v>542</v>
      </c>
      <c r="B46" s="1445"/>
      <c r="C46" s="1446"/>
      <c r="D46" s="946" t="e">
        <f>'RT03-F12 #'!N128</f>
        <v>#N/A</v>
      </c>
      <c r="E46" s="947" t="e">
        <f>'RT03-F12 #'!N132</f>
        <v>#N/A</v>
      </c>
      <c r="F46" s="405"/>
      <c r="G46" s="405"/>
    </row>
    <row r="47" spans="1:7" ht="30" customHeight="1" thickBot="1" x14ac:dyDescent="0.25">
      <c r="A47" s="1444" t="s">
        <v>543</v>
      </c>
      <c r="B47" s="1445"/>
      <c r="C47" s="1446"/>
      <c r="D47" s="1452" t="e">
        <f>'RT03-F12 #'!I12</f>
        <v>#N/A</v>
      </c>
      <c r="E47" s="1453"/>
      <c r="F47" s="405"/>
      <c r="G47" s="405"/>
    </row>
    <row r="48" spans="1:7" ht="30" customHeight="1" thickBot="1" x14ac:dyDescent="0.25">
      <c r="A48" s="1447" t="s">
        <v>8</v>
      </c>
      <c r="B48" s="1448"/>
      <c r="C48" s="1449"/>
      <c r="D48" s="1454" t="e">
        <f>'RT03-F12 #'!I13</f>
        <v>#N/A</v>
      </c>
      <c r="E48" s="1455"/>
      <c r="F48" s="405"/>
      <c r="G48" s="405"/>
    </row>
    <row r="49" spans="1:7" ht="30" customHeight="1" thickBot="1" x14ac:dyDescent="0.25">
      <c r="A49" s="420" t="s">
        <v>23</v>
      </c>
      <c r="B49" s="420"/>
      <c r="C49" s="421"/>
      <c r="D49" s="1431" t="e">
        <f>'RT03-F12 #'!I15</f>
        <v>#N/A</v>
      </c>
      <c r="E49" s="1432"/>
      <c r="F49" s="405"/>
      <c r="G49" s="405"/>
    </row>
    <row r="50" spans="1:7" ht="30" customHeight="1" thickBot="1" x14ac:dyDescent="0.25">
      <c r="A50" s="1444" t="s">
        <v>544</v>
      </c>
      <c r="B50" s="1445"/>
      <c r="C50" s="1446"/>
      <c r="D50" s="1464"/>
      <c r="E50" s="1465"/>
      <c r="F50" s="405"/>
      <c r="G50" s="405"/>
    </row>
    <row r="51" spans="1:7" ht="30" customHeight="1" x14ac:dyDescent="0.2">
      <c r="A51" s="710"/>
      <c r="B51" s="710"/>
      <c r="C51" s="710"/>
      <c r="D51" s="717"/>
      <c r="E51" s="717"/>
      <c r="F51" s="405"/>
      <c r="G51" s="405"/>
    </row>
    <row r="52" spans="1:7" ht="23.1" customHeight="1" x14ac:dyDescent="0.2">
      <c r="A52" s="1456" t="s">
        <v>545</v>
      </c>
      <c r="B52" s="1456"/>
      <c r="C52" s="1456"/>
      <c r="D52" s="1456"/>
      <c r="E52" s="1456"/>
      <c r="F52" s="1456"/>
      <c r="G52" s="1456"/>
    </row>
    <row r="53" spans="1:7" ht="12" customHeight="1" x14ac:dyDescent="0.2">
      <c r="A53" s="712"/>
      <c r="B53" s="712"/>
      <c r="C53" s="712"/>
      <c r="D53" s="712"/>
      <c r="E53" s="712"/>
      <c r="F53" s="712"/>
      <c r="G53" s="712"/>
    </row>
    <row r="54" spans="1:7" ht="20.100000000000001" customHeight="1" x14ac:dyDescent="0.2">
      <c r="A54" s="1414" t="s">
        <v>546</v>
      </c>
      <c r="B54" s="1414"/>
      <c r="C54" s="1414"/>
      <c r="D54" s="1414"/>
      <c r="E54" s="712"/>
      <c r="F54" s="712"/>
      <c r="G54" s="712"/>
    </row>
    <row r="55" spans="1:7" ht="12" customHeight="1" thickBot="1" x14ac:dyDescent="0.25">
      <c r="A55" s="712"/>
      <c r="B55" s="712"/>
      <c r="C55" s="712"/>
      <c r="D55" s="712"/>
      <c r="E55" s="405"/>
      <c r="F55" s="405"/>
      <c r="G55" s="405"/>
    </row>
    <row r="56" spans="1:7" ht="30" customHeight="1" thickBot="1" x14ac:dyDescent="0.25">
      <c r="A56" s="1433" t="s">
        <v>547</v>
      </c>
      <c r="B56" s="1434"/>
      <c r="C56" s="1435"/>
      <c r="D56" s="1436"/>
      <c r="E56" s="712"/>
      <c r="F56" s="712"/>
      <c r="G56" s="712"/>
    </row>
    <row r="57" spans="1:7" ht="30" customHeight="1" thickBot="1" x14ac:dyDescent="0.25">
      <c r="A57" s="1439" t="str">
        <f>'RT03-F12 #'!C34</f>
        <v>Carga</v>
      </c>
      <c r="B57" s="1440"/>
      <c r="C57" s="422">
        <f>'RT03-F12 #'!E34</f>
        <v>0</v>
      </c>
      <c r="D57" s="718" t="str">
        <f>'RT03-F12 #'!D34</f>
        <v>(g)</v>
      </c>
      <c r="E57" s="712"/>
      <c r="F57" s="423" t="s">
        <v>548</v>
      </c>
      <c r="G57" s="712"/>
    </row>
    <row r="58" spans="1:7" ht="30" customHeight="1" thickBot="1" x14ac:dyDescent="0.25">
      <c r="A58" s="1439" t="str">
        <f>'RT03-F12 #'!B35</f>
        <v>Posición</v>
      </c>
      <c r="B58" s="1440"/>
      <c r="C58" s="424" t="str">
        <f>'RT03-F12 #'!B36</f>
        <v>Indicación (g)</v>
      </c>
      <c r="D58" s="425" t="s">
        <v>549</v>
      </c>
      <c r="E58" s="712"/>
      <c r="F58" s="712"/>
      <c r="G58" s="712"/>
    </row>
    <row r="59" spans="1:7" ht="30" customHeight="1" x14ac:dyDescent="0.2">
      <c r="A59" s="1441">
        <f>'RT03-F12 #'!C35</f>
        <v>1</v>
      </c>
      <c r="B59" s="1442"/>
      <c r="C59" s="426">
        <f>'RT03-F12 #'!C36</f>
        <v>0</v>
      </c>
      <c r="D59" s="427">
        <f>'RT03-F12 #'!C37</f>
        <v>0</v>
      </c>
      <c r="E59" s="712"/>
      <c r="G59" s="712"/>
    </row>
    <row r="60" spans="1:7" ht="30" customHeight="1" x14ac:dyDescent="0.2">
      <c r="A60" s="1437">
        <f>'RT03-F12 #'!D35</f>
        <v>2</v>
      </c>
      <c r="B60" s="1438"/>
      <c r="C60" s="428">
        <f>'RT03-F12 #'!D36</f>
        <v>0</v>
      </c>
      <c r="D60" s="429">
        <f>'RT03-F12 #'!D37</f>
        <v>0</v>
      </c>
      <c r="E60" s="712"/>
      <c r="F60" s="712"/>
      <c r="G60" s="712"/>
    </row>
    <row r="61" spans="1:7" ht="30" customHeight="1" x14ac:dyDescent="0.2">
      <c r="A61" s="1437">
        <f>'RT03-F12 #'!E35</f>
        <v>3</v>
      </c>
      <c r="B61" s="1438"/>
      <c r="C61" s="430">
        <f>'RT03-F12 #'!E36</f>
        <v>0</v>
      </c>
      <c r="D61" s="429">
        <f>'RT03-F12 #'!E37</f>
        <v>0</v>
      </c>
      <c r="E61" s="712"/>
      <c r="F61" s="712"/>
      <c r="G61" s="712"/>
    </row>
    <row r="62" spans="1:7" ht="30" customHeight="1" x14ac:dyDescent="0.2">
      <c r="A62" s="1437">
        <f>'RT03-F12 #'!F35</f>
        <v>4</v>
      </c>
      <c r="B62" s="1438"/>
      <c r="C62" s="430">
        <f>'RT03-F12 #'!F36</f>
        <v>0</v>
      </c>
      <c r="D62" s="429">
        <f>'RT03-F12 #'!F37</f>
        <v>0</v>
      </c>
      <c r="E62" s="712"/>
      <c r="F62" s="712"/>
      <c r="G62" s="712"/>
    </row>
    <row r="63" spans="1:7" ht="30" customHeight="1" thickBot="1" x14ac:dyDescent="0.25">
      <c r="A63" s="1403">
        <f>'RT03-F12 #'!G35</f>
        <v>5</v>
      </c>
      <c r="B63" s="1404"/>
      <c r="C63" s="428">
        <f>'RT03-F12 #'!G36</f>
        <v>0</v>
      </c>
      <c r="D63" s="431">
        <f>'RT03-F12 #'!G37</f>
        <v>0</v>
      </c>
      <c r="E63" s="712"/>
      <c r="F63" s="712"/>
      <c r="G63" s="712"/>
    </row>
    <row r="64" spans="1:7" ht="30" customHeight="1" thickBot="1" x14ac:dyDescent="0.25">
      <c r="A64" s="1428" t="s">
        <v>550</v>
      </c>
      <c r="B64" s="1429"/>
      <c r="C64" s="1430"/>
      <c r="D64" s="417">
        <f>'RT03-F12 #'!C39/1000</f>
        <v>0</v>
      </c>
      <c r="E64" s="712"/>
      <c r="F64" s="712"/>
      <c r="G64" s="712"/>
    </row>
    <row r="65" spans="1:7" ht="17.100000000000001" customHeight="1" x14ac:dyDescent="0.2">
      <c r="A65" s="432"/>
      <c r="B65" s="432"/>
      <c r="C65" s="432"/>
      <c r="D65" s="433"/>
      <c r="E65" s="712"/>
      <c r="F65" s="712"/>
      <c r="G65" s="712"/>
    </row>
    <row r="66" spans="1:7" ht="12" customHeight="1" x14ac:dyDescent="0.2">
      <c r="A66" s="1426" t="s">
        <v>551</v>
      </c>
      <c r="B66" s="1426"/>
      <c r="C66" s="1426"/>
      <c r="D66" s="1426"/>
      <c r="E66" s="1426"/>
      <c r="F66" s="1426"/>
      <c r="G66" s="1426"/>
    </row>
    <row r="67" spans="1:7" ht="29.1" customHeight="1" x14ac:dyDescent="0.2">
      <c r="A67" s="1426"/>
      <c r="B67" s="1426"/>
      <c r="C67" s="1426"/>
      <c r="D67" s="1426"/>
      <c r="E67" s="1426"/>
      <c r="F67" s="1426"/>
      <c r="G67" s="1426"/>
    </row>
    <row r="68" spans="1:7" ht="20.100000000000001" customHeight="1" x14ac:dyDescent="0.2">
      <c r="A68" s="434"/>
      <c r="B68" s="434"/>
      <c r="C68" s="434"/>
      <c r="D68" s="434"/>
      <c r="E68" s="434"/>
      <c r="F68" s="434"/>
      <c r="G68" s="434"/>
    </row>
    <row r="69" spans="1:7" ht="125.1" customHeight="1" x14ac:dyDescent="0.2">
      <c r="A69" s="1427"/>
      <c r="B69" s="1427"/>
      <c r="C69" s="1427"/>
      <c r="D69" s="1427"/>
      <c r="E69" s="1427"/>
      <c r="F69" s="1427"/>
      <c r="G69" s="1427"/>
    </row>
    <row r="70" spans="1:7" ht="35.1" customHeight="1" x14ac:dyDescent="0.2">
      <c r="A70" s="721"/>
      <c r="B70" s="721"/>
      <c r="C70" s="721"/>
      <c r="D70" s="721"/>
      <c r="E70" s="721"/>
      <c r="F70" s="721"/>
      <c r="G70" s="721"/>
    </row>
    <row r="71" spans="1:7" ht="35.1" customHeight="1" x14ac:dyDescent="0.2">
      <c r="A71" s="435"/>
      <c r="B71" s="435"/>
      <c r="C71" s="435"/>
      <c r="D71" s="435"/>
      <c r="E71" s="1413" t="s">
        <v>515</v>
      </c>
      <c r="F71" s="1413"/>
      <c r="G71" s="404" t="e">
        <f>G3</f>
        <v>#N/A</v>
      </c>
    </row>
    <row r="72" spans="1:7" ht="23.1" customHeight="1" x14ac:dyDescent="0.2">
      <c r="A72" s="1414" t="s">
        <v>552</v>
      </c>
      <c r="B72" s="1414"/>
      <c r="C72" s="1414"/>
      <c r="F72" s="405"/>
      <c r="G72" s="405"/>
    </row>
    <row r="73" spans="1:7" ht="12" customHeight="1" thickBot="1" x14ac:dyDescent="0.25">
      <c r="F73" s="405"/>
    </row>
    <row r="74" spans="1:7" ht="15" customHeight="1" thickBot="1" x14ac:dyDescent="0.25">
      <c r="A74" s="1407" t="s">
        <v>553</v>
      </c>
      <c r="B74" s="1493"/>
      <c r="C74" s="1493"/>
      <c r="D74" s="1493"/>
      <c r="E74" s="1408"/>
      <c r="F74" s="405"/>
      <c r="G74" s="405"/>
    </row>
    <row r="75" spans="1:7" ht="20.100000000000001" customHeight="1" thickBot="1" x14ac:dyDescent="0.25">
      <c r="A75" s="1405" t="str">
        <f>'RT03-F12 #'!A43</f>
        <v>Cargas (g)</v>
      </c>
      <c r="B75" s="1406"/>
      <c r="C75" s="422">
        <f>'RT03-F12 #'!A44</f>
        <v>0</v>
      </c>
      <c r="D75" s="422">
        <f>'RT03-F12 #'!A45</f>
        <v>0</v>
      </c>
      <c r="E75" s="436">
        <f>'RT03-F12 #'!A46</f>
        <v>0</v>
      </c>
      <c r="F75" s="405"/>
      <c r="G75" s="405"/>
    </row>
    <row r="76" spans="1:7" ht="30" customHeight="1" thickBot="1" x14ac:dyDescent="0.25">
      <c r="A76" s="1407" t="s">
        <v>554</v>
      </c>
      <c r="B76" s="1408"/>
      <c r="C76" s="437" t="s">
        <v>555</v>
      </c>
      <c r="D76" s="437" t="s">
        <v>555</v>
      </c>
      <c r="E76" s="437" t="s">
        <v>555</v>
      </c>
      <c r="F76" s="405"/>
      <c r="G76" s="405"/>
    </row>
    <row r="77" spans="1:7" ht="20.100000000000001" customHeight="1" x14ac:dyDescent="0.2">
      <c r="A77" s="1409">
        <f>'RT03-F12 #'!B43</f>
        <v>1</v>
      </c>
      <c r="B77" s="1410"/>
      <c r="C77" s="438">
        <f>'RT03-F12 #'!B44</f>
        <v>0</v>
      </c>
      <c r="D77" s="438">
        <f>'RT03-F12 #'!B45</f>
        <v>0</v>
      </c>
      <c r="E77" s="439">
        <f>'RT03-F12 #'!B46</f>
        <v>0</v>
      </c>
      <c r="F77" s="405"/>
      <c r="G77" s="405"/>
    </row>
    <row r="78" spans="1:7" ht="20.100000000000001" customHeight="1" x14ac:dyDescent="0.2">
      <c r="A78" s="1411">
        <f>'RT03-F12 #'!C43</f>
        <v>2</v>
      </c>
      <c r="B78" s="1412"/>
      <c r="C78" s="440">
        <f>'RT03-F12 #'!C44</f>
        <v>0</v>
      </c>
      <c r="D78" s="440">
        <f>'RT03-F12 #'!C45</f>
        <v>0</v>
      </c>
      <c r="E78" s="441">
        <f>'RT03-F12 #'!C46</f>
        <v>0</v>
      </c>
      <c r="F78" s="405"/>
      <c r="G78" s="405"/>
    </row>
    <row r="79" spans="1:7" ht="20.100000000000001" customHeight="1" x14ac:dyDescent="0.2">
      <c r="A79" s="1411">
        <f>'RT03-F12 #'!D43</f>
        <v>3</v>
      </c>
      <c r="B79" s="1412"/>
      <c r="C79" s="440">
        <f>'RT03-F12 #'!D44</f>
        <v>0</v>
      </c>
      <c r="D79" s="440">
        <f>'RT03-F12 #'!D45</f>
        <v>0</v>
      </c>
      <c r="E79" s="441">
        <f>'RT03-F12 #'!D46</f>
        <v>0</v>
      </c>
      <c r="F79" s="405"/>
      <c r="G79" s="405"/>
    </row>
    <row r="80" spans="1:7" ht="20.100000000000001" customHeight="1" x14ac:dyDescent="0.2">
      <c r="A80" s="1411">
        <f>'RT03-F12 #'!E43</f>
        <v>4</v>
      </c>
      <c r="B80" s="1412"/>
      <c r="C80" s="440">
        <f>'RT03-F12 #'!E44</f>
        <v>0</v>
      </c>
      <c r="D80" s="440">
        <f>'RT03-F12 #'!E45</f>
        <v>0</v>
      </c>
      <c r="E80" s="441">
        <f>'RT03-F12 #'!E46</f>
        <v>0</v>
      </c>
      <c r="F80" s="405"/>
      <c r="G80" s="405"/>
    </row>
    <row r="81" spans="1:7" ht="20.100000000000001" customHeight="1" x14ac:dyDescent="0.2">
      <c r="A81" s="1411">
        <f>'RT03-F12 #'!F43</f>
        <v>5</v>
      </c>
      <c r="B81" s="1412"/>
      <c r="C81" s="440">
        <f>'RT03-F12 #'!F44</f>
        <v>0</v>
      </c>
      <c r="D81" s="440">
        <f>'RT03-F12 #'!F45</f>
        <v>0</v>
      </c>
      <c r="E81" s="441">
        <f>'RT03-F12 #'!F46</f>
        <v>0</v>
      </c>
      <c r="F81" s="405"/>
      <c r="G81" s="405"/>
    </row>
    <row r="82" spans="1:7" ht="20.100000000000001" customHeight="1" x14ac:dyDescent="0.2">
      <c r="A82" s="1411">
        <f>'RT03-F12 #'!G43</f>
        <v>6</v>
      </c>
      <c r="B82" s="1412"/>
      <c r="C82" s="440">
        <f>'RT03-F12 #'!G44</f>
        <v>0</v>
      </c>
      <c r="D82" s="440">
        <f>'RT03-F12 #'!G45</f>
        <v>0</v>
      </c>
      <c r="E82" s="441">
        <f>'RT03-F12 #'!G46</f>
        <v>0</v>
      </c>
      <c r="F82" s="405"/>
      <c r="G82" s="405"/>
    </row>
    <row r="83" spans="1:7" ht="20.100000000000001" customHeight="1" x14ac:dyDescent="0.2">
      <c r="A83" s="1411">
        <f>'RT03-F12 #'!H43</f>
        <v>7</v>
      </c>
      <c r="B83" s="1412"/>
      <c r="C83" s="440">
        <f>'RT03-F12 #'!H44</f>
        <v>0</v>
      </c>
      <c r="D83" s="440">
        <f>'RT03-F12 #'!H45</f>
        <v>0</v>
      </c>
      <c r="E83" s="441">
        <f>'RT03-F12 #'!H46</f>
        <v>0</v>
      </c>
      <c r="F83" s="405"/>
      <c r="G83" s="405"/>
    </row>
    <row r="84" spans="1:7" ht="20.100000000000001" customHeight="1" x14ac:dyDescent="0.2">
      <c r="A84" s="1411">
        <f>'RT03-F12 #'!I43</f>
        <v>8</v>
      </c>
      <c r="B84" s="1412"/>
      <c r="C84" s="440">
        <f>'RT03-F12 #'!I44</f>
        <v>0</v>
      </c>
      <c r="D84" s="440">
        <f>'RT03-F12 #'!I45</f>
        <v>0</v>
      </c>
      <c r="E84" s="441">
        <f>'RT03-F12 #'!I46</f>
        <v>0</v>
      </c>
      <c r="F84" s="405"/>
      <c r="G84" s="405"/>
    </row>
    <row r="85" spans="1:7" ht="20.100000000000001" customHeight="1" x14ac:dyDescent="0.2">
      <c r="A85" s="1411">
        <f>'RT03-F12 #'!J43</f>
        <v>9</v>
      </c>
      <c r="B85" s="1412"/>
      <c r="C85" s="440">
        <f>'RT03-F12 #'!J44</f>
        <v>0</v>
      </c>
      <c r="D85" s="440">
        <f>'RT03-F12 #'!J45</f>
        <v>0</v>
      </c>
      <c r="E85" s="441">
        <f>'RT03-F12 #'!J46</f>
        <v>0</v>
      </c>
      <c r="F85" s="405"/>
      <c r="G85" s="405"/>
    </row>
    <row r="86" spans="1:7" ht="20.100000000000001" customHeight="1" thickBot="1" x14ac:dyDescent="0.25">
      <c r="A86" s="1477">
        <f>'RT03-F12 #'!K43</f>
        <v>10</v>
      </c>
      <c r="B86" s="1478"/>
      <c r="C86" s="442">
        <f>'RT03-F12 #'!K44</f>
        <v>0</v>
      </c>
      <c r="D86" s="442">
        <f>'RT03-F12 #'!K45</f>
        <v>0</v>
      </c>
      <c r="E86" s="443">
        <f>'RT03-F12 #'!K46</f>
        <v>0</v>
      </c>
      <c r="F86" s="712"/>
      <c r="G86" s="712"/>
    </row>
    <row r="87" spans="1:7" ht="12" customHeight="1" x14ac:dyDescent="0.2">
      <c r="A87" s="405"/>
      <c r="B87" s="405"/>
      <c r="C87" s="405"/>
      <c r="D87" s="405"/>
      <c r="E87" s="712"/>
      <c r="F87" s="712"/>
      <c r="G87" s="712"/>
    </row>
    <row r="88" spans="1:7" ht="48" customHeight="1" x14ac:dyDescent="0.2">
      <c r="A88" s="1481" t="s">
        <v>556</v>
      </c>
      <c r="B88" s="1481"/>
      <c r="C88" s="1481"/>
      <c r="D88" s="1481"/>
      <c r="E88" s="1481"/>
      <c r="F88" s="1481"/>
      <c r="G88" s="1481"/>
    </row>
    <row r="89" spans="1:7" ht="12" customHeight="1" x14ac:dyDescent="0.2">
      <c r="F89" s="712"/>
      <c r="G89" s="712"/>
    </row>
    <row r="90" spans="1:7" ht="23.1" customHeight="1" x14ac:dyDescent="0.2">
      <c r="A90" s="1414" t="s">
        <v>557</v>
      </c>
      <c r="B90" s="1414"/>
      <c r="C90" s="1414"/>
      <c r="D90" s="1414"/>
      <c r="E90" s="1414"/>
      <c r="F90" s="405"/>
      <c r="G90" s="405"/>
    </row>
    <row r="91" spans="1:7" ht="12" customHeight="1" thickBot="1" x14ac:dyDescent="0.25"/>
    <row r="92" spans="1:7" ht="30.95" customHeight="1" thickBot="1" x14ac:dyDescent="0.25">
      <c r="A92" s="1473" t="s">
        <v>558</v>
      </c>
      <c r="B92" s="1474"/>
      <c r="C92" s="1474"/>
      <c r="D92" s="1475"/>
      <c r="E92" s="405"/>
      <c r="F92" s="405"/>
      <c r="G92" s="405"/>
    </row>
    <row r="93" spans="1:7" ht="30" customHeight="1" thickBot="1" x14ac:dyDescent="0.25">
      <c r="A93" s="1421" t="s">
        <v>302</v>
      </c>
      <c r="B93" s="1421"/>
      <c r="C93" s="707" t="s">
        <v>559</v>
      </c>
      <c r="D93" s="707" t="s">
        <v>473</v>
      </c>
      <c r="E93" s="405"/>
      <c r="F93" s="405"/>
      <c r="G93" s="405"/>
    </row>
    <row r="94" spans="1:7" ht="20.100000000000001" customHeight="1" x14ac:dyDescent="0.2">
      <c r="A94" s="1479" t="e">
        <f>'RT03-F12 #'!K89</f>
        <v>#N/A</v>
      </c>
      <c r="B94" s="1480"/>
      <c r="C94" s="444">
        <f>'RT03-F12 #'!C55</f>
        <v>0</v>
      </c>
      <c r="D94" s="445" t="e">
        <f>'RT03-F12 #'!D55</f>
        <v>#N/A</v>
      </c>
      <c r="E94" s="747"/>
      <c r="F94" s="405"/>
      <c r="G94" s="405"/>
    </row>
    <row r="95" spans="1:7" ht="20.100000000000001" customHeight="1" x14ac:dyDescent="0.2">
      <c r="A95" s="1488" t="e">
        <f>'RT03-F12 #'!K90</f>
        <v>#N/A</v>
      </c>
      <c r="B95" s="1489"/>
      <c r="C95" s="440">
        <f>'RT03-F12 #'!C56</f>
        <v>0</v>
      </c>
      <c r="D95" s="446" t="e">
        <f>'RT03-F12 #'!D56</f>
        <v>#N/A</v>
      </c>
      <c r="E95" s="747"/>
      <c r="F95" s="405"/>
      <c r="G95" s="405"/>
    </row>
    <row r="96" spans="1:7" ht="20.100000000000001" customHeight="1" x14ac:dyDescent="0.2">
      <c r="A96" s="1488" t="e">
        <f>'RT03-F12 #'!K91</f>
        <v>#N/A</v>
      </c>
      <c r="B96" s="1489"/>
      <c r="C96" s="440">
        <f>'RT03-F12 #'!C57</f>
        <v>0</v>
      </c>
      <c r="D96" s="446" t="e">
        <f>'RT03-F12 #'!D57</f>
        <v>#N/A</v>
      </c>
      <c r="E96" s="747"/>
      <c r="F96" s="405"/>
      <c r="G96" s="405"/>
    </row>
    <row r="97" spans="1:7" ht="20.100000000000001" customHeight="1" x14ac:dyDescent="0.2">
      <c r="A97" s="1488" t="e">
        <f>'RT03-F12 #'!K92</f>
        <v>#N/A</v>
      </c>
      <c r="B97" s="1489"/>
      <c r="C97" s="440">
        <f>'RT03-F12 #'!C58</f>
        <v>0</v>
      </c>
      <c r="D97" s="447" t="e">
        <f>'RT03-F12 #'!D58</f>
        <v>#N/A</v>
      </c>
      <c r="E97" s="747"/>
      <c r="F97" s="405"/>
      <c r="G97" s="405"/>
    </row>
    <row r="98" spans="1:7" ht="20.100000000000001" customHeight="1" thickBot="1" x14ac:dyDescent="0.25">
      <c r="A98" s="1419" t="e">
        <f>'RT03-F12 #'!K93</f>
        <v>#N/A</v>
      </c>
      <c r="B98" s="1420"/>
      <c r="C98" s="442">
        <f>'RT03-F12 #'!C59</f>
        <v>0</v>
      </c>
      <c r="D98" s="448" t="e">
        <f>'RT03-F12 #'!D59</f>
        <v>#N/A</v>
      </c>
      <c r="E98" s="747"/>
      <c r="F98" s="405"/>
      <c r="G98" s="405"/>
    </row>
    <row r="99" spans="1:7" ht="15.95" customHeight="1" thickBot="1" x14ac:dyDescent="0.25">
      <c r="A99" s="449"/>
      <c r="B99" s="449"/>
      <c r="C99" s="449"/>
      <c r="D99" s="449"/>
      <c r="E99" s="405"/>
      <c r="F99" s="405"/>
      <c r="G99" s="449"/>
    </row>
    <row r="100" spans="1:7" ht="18.75" customHeight="1" thickBot="1" x14ac:dyDescent="0.25">
      <c r="A100" s="1422" t="s">
        <v>560</v>
      </c>
      <c r="B100" s="1423"/>
      <c r="C100" s="1424"/>
      <c r="D100" s="1425"/>
      <c r="E100" s="472" t="s">
        <v>561</v>
      </c>
      <c r="F100" s="405"/>
      <c r="G100" s="449"/>
    </row>
    <row r="101" spans="1:7" ht="30" customHeight="1" thickBot="1" x14ac:dyDescent="0.25">
      <c r="A101" s="1421" t="s">
        <v>302</v>
      </c>
      <c r="B101" s="1421"/>
      <c r="C101" s="450" t="s">
        <v>562</v>
      </c>
      <c r="D101" s="450" t="s">
        <v>474</v>
      </c>
      <c r="E101" s="450" t="s">
        <v>563</v>
      </c>
      <c r="F101" s="405"/>
      <c r="G101" s="449"/>
    </row>
    <row r="102" spans="1:7" ht="20.100000000000001" customHeight="1" x14ac:dyDescent="0.2">
      <c r="A102" s="1482" t="e">
        <f>'RT03-F12 #'!K89</f>
        <v>#N/A</v>
      </c>
      <c r="B102" s="1483"/>
      <c r="C102" s="697" t="e">
        <f>'RT03-F12 #'!M89</f>
        <v>#DIV/0!</v>
      </c>
      <c r="D102" s="698" t="e">
        <f>IF('RT03-F12 #'!O89&lt;=('RT03-F12 #'!Q89),' CMC #'!C21,'RT03-F12 #'!O89)</f>
        <v>#N/A</v>
      </c>
      <c r="E102" s="699" t="e">
        <f>'Pc # '!N7</f>
        <v>#DIV/0!</v>
      </c>
      <c r="F102" s="451"/>
      <c r="G102" s="452"/>
    </row>
    <row r="103" spans="1:7" ht="20.100000000000001" customHeight="1" x14ac:dyDescent="0.2">
      <c r="A103" s="1484" t="e">
        <f>'RT03-F12 #'!K90</f>
        <v>#N/A</v>
      </c>
      <c r="B103" s="1485"/>
      <c r="C103" s="475" t="e">
        <f>'RT03-F12 #'!M90</f>
        <v>#DIV/0!</v>
      </c>
      <c r="D103" s="473" t="e">
        <f>IF('RT03-F12 #'!O90&lt;=('RT03-F12 #'!Q90),' CMC #'!C21,'RT03-F12 #'!O90)</f>
        <v>#N/A</v>
      </c>
      <c r="E103" s="474" t="e">
        <f>'Pc # '!N8</f>
        <v>#DIV/0!</v>
      </c>
      <c r="F103" s="451"/>
      <c r="G103" s="453"/>
    </row>
    <row r="104" spans="1:7" ht="20.100000000000001" customHeight="1" x14ac:dyDescent="0.2">
      <c r="A104" s="1484" t="e">
        <f>'RT03-F12 #'!K91</f>
        <v>#N/A</v>
      </c>
      <c r="B104" s="1485"/>
      <c r="C104" s="475" t="e">
        <f>'RT03-F12 #'!M91</f>
        <v>#DIV/0!</v>
      </c>
      <c r="D104" s="481" t="e">
        <f>IF('RT03-F12 #'!O91&lt;=('RT03-F12 #'!Q91),' CMC #'!C21,'RT03-F12 #'!O91)</f>
        <v>#N/A</v>
      </c>
      <c r="E104" s="474" t="e">
        <f>'Pc # '!N9</f>
        <v>#DIV/0!</v>
      </c>
      <c r="F104" s="451"/>
      <c r="G104" s="453"/>
    </row>
    <row r="105" spans="1:7" ht="20.100000000000001" customHeight="1" x14ac:dyDescent="0.2">
      <c r="A105" s="1484" t="e">
        <f>'RT03-F12 #'!K92</f>
        <v>#N/A</v>
      </c>
      <c r="B105" s="1485"/>
      <c r="C105" s="477" t="e">
        <f>'RT03-F12 #'!M92</f>
        <v>#DIV/0!</v>
      </c>
      <c r="D105" s="476" t="e">
        <f>IF('RT03-F12 #'!O92&lt;=('RT03-F12 #'!Q92),' CMC #'!C21,'RT03-F12 #'!O92)</f>
        <v>#N/A</v>
      </c>
      <c r="E105" s="474" t="e">
        <f>'Pc # '!N10</f>
        <v>#DIV/0!</v>
      </c>
      <c r="F105" s="451"/>
      <c r="G105" s="453"/>
    </row>
    <row r="106" spans="1:7" ht="20.100000000000001" customHeight="1" thickBot="1" x14ac:dyDescent="0.25">
      <c r="A106" s="1486" t="e">
        <f>'RT03-F12 #'!K93</f>
        <v>#N/A</v>
      </c>
      <c r="B106" s="1487"/>
      <c r="C106" s="478" t="e">
        <f>'RT03-F12 #'!M93</f>
        <v>#DIV/0!</v>
      </c>
      <c r="D106" s="479" t="e">
        <f>IF('RT03-F12 #'!O93&lt;=('RT03-F12 #'!Q93),' CMC #'!C21,'RT03-F12 #'!O93)</f>
        <v>#N/A</v>
      </c>
      <c r="E106" s="700" t="e">
        <f>'Pc # '!N11</f>
        <v>#DIV/0!</v>
      </c>
      <c r="F106" s="454"/>
      <c r="G106" s="453"/>
    </row>
    <row r="107" spans="1:7" ht="20.100000000000001" customHeight="1" x14ac:dyDescent="0.2">
      <c r="A107" s="455"/>
      <c r="B107" s="455"/>
      <c r="C107" s="456"/>
      <c r="D107" s="456"/>
      <c r="E107" s="457"/>
      <c r="F107" s="454"/>
      <c r="G107" s="453"/>
    </row>
    <row r="108" spans="1:7" ht="125.1" customHeight="1" x14ac:dyDescent="0.2">
      <c r="A108" s="455"/>
      <c r="B108" s="455"/>
      <c r="C108" s="456"/>
      <c r="D108" s="456"/>
      <c r="E108" s="457"/>
      <c r="F108" s="454"/>
      <c r="G108" s="453"/>
    </row>
    <row r="109" spans="1:7" ht="35.1" customHeight="1" x14ac:dyDescent="0.2">
      <c r="A109" s="455"/>
      <c r="B109" s="455"/>
      <c r="C109" s="456"/>
      <c r="D109" s="456"/>
      <c r="E109" s="457"/>
      <c r="F109" s="454"/>
      <c r="G109" s="453"/>
    </row>
    <row r="110" spans="1:7" ht="35.1" customHeight="1" x14ac:dyDescent="0.2">
      <c r="A110" s="455"/>
      <c r="E110" s="763"/>
      <c r="F110" s="763"/>
      <c r="G110" s="404" t="e">
        <f>G3</f>
        <v>#N/A</v>
      </c>
    </row>
    <row r="111" spans="1:7" ht="30" customHeight="1" x14ac:dyDescent="0.2">
      <c r="A111" s="455"/>
      <c r="D111" s="405"/>
    </row>
    <row r="112" spans="1:7" ht="30" customHeight="1" thickBot="1" x14ac:dyDescent="0.25">
      <c r="A112" s="455"/>
      <c r="C112" s="458"/>
      <c r="D112" s="405"/>
    </row>
    <row r="113" spans="1:7" ht="30" customHeight="1" thickBot="1" x14ac:dyDescent="0.25">
      <c r="A113" s="455"/>
      <c r="B113" s="1415" t="s">
        <v>292</v>
      </c>
      <c r="C113" s="1416"/>
      <c r="D113" s="786" t="s">
        <v>293</v>
      </c>
      <c r="E113" s="787" t="s">
        <v>564</v>
      </c>
      <c r="F113" s="792"/>
    </row>
    <row r="114" spans="1:7" ht="30" customHeight="1" x14ac:dyDescent="0.2">
      <c r="A114" s="455"/>
      <c r="B114" s="1417" t="e">
        <f>VLOOKUP($F$113,'DATOS # '!$B$201:$F$202,2,FALSE)</f>
        <v>#N/A</v>
      </c>
      <c r="C114" s="1418"/>
      <c r="D114" s="788" t="e">
        <f>VLOOKUP($F$113,'DATOS # '!$B$201:$F$202,3,FALSE)</f>
        <v>#N/A</v>
      </c>
      <c r="E114" s="789">
        <v>1</v>
      </c>
    </row>
    <row r="115" spans="1:7" ht="30" customHeight="1" thickBot="1" x14ac:dyDescent="0.25">
      <c r="A115" s="455"/>
      <c r="B115" s="1495" t="e">
        <f>VLOOKUP($F$113,'DATOS # '!$B$201:$F$202,4,FALSE)</f>
        <v>#N/A</v>
      </c>
      <c r="C115" s="1496"/>
      <c r="D115" s="790" t="e">
        <f>VLOOKUP($F$113,'DATOS # '!$B$201:$F$202,5,FALSE)</f>
        <v>#N/A</v>
      </c>
      <c r="E115" s="791">
        <v>2</v>
      </c>
    </row>
    <row r="116" spans="1:7" ht="30" customHeight="1" x14ac:dyDescent="0.2"/>
    <row r="117" spans="1:7" ht="15" customHeight="1" x14ac:dyDescent="0.2">
      <c r="A117" s="405"/>
      <c r="B117" s="405"/>
      <c r="C117" s="405"/>
      <c r="D117" s="405"/>
      <c r="E117" s="405"/>
      <c r="F117" s="405"/>
      <c r="G117" s="405"/>
    </row>
    <row r="118" spans="1:7" ht="15" customHeight="1" x14ac:dyDescent="0.2">
      <c r="A118" s="405"/>
      <c r="B118" s="405"/>
      <c r="C118" s="405"/>
      <c r="D118" s="405"/>
      <c r="E118" s="405"/>
      <c r="F118" s="405"/>
      <c r="G118" s="405"/>
    </row>
    <row r="119" spans="1:7" ht="15" customHeight="1" x14ac:dyDescent="0.2">
      <c r="A119" s="405"/>
      <c r="B119" s="405"/>
      <c r="C119" s="405"/>
      <c r="D119" s="405"/>
      <c r="E119" s="405"/>
      <c r="F119" s="405"/>
      <c r="G119" s="405"/>
    </row>
    <row r="120" spans="1:7" ht="15" customHeight="1" x14ac:dyDescent="0.2">
      <c r="A120" s="405"/>
      <c r="B120" s="405"/>
      <c r="C120" s="405"/>
      <c r="D120" s="405"/>
      <c r="E120" s="405"/>
      <c r="F120" s="405"/>
      <c r="G120" s="405"/>
    </row>
    <row r="121" spans="1:7" ht="15" customHeight="1" x14ac:dyDescent="0.2">
      <c r="A121" s="405"/>
      <c r="B121" s="405"/>
      <c r="C121" s="405"/>
      <c r="D121" s="405"/>
      <c r="E121" s="405"/>
      <c r="F121" s="405"/>
      <c r="G121" s="405"/>
    </row>
    <row r="122" spans="1:7" ht="15" customHeight="1" x14ac:dyDescent="0.2">
      <c r="A122" s="405"/>
      <c r="B122" s="405"/>
      <c r="C122" s="405"/>
      <c r="D122" s="405"/>
      <c r="E122" s="405"/>
      <c r="F122" s="405"/>
      <c r="G122" s="405"/>
    </row>
    <row r="123" spans="1:7" ht="15" customHeight="1" x14ac:dyDescent="0.2">
      <c r="A123" s="405"/>
      <c r="B123" s="405"/>
      <c r="C123" s="405"/>
      <c r="D123" s="405"/>
      <c r="E123" s="405"/>
      <c r="F123" s="405"/>
      <c r="G123" s="405"/>
    </row>
    <row r="124" spans="1:7" ht="15" customHeight="1" x14ac:dyDescent="0.2">
      <c r="A124" s="405"/>
      <c r="B124" s="405"/>
      <c r="C124" s="405"/>
      <c r="D124" s="405"/>
      <c r="E124" s="405"/>
      <c r="F124" s="405"/>
      <c r="G124" s="405"/>
    </row>
    <row r="125" spans="1:7" ht="15" customHeight="1" x14ac:dyDescent="0.2">
      <c r="A125" s="405"/>
      <c r="B125" s="405"/>
      <c r="C125" s="405"/>
      <c r="D125" s="405"/>
      <c r="E125" s="405"/>
      <c r="F125" s="405"/>
      <c r="G125" s="405"/>
    </row>
    <row r="126" spans="1:7" ht="15" customHeight="1" x14ac:dyDescent="0.2">
      <c r="A126" s="405"/>
      <c r="B126" s="405"/>
      <c r="C126" s="405"/>
      <c r="D126" s="405"/>
      <c r="E126" s="405"/>
      <c r="F126" s="405"/>
      <c r="G126" s="405"/>
    </row>
    <row r="127" spans="1:7" ht="15" customHeight="1" x14ac:dyDescent="0.2">
      <c r="A127" s="405"/>
      <c r="B127" s="405"/>
      <c r="C127" s="405"/>
      <c r="D127" s="405"/>
      <c r="E127" s="405"/>
      <c r="F127" s="405"/>
      <c r="G127" s="405"/>
    </row>
    <row r="128" spans="1:7" ht="15" customHeight="1" x14ac:dyDescent="0.2">
      <c r="E128" s="405"/>
      <c r="F128" s="405"/>
      <c r="G128" s="405"/>
    </row>
    <row r="129" spans="1:8" ht="15" customHeight="1" x14ac:dyDescent="0.2">
      <c r="A129" s="405"/>
      <c r="B129" s="405"/>
      <c r="C129" s="405"/>
      <c r="D129" s="405"/>
      <c r="E129" s="405"/>
      <c r="F129" s="405"/>
      <c r="G129" s="405"/>
    </row>
    <row r="130" spans="1:8" ht="32.1" customHeight="1" x14ac:dyDescent="0.2">
      <c r="A130" s="405"/>
      <c r="B130" s="405"/>
      <c r="C130" s="405"/>
      <c r="D130" s="405"/>
      <c r="E130" s="405"/>
      <c r="F130" s="405"/>
      <c r="G130" s="405"/>
    </row>
    <row r="131" spans="1:8" ht="69.95" customHeight="1" x14ac:dyDescent="0.2">
      <c r="A131" s="1494" t="s">
        <v>565</v>
      </c>
      <c r="B131" s="1494"/>
      <c r="C131" s="1494"/>
      <c r="D131" s="1494"/>
      <c r="E131" s="1494"/>
      <c r="F131" s="1494"/>
      <c r="G131" s="1494"/>
    </row>
    <row r="132" spans="1:8" ht="23.1" customHeight="1" x14ac:dyDescent="0.2">
      <c r="A132" s="713"/>
      <c r="B132" s="713"/>
      <c r="C132" s="713"/>
      <c r="D132" s="713"/>
      <c r="E132" s="713"/>
      <c r="F132" s="713"/>
      <c r="G132" s="713"/>
    </row>
    <row r="133" spans="1:8" ht="21" customHeight="1" x14ac:dyDescent="0.2">
      <c r="A133" s="459"/>
      <c r="B133" s="459"/>
      <c r="C133" s="480"/>
      <c r="D133" s="480"/>
      <c r="E133" s="480"/>
      <c r="F133" s="480"/>
      <c r="G133" s="459"/>
    </row>
    <row r="134" spans="1:8" ht="21" customHeight="1" x14ac:dyDescent="0.2">
      <c r="A134" s="459"/>
      <c r="B134" s="459"/>
      <c r="C134" s="480"/>
      <c r="D134" s="480"/>
      <c r="E134" s="480"/>
      <c r="F134" s="480"/>
      <c r="G134" s="459"/>
    </row>
    <row r="135" spans="1:8" ht="20.100000000000001" customHeight="1" x14ac:dyDescent="0.2">
      <c r="A135" s="1414"/>
      <c r="B135" s="1414"/>
      <c r="C135" s="1414"/>
      <c r="D135" s="1414"/>
      <c r="E135" s="405"/>
      <c r="F135" s="405"/>
      <c r="G135" s="405"/>
    </row>
    <row r="136" spans="1:8" ht="20.100000000000001" customHeight="1" x14ac:dyDescent="0.2">
      <c r="A136" s="1456" t="s">
        <v>566</v>
      </c>
      <c r="B136" s="1456"/>
      <c r="C136" s="1456"/>
      <c r="D136" s="1456"/>
      <c r="E136" s="1456"/>
      <c r="F136" s="1456"/>
      <c r="G136" s="405"/>
    </row>
    <row r="137" spans="1:8" ht="12" customHeight="1" x14ac:dyDescent="0.2">
      <c r="A137" s="712"/>
      <c r="B137" s="712"/>
      <c r="C137" s="712"/>
      <c r="D137" s="712"/>
      <c r="E137" s="712"/>
      <c r="F137" s="712"/>
      <c r="G137" s="405"/>
    </row>
    <row r="138" spans="1:8" s="460" customFormat="1" ht="57.95" customHeight="1" x14ac:dyDescent="0.25">
      <c r="A138" s="1426" t="s">
        <v>567</v>
      </c>
      <c r="B138" s="1426"/>
      <c r="C138" s="1426"/>
      <c r="D138" s="1426"/>
      <c r="E138" s="1426"/>
      <c r="F138" s="1426"/>
      <c r="G138" s="1426"/>
    </row>
    <row r="139" spans="1:8" ht="24.75" customHeight="1" x14ac:dyDescent="0.2">
      <c r="A139" s="461"/>
      <c r="B139" s="461"/>
      <c r="C139" s="461"/>
      <c r="D139" s="461"/>
      <c r="E139" s="461"/>
      <c r="F139" s="461"/>
      <c r="G139" s="461"/>
    </row>
    <row r="140" spans="1:8" ht="20.100000000000001" customHeight="1" x14ac:dyDescent="0.2">
      <c r="A140" s="413"/>
      <c r="B140" s="413"/>
      <c r="C140" s="413"/>
      <c r="D140" s="413"/>
      <c r="E140" s="413"/>
      <c r="F140" s="413"/>
      <c r="G140" s="413"/>
      <c r="H140" s="462"/>
    </row>
    <row r="141" spans="1:8" ht="18" customHeight="1" x14ac:dyDescent="0.2">
      <c r="A141" s="413"/>
      <c r="B141" s="413"/>
      <c r="C141" s="413"/>
      <c r="D141" s="413"/>
      <c r="E141" s="413"/>
      <c r="F141" s="717"/>
      <c r="G141" s="463"/>
      <c r="H141" s="462"/>
    </row>
    <row r="142" spans="1:8" ht="18" customHeight="1" x14ac:dyDescent="0.2">
      <c r="A142" s="464"/>
      <c r="B142" s="464"/>
      <c r="C142" s="464"/>
      <c r="D142" s="464"/>
      <c r="E142" s="464"/>
      <c r="F142" s="465"/>
      <c r="G142" s="720"/>
      <c r="H142" s="462"/>
    </row>
    <row r="143" spans="1:8" ht="125.1" customHeight="1" x14ac:dyDescent="0.2">
      <c r="A143" s="1457"/>
      <c r="B143" s="1457"/>
      <c r="C143" s="1457"/>
      <c r="D143" s="1457"/>
      <c r="E143" s="1457"/>
      <c r="F143" s="1457"/>
      <c r="G143" s="1457"/>
    </row>
    <row r="144" spans="1:8" ht="35.1" customHeight="1" x14ac:dyDescent="0.2"/>
    <row r="145" spans="1:8" ht="35.1" customHeight="1" x14ac:dyDescent="0.2">
      <c r="E145" s="1413" t="s">
        <v>515</v>
      </c>
      <c r="F145" s="1413"/>
      <c r="G145" s="404" t="e">
        <f>G3</f>
        <v>#N/A</v>
      </c>
    </row>
    <row r="146" spans="1:8" ht="23.1" customHeight="1" x14ac:dyDescent="0.2">
      <c r="E146" s="711"/>
      <c r="F146" s="711"/>
      <c r="G146" s="466"/>
    </row>
    <row r="147" spans="1:8" ht="23.1" customHeight="1" x14ac:dyDescent="0.2">
      <c r="A147" s="1456" t="s">
        <v>568</v>
      </c>
      <c r="B147" s="1456"/>
      <c r="C147" s="1456"/>
      <c r="D147" s="1456"/>
      <c r="E147" s="467"/>
      <c r="F147" s="467"/>
      <c r="G147" s="467"/>
    </row>
    <row r="148" spans="1:8" ht="23.1" customHeight="1" x14ac:dyDescent="0.2">
      <c r="A148" s="1490"/>
      <c r="B148" s="1490"/>
      <c r="C148" s="1490"/>
      <c r="D148" s="1490"/>
      <c r="E148" s="1490"/>
      <c r="F148" s="1490"/>
      <c r="G148" s="1490"/>
    </row>
    <row r="149" spans="1:8" ht="33" customHeight="1" x14ac:dyDescent="0.2">
      <c r="A149" s="402" t="s">
        <v>569</v>
      </c>
      <c r="B149" s="1476" t="s">
        <v>570</v>
      </c>
      <c r="C149" s="1476"/>
      <c r="D149" s="1476"/>
      <c r="E149" s="1476"/>
      <c r="F149" s="1476"/>
      <c r="G149" s="1476"/>
    </row>
    <row r="150" spans="1:8" ht="33" customHeight="1" x14ac:dyDescent="0.2">
      <c r="A150" s="403" t="s">
        <v>569</v>
      </c>
      <c r="B150" s="1426" t="s">
        <v>571</v>
      </c>
      <c r="C150" s="1426"/>
      <c r="D150" s="1426"/>
      <c r="E150" s="1426"/>
      <c r="F150" s="1426"/>
      <c r="G150" s="1426"/>
      <c r="H150" s="413"/>
    </row>
    <row r="151" spans="1:8" ht="33" customHeight="1" x14ac:dyDescent="0.2">
      <c r="A151" s="827" t="s">
        <v>572</v>
      </c>
      <c r="B151" s="1426" t="s">
        <v>573</v>
      </c>
      <c r="C151" s="1426"/>
      <c r="D151" s="1426"/>
      <c r="E151" s="1426"/>
      <c r="F151" s="1426"/>
      <c r="G151" s="1426"/>
      <c r="H151" s="413"/>
    </row>
    <row r="152" spans="1:8" ht="23.1" customHeight="1" x14ac:dyDescent="0.2">
      <c r="A152" s="827" t="s">
        <v>569</v>
      </c>
      <c r="B152" s="1426" t="s">
        <v>574</v>
      </c>
      <c r="C152" s="1426"/>
      <c r="D152" s="1426"/>
      <c r="E152" s="1426"/>
      <c r="F152" s="1426"/>
      <c r="G152" s="1426"/>
    </row>
    <row r="153" spans="1:8" ht="23.1" customHeight="1" x14ac:dyDescent="0.2">
      <c r="A153" s="827" t="s">
        <v>569</v>
      </c>
      <c r="B153" s="1426" t="s">
        <v>575</v>
      </c>
      <c r="C153" s="1426"/>
      <c r="D153" s="1426"/>
      <c r="E153" s="1426"/>
      <c r="F153" s="1426"/>
      <c r="G153" s="1426"/>
    </row>
    <row r="154" spans="1:8" s="413" customFormat="1" ht="33" customHeight="1" x14ac:dyDescent="0.2">
      <c r="A154" s="827" t="s">
        <v>569</v>
      </c>
      <c r="B154" s="1426" t="s">
        <v>576</v>
      </c>
      <c r="C154" s="1426"/>
      <c r="D154" s="1426"/>
      <c r="E154" s="1426"/>
      <c r="F154" s="1426"/>
      <c r="G154" s="1426"/>
    </row>
    <row r="155" spans="1:8" ht="23.1" customHeight="1" x14ac:dyDescent="0.2">
      <c r="A155" s="828" t="s">
        <v>569</v>
      </c>
      <c r="B155" s="1476" t="s">
        <v>577</v>
      </c>
      <c r="C155" s="1476"/>
      <c r="D155" s="1476"/>
      <c r="E155" s="1476"/>
      <c r="F155" s="1476"/>
      <c r="G155" s="1476"/>
    </row>
    <row r="156" spans="1:8" ht="23.1" customHeight="1" x14ac:dyDescent="0.2">
      <c r="A156" s="828" t="s">
        <v>572</v>
      </c>
      <c r="B156" s="1476" t="s">
        <v>578</v>
      </c>
      <c r="C156" s="1476"/>
      <c r="D156" s="1476"/>
      <c r="E156" s="1476"/>
      <c r="F156" s="1476"/>
      <c r="G156" s="1476"/>
    </row>
    <row r="157" spans="1:8" ht="23.1" customHeight="1" x14ac:dyDescent="0.2">
      <c r="A157" s="828" t="s">
        <v>569</v>
      </c>
      <c r="B157" s="1476" t="s">
        <v>579</v>
      </c>
      <c r="C157" s="1476"/>
      <c r="D157" s="1476"/>
      <c r="E157" s="1476"/>
      <c r="F157" s="1476"/>
      <c r="G157" s="1476"/>
    </row>
    <row r="158" spans="1:8" ht="33" customHeight="1" x14ac:dyDescent="0.2">
      <c r="A158" s="828" t="s">
        <v>569</v>
      </c>
      <c r="B158" s="1491" t="s">
        <v>580</v>
      </c>
      <c r="C158" s="1491"/>
      <c r="D158" s="1491"/>
      <c r="E158" s="1491"/>
      <c r="F158" s="1491"/>
      <c r="G158" s="1491"/>
    </row>
    <row r="159" spans="1:8" ht="23.1" customHeight="1" x14ac:dyDescent="0.2">
      <c r="A159" s="468"/>
      <c r="B159" s="1492"/>
      <c r="C159" s="1492"/>
      <c r="D159" s="1492"/>
      <c r="E159" s="1492"/>
      <c r="F159" s="1492"/>
      <c r="G159" s="1492"/>
    </row>
    <row r="160" spans="1:8" ht="20.25" customHeight="1" x14ac:dyDescent="0.2">
      <c r="A160" s="461"/>
      <c r="B160" s="708"/>
      <c r="C160" s="708"/>
      <c r="D160" s="708"/>
      <c r="E160" s="708"/>
      <c r="F160" s="708"/>
      <c r="G160" s="708"/>
    </row>
    <row r="161" spans="1:11" ht="20.100000000000001" customHeight="1" x14ac:dyDescent="0.25">
      <c r="A161" s="1472" t="s">
        <v>581</v>
      </c>
      <c r="B161" s="1472"/>
      <c r="C161" s="1472"/>
      <c r="D161" s="469"/>
      <c r="E161" s="469"/>
      <c r="F161" s="709"/>
      <c r="G161" s="709"/>
    </row>
    <row r="162" spans="1:11" ht="20.100000000000001" customHeight="1" x14ac:dyDescent="0.2">
      <c r="A162" s="708"/>
      <c r="B162" s="708"/>
      <c r="C162" s="708"/>
      <c r="D162" s="708"/>
      <c r="E162" s="708"/>
      <c r="F162" s="708"/>
      <c r="G162" s="708"/>
    </row>
    <row r="163" spans="1:11" ht="20.100000000000001" customHeight="1" x14ac:dyDescent="0.2">
      <c r="A163" s="1397"/>
      <c r="B163" s="1397"/>
      <c r="C163" s="1397"/>
      <c r="D163" s="1397"/>
      <c r="E163" s="1397"/>
      <c r="F163" s="1397"/>
      <c r="G163" s="1397"/>
    </row>
    <row r="164" spans="1:11" ht="30" customHeight="1" x14ac:dyDescent="0.2">
      <c r="A164" s="470"/>
      <c r="B164" s="470"/>
      <c r="C164" s="470"/>
      <c r="D164" s="748"/>
      <c r="E164" s="716"/>
      <c r="F164" s="716"/>
      <c r="G164" s="748"/>
    </row>
    <row r="165" spans="1:11" ht="20.100000000000001" customHeight="1" x14ac:dyDescent="0.2">
      <c r="A165" s="1398" t="s">
        <v>582</v>
      </c>
      <c r="B165" s="1398"/>
      <c r="C165" s="1398"/>
      <c r="D165" s="1398"/>
      <c r="E165" s="1398" t="s">
        <v>583</v>
      </c>
      <c r="F165" s="1398"/>
      <c r="G165" s="1398"/>
    </row>
    <row r="166" spans="1:11" ht="23.1" customHeight="1" x14ac:dyDescent="0.2">
      <c r="A166" s="1400" t="s">
        <v>584</v>
      </c>
      <c r="B166" s="1400"/>
      <c r="C166" s="1400"/>
      <c r="D166" s="1400"/>
      <c r="E166" s="1400" t="s">
        <v>585</v>
      </c>
      <c r="F166" s="1400"/>
      <c r="G166" s="1400"/>
    </row>
    <row r="167" spans="1:11" ht="23.1" customHeight="1" x14ac:dyDescent="0.2">
      <c r="A167" s="1399" t="e">
        <f>VLOOKUP($D$164,'DATOS # '!$B$183:$E$186,4,FALSE)</f>
        <v>#N/A</v>
      </c>
      <c r="B167" s="1399"/>
      <c r="C167" s="1399"/>
      <c r="D167" s="1399"/>
      <c r="E167" s="1399" t="e">
        <f>VLOOKUP($G$164,'DATOS # '!B183:G186,6,FALSE)</f>
        <v>#N/A</v>
      </c>
      <c r="F167" s="1399"/>
      <c r="G167" s="1399"/>
    </row>
    <row r="168" spans="1:11" ht="23.1" customHeight="1" x14ac:dyDescent="0.2">
      <c r="A168" s="1399" t="e">
        <f>VLOOKUP($D$164,'DATOS # '!$B$183:$E$186,2,FALSE)</f>
        <v>#N/A</v>
      </c>
      <c r="B168" s="1399"/>
      <c r="C168" s="1399"/>
      <c r="D168" s="1399"/>
      <c r="E168" s="1399" t="e">
        <f>VLOOKUP($G$164,'DATOS # '!B183:G186,2,FALSE)</f>
        <v>#N/A</v>
      </c>
      <c r="F168" s="1399"/>
      <c r="G168" s="1399"/>
    </row>
    <row r="169" spans="1:11" ht="15" customHeight="1" x14ac:dyDescent="0.2">
      <c r="A169" s="413"/>
      <c r="B169" s="413"/>
      <c r="C169" s="413"/>
      <c r="D169" s="413"/>
      <c r="E169" s="413"/>
      <c r="F169" s="413"/>
      <c r="G169" s="413"/>
    </row>
    <row r="170" spans="1:11" ht="20.25" customHeight="1" x14ac:dyDescent="0.2"/>
    <row r="171" spans="1:11" ht="29.25" customHeight="1" x14ac:dyDescent="0.2">
      <c r="A171" s="1402" t="s">
        <v>586</v>
      </c>
      <c r="B171" s="1402"/>
      <c r="C171" s="826"/>
      <c r="D171" s="471"/>
      <c r="E171" s="1401" t="s">
        <v>587</v>
      </c>
      <c r="F171" s="1401"/>
      <c r="G171" s="825"/>
    </row>
    <row r="173" spans="1:11" ht="23.1" customHeight="1" x14ac:dyDescent="0.25">
      <c r="A173" s="1396" t="s">
        <v>588</v>
      </c>
      <c r="B173" s="1396"/>
      <c r="C173" s="1396"/>
      <c r="D173" s="1396"/>
      <c r="E173" s="1396"/>
      <c r="F173" s="1396"/>
      <c r="G173" s="1396"/>
      <c r="K173" s="714"/>
    </row>
  </sheetData>
  <sheetProtection algorithmName="SHA-512" hashValue="5w2MvWUgtTaNs/VahVgSnSxno73/XHQlUR5ULA/f4JNoAQBOwvgAWy91sbDrpizabVYTF1vGRolO84ZUolPp9A==" saltValue="yUQF3bYx4SGHHVNLEhGTIw==" spinCount="100000" sheet="1" objects="1" scenarios="1"/>
  <mergeCells count="126">
    <mergeCell ref="B155:G155"/>
    <mergeCell ref="B156:G156"/>
    <mergeCell ref="B157:G157"/>
    <mergeCell ref="B158:G158"/>
    <mergeCell ref="B159:G159"/>
    <mergeCell ref="A74:E74"/>
    <mergeCell ref="A79:B79"/>
    <mergeCell ref="A80:B80"/>
    <mergeCell ref="A81:B81"/>
    <mergeCell ref="A82:B82"/>
    <mergeCell ref="A131:G131"/>
    <mergeCell ref="A143:G143"/>
    <mergeCell ref="A83:B83"/>
    <mergeCell ref="B115:C115"/>
    <mergeCell ref="B150:G150"/>
    <mergeCell ref="B151:G151"/>
    <mergeCell ref="B152:G152"/>
    <mergeCell ref="B153:G153"/>
    <mergeCell ref="B154:G154"/>
    <mergeCell ref="A161:C161"/>
    <mergeCell ref="A90:E90"/>
    <mergeCell ref="A92:D92"/>
    <mergeCell ref="B149:G149"/>
    <mergeCell ref="A84:B84"/>
    <mergeCell ref="A85:B85"/>
    <mergeCell ref="A86:B86"/>
    <mergeCell ref="A93:B93"/>
    <mergeCell ref="A94:B94"/>
    <mergeCell ref="A88:G88"/>
    <mergeCell ref="A102:B102"/>
    <mergeCell ref="A103:B103"/>
    <mergeCell ref="A104:B104"/>
    <mergeCell ref="A105:B105"/>
    <mergeCell ref="A106:B106"/>
    <mergeCell ref="A96:B96"/>
    <mergeCell ref="A148:G148"/>
    <mergeCell ref="A147:D147"/>
    <mergeCell ref="E145:F145"/>
    <mergeCell ref="A135:D135"/>
    <mergeCell ref="A136:F136"/>
    <mergeCell ref="A97:B97"/>
    <mergeCell ref="A95:B95"/>
    <mergeCell ref="A138:G138"/>
    <mergeCell ref="A17:C17"/>
    <mergeCell ref="D14:E14"/>
    <mergeCell ref="D15:E15"/>
    <mergeCell ref="A26:C26"/>
    <mergeCell ref="D26:F26"/>
    <mergeCell ref="A23:G23"/>
    <mergeCell ref="A16:C16"/>
    <mergeCell ref="A8:C8"/>
    <mergeCell ref="D8:E8"/>
    <mergeCell ref="A20:C20"/>
    <mergeCell ref="A24:G24"/>
    <mergeCell ref="A1:G1"/>
    <mergeCell ref="E3:F3"/>
    <mergeCell ref="A4:D4"/>
    <mergeCell ref="D6:G6"/>
    <mergeCell ref="A7:C7"/>
    <mergeCell ref="A36:C36"/>
    <mergeCell ref="A52:G52"/>
    <mergeCell ref="D50:E50"/>
    <mergeCell ref="A50:C50"/>
    <mergeCell ref="A10:C10"/>
    <mergeCell ref="E10:F10"/>
    <mergeCell ref="A19:C19"/>
    <mergeCell ref="D17:E17"/>
    <mergeCell ref="A12:G12"/>
    <mergeCell ref="D16:G16"/>
    <mergeCell ref="A41:G41"/>
    <mergeCell ref="A21:C21"/>
    <mergeCell ref="A35:C35"/>
    <mergeCell ref="A30:G30"/>
    <mergeCell ref="A18:C18"/>
    <mergeCell ref="D7:G7"/>
    <mergeCell ref="A6:C6"/>
    <mergeCell ref="A14:C14"/>
    <mergeCell ref="A15:C15"/>
    <mergeCell ref="A28:G28"/>
    <mergeCell ref="A37:G37"/>
    <mergeCell ref="A45:C45"/>
    <mergeCell ref="A48:C48"/>
    <mergeCell ref="D45:E45"/>
    <mergeCell ref="D47:E47"/>
    <mergeCell ref="D48:E48"/>
    <mergeCell ref="A46:C46"/>
    <mergeCell ref="E40:F40"/>
    <mergeCell ref="A47:C47"/>
    <mergeCell ref="A43:G43"/>
    <mergeCell ref="A32:G32"/>
    <mergeCell ref="D49:E49"/>
    <mergeCell ref="A56:D56"/>
    <mergeCell ref="A60:B60"/>
    <mergeCell ref="A61:B61"/>
    <mergeCell ref="A62:B62"/>
    <mergeCell ref="A54:D54"/>
    <mergeCell ref="A58:B58"/>
    <mergeCell ref="A59:B59"/>
    <mergeCell ref="A57:B57"/>
    <mergeCell ref="A63:B63"/>
    <mergeCell ref="A75:B75"/>
    <mergeCell ref="A76:B76"/>
    <mergeCell ref="A77:B77"/>
    <mergeCell ref="A78:B78"/>
    <mergeCell ref="E71:F71"/>
    <mergeCell ref="A72:C72"/>
    <mergeCell ref="B113:C113"/>
    <mergeCell ref="B114:C114"/>
    <mergeCell ref="A98:B98"/>
    <mergeCell ref="A101:B101"/>
    <mergeCell ref="A100:D100"/>
    <mergeCell ref="A66:G67"/>
    <mergeCell ref="A69:G69"/>
    <mergeCell ref="A64:C64"/>
    <mergeCell ref="A173:G173"/>
    <mergeCell ref="A163:G163"/>
    <mergeCell ref="E165:G165"/>
    <mergeCell ref="A167:D167"/>
    <mergeCell ref="E167:G167"/>
    <mergeCell ref="A168:D168"/>
    <mergeCell ref="E168:G168"/>
    <mergeCell ref="A165:D165"/>
    <mergeCell ref="E166:G166"/>
    <mergeCell ref="E171:F171"/>
    <mergeCell ref="A166:D166"/>
    <mergeCell ref="A171:B171"/>
  </mergeCells>
  <phoneticPr fontId="62" type="noConversion"/>
  <dataValidations xWindow="353" yWindow="424" count="2">
    <dataValidation allowBlank="1" showInputMessage="1" showErrorMessage="1" promptTitle="Pesas utilizadas" prompt="Ingresar las pesas utilizadas en la calibración" sqref="D50:E50" xr:uid="{00000000-0002-0000-0500-000000000000}"/>
    <dataValidation allowBlank="1" showInputMessage="1" showErrorMessage="1" promptTitle="Ajustar d y e" prompt="Ajustar división de escala y escalón, según IPFNA" sqref="D20" xr:uid="{00000000-0002-0000-0500-000001000000}"/>
  </dataValidations>
  <pageMargins left="0.70866141732283472" right="0.70866141732283472" top="0.74803149606299213" bottom="0.74803149606299213" header="0.31496062992125984" footer="0.31496062992125984"/>
  <pageSetup scale="65" orientation="portrait" r:id="rId1"/>
  <headerFooter>
    <oddHeader>&amp;C
CERTIFICADO DE CALIBRACIÓN DE INSTRUMENTOS DE PESAJE DE FUNCIONAMIENTO NO AUTOMÁTICO - IPFNA</oddHeader>
    <oddFooter>&amp;RRT03-F15 Vr.14 (2022-03-25)
Página &amp;P de 3</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xWindow="353" yWindow="424" count="2">
        <x14:dataValidation type="list" allowBlank="1" showInputMessage="1" showErrorMessage="1" xr:uid="{00000000-0002-0000-0500-000002000000}">
          <x14:formula1>
            <xm:f>'DATOS # '!$B$183:$B$186</xm:f>
          </x14:formula1>
          <xm:sqref>G164 D164</xm:sqref>
        </x14:dataValidation>
        <x14:dataValidation type="list" allowBlank="1" showInputMessage="1" showErrorMessage="1" xr:uid="{00000000-0002-0000-0500-000003000000}">
          <x14:formula1>
            <xm:f>'DATOS # '!$B$201:$B$203</xm:f>
          </x14:formula1>
          <xm:sqref>F113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R172"/>
  <sheetViews>
    <sheetView showGridLines="0" showRuler="0" showWhiteSpace="0" view="pageBreakPreview" zoomScale="55" zoomScaleNormal="110" zoomScaleSheetLayoutView="55" zoomScalePageLayoutView="85" workbookViewId="0">
      <selection activeCell="J17" sqref="J16:J17"/>
    </sheetView>
  </sheetViews>
  <sheetFormatPr baseColWidth="10" defaultColWidth="11.42578125" defaultRowHeight="15" customHeight="1" x14ac:dyDescent="0.2"/>
  <cols>
    <col min="1" max="1" width="3.42578125" style="49" customWidth="1"/>
    <col min="2" max="2" width="23" style="49" customWidth="1"/>
    <col min="3" max="3" width="19.5703125" style="49" customWidth="1"/>
    <col min="4" max="4" width="18.5703125" style="49" customWidth="1"/>
    <col min="5" max="6" width="17.7109375" style="49" customWidth="1"/>
    <col min="7" max="7" width="21.28515625" style="49" customWidth="1"/>
    <col min="8" max="14" width="11.42578125" style="49"/>
    <col min="15" max="15" width="7.140625" style="49" customWidth="1"/>
    <col min="16" max="18" width="11.42578125" style="49" hidden="1" customWidth="1"/>
    <col min="19" max="16384" width="11.42578125" style="49"/>
  </cols>
  <sheetData>
    <row r="1" spans="1:7" ht="125.1" customHeight="1" x14ac:dyDescent="0.2">
      <c r="A1" s="1457"/>
      <c r="B1" s="1457"/>
      <c r="C1" s="1457"/>
      <c r="D1" s="1457"/>
      <c r="E1" s="1457"/>
      <c r="F1" s="1457"/>
      <c r="G1" s="1457"/>
    </row>
    <row r="2" spans="1:7" ht="35.1" customHeight="1" x14ac:dyDescent="0.2">
      <c r="A2" s="714"/>
      <c r="B2" s="714"/>
      <c r="C2" s="714"/>
    </row>
    <row r="3" spans="1:7" ht="65.099999999999994" customHeight="1" x14ac:dyDescent="0.2">
      <c r="A3" s="714"/>
      <c r="B3" s="714"/>
      <c r="C3" s="714"/>
      <c r="E3" s="1413" t="s">
        <v>515</v>
      </c>
      <c r="F3" s="1413"/>
      <c r="G3" s="404" t="e">
        <f>'RT03-F12 #'!I6</f>
        <v>#N/A</v>
      </c>
    </row>
    <row r="4" spans="1:7" ht="20.100000000000001" customHeight="1" x14ac:dyDescent="0.2">
      <c r="A4" s="1456" t="s">
        <v>516</v>
      </c>
      <c r="B4" s="1456"/>
      <c r="C4" s="1456"/>
      <c r="D4" s="1456"/>
    </row>
    <row r="5" spans="1:7" ht="15.75" customHeight="1" x14ac:dyDescent="0.2">
      <c r="A5" s="720"/>
      <c r="B5" s="720"/>
      <c r="C5" s="405"/>
      <c r="D5" s="405"/>
      <c r="E5" s="405"/>
      <c r="F5" s="405"/>
      <c r="G5" s="405"/>
    </row>
    <row r="6" spans="1:7" ht="23.1" customHeight="1" x14ac:dyDescent="0.2">
      <c r="A6" s="1460" t="s">
        <v>517</v>
      </c>
      <c r="B6" s="1460"/>
      <c r="C6" s="1460"/>
      <c r="D6" s="1458" t="e">
        <f>'RT03-F12 #'!G6</f>
        <v>#N/A</v>
      </c>
      <c r="E6" s="1459"/>
      <c r="F6" s="1459"/>
      <c r="G6" s="1459"/>
    </row>
    <row r="7" spans="1:7" ht="23.1" customHeight="1" x14ac:dyDescent="0.2">
      <c r="A7" s="1460" t="s">
        <v>518</v>
      </c>
      <c r="B7" s="1460"/>
      <c r="C7" s="1460"/>
      <c r="D7" s="1469" t="e">
        <f>'RT03-F12 #'!H6</f>
        <v>#N/A</v>
      </c>
      <c r="E7" s="1469"/>
      <c r="F7" s="1469"/>
      <c r="G7" s="1469"/>
    </row>
    <row r="8" spans="1:7" ht="23.1" customHeight="1" x14ac:dyDescent="0.2">
      <c r="A8" s="1460" t="s">
        <v>519</v>
      </c>
      <c r="B8" s="1460"/>
      <c r="C8" s="1460"/>
      <c r="D8" s="1458" t="e">
        <f>'RT03-F12 #'!B6</f>
        <v>#N/A</v>
      </c>
      <c r="E8" s="1459"/>
      <c r="F8" s="716"/>
      <c r="G8" s="716"/>
    </row>
    <row r="9" spans="1:7" ht="18" customHeight="1" x14ac:dyDescent="0.2">
      <c r="A9" s="717"/>
      <c r="B9" s="717"/>
      <c r="C9" s="717"/>
      <c r="D9" s="715"/>
      <c r="E9" s="717"/>
      <c r="F9" s="406"/>
      <c r="G9" s="406"/>
    </row>
    <row r="10" spans="1:7" ht="23.1" customHeight="1" x14ac:dyDescent="0.2">
      <c r="A10" s="1460" t="s">
        <v>520</v>
      </c>
      <c r="B10" s="1460"/>
      <c r="C10" s="1460"/>
      <c r="D10" s="407" t="e">
        <f>'RT03-F12 #'!C6</f>
        <v>#N/A</v>
      </c>
      <c r="E10" s="1466" t="s">
        <v>307</v>
      </c>
      <c r="F10" s="1466"/>
      <c r="G10" s="407" t="e">
        <f>'RT03-F12 #'!F6</f>
        <v>#N/A</v>
      </c>
    </row>
    <row r="11" spans="1:7" ht="15" customHeight="1" x14ac:dyDescent="0.2">
      <c r="A11" s="717"/>
      <c r="B11" s="717"/>
      <c r="C11" s="717"/>
      <c r="D11" s="407"/>
      <c r="E11" s="719"/>
      <c r="F11" s="719"/>
      <c r="G11" s="407"/>
    </row>
    <row r="12" spans="1:7" ht="27.95" customHeight="1" x14ac:dyDescent="0.2">
      <c r="A12" s="1456" t="s">
        <v>521</v>
      </c>
      <c r="B12" s="1456"/>
      <c r="C12" s="1456"/>
      <c r="D12" s="1456"/>
      <c r="E12" s="1456"/>
      <c r="F12" s="1456"/>
      <c r="G12" s="1456"/>
    </row>
    <row r="13" spans="1:7" ht="12" customHeight="1" x14ac:dyDescent="0.2">
      <c r="A13" s="717"/>
      <c r="B13" s="717"/>
      <c r="C13" s="717"/>
      <c r="D13" s="717"/>
      <c r="E13" s="717"/>
      <c r="F13" s="406"/>
      <c r="G13" s="406"/>
    </row>
    <row r="14" spans="1:7" ht="27.95" customHeight="1" x14ac:dyDescent="0.2">
      <c r="A14" s="1460" t="s">
        <v>522</v>
      </c>
      <c r="B14" s="1460"/>
      <c r="C14" s="1460"/>
      <c r="D14" s="1470" t="s">
        <v>523</v>
      </c>
      <c r="E14" s="1470"/>
      <c r="F14" s="406"/>
      <c r="G14" s="406"/>
    </row>
    <row r="15" spans="1:7" ht="27.95" customHeight="1" x14ac:dyDescent="0.2">
      <c r="A15" s="1460" t="s">
        <v>524</v>
      </c>
      <c r="B15" s="1460"/>
      <c r="C15" s="1460"/>
      <c r="D15" s="1460" t="e">
        <f>'RT03-F12 #'!D9</f>
        <v>#N/A</v>
      </c>
      <c r="E15" s="1460"/>
      <c r="F15" s="406"/>
      <c r="G15" s="406"/>
    </row>
    <row r="16" spans="1:7" ht="27.95" customHeight="1" x14ac:dyDescent="0.2">
      <c r="A16" s="1460" t="s">
        <v>525</v>
      </c>
      <c r="B16" s="1460"/>
      <c r="C16" s="1460"/>
      <c r="D16" s="1460" t="e">
        <f>'RT03-F12 #'!D11</f>
        <v>#N/A</v>
      </c>
      <c r="E16" s="1460"/>
      <c r="F16" s="1460"/>
      <c r="G16" s="1460"/>
    </row>
    <row r="17" spans="1:7" ht="27.95" customHeight="1" x14ac:dyDescent="0.2">
      <c r="A17" s="1460" t="s">
        <v>526</v>
      </c>
      <c r="B17" s="1460"/>
      <c r="C17" s="1460"/>
      <c r="D17" s="1460" t="e">
        <f>'RT03-F12 #'!D10</f>
        <v>#N/A</v>
      </c>
      <c r="E17" s="1460"/>
      <c r="F17" s="406"/>
      <c r="G17" s="406"/>
    </row>
    <row r="18" spans="1:7" ht="27.95" customHeight="1" x14ac:dyDescent="0.2">
      <c r="A18" s="1467" t="s">
        <v>527</v>
      </c>
      <c r="B18" s="1467"/>
      <c r="C18" s="1467"/>
      <c r="D18" s="409" t="e">
        <f>'RT03-F12 #'!D12</f>
        <v>#N/A</v>
      </c>
      <c r="E18" s="717"/>
      <c r="F18" s="408"/>
      <c r="G18" s="717"/>
    </row>
    <row r="19" spans="1:7" ht="27.95" customHeight="1" x14ac:dyDescent="0.2">
      <c r="A19" s="1460" t="s">
        <v>528</v>
      </c>
      <c r="B19" s="1460"/>
      <c r="C19" s="1460"/>
      <c r="D19" s="409" t="e">
        <f>'RT03-F12 #'!D13</f>
        <v>#N/A</v>
      </c>
      <c r="F19" s="720"/>
      <c r="G19" s="720"/>
    </row>
    <row r="20" spans="1:7" ht="27.95" customHeight="1" x14ac:dyDescent="0.2">
      <c r="A20" s="1467" t="s">
        <v>529</v>
      </c>
      <c r="B20" s="1467"/>
      <c r="C20" s="1467"/>
      <c r="D20" s="793" t="e">
        <f>'RT03-F12 #'!D14</f>
        <v>#N/A</v>
      </c>
      <c r="E20" s="720"/>
      <c r="F20" s="720"/>
      <c r="G20" s="720"/>
    </row>
    <row r="21" spans="1:7" ht="23.1" customHeight="1" x14ac:dyDescent="0.2">
      <c r="A21" s="1467" t="s">
        <v>530</v>
      </c>
      <c r="B21" s="1467"/>
      <c r="C21" s="1467"/>
      <c r="D21" s="409" t="e">
        <f>'RT03-F12 #'!D15</f>
        <v>#N/A</v>
      </c>
      <c r="E21" s="720"/>
      <c r="F21" s="720"/>
      <c r="G21" s="720"/>
    </row>
    <row r="22" spans="1:7" ht="23.1" customHeight="1" x14ac:dyDescent="0.2"/>
    <row r="23" spans="1:7" ht="27.95" customHeight="1" x14ac:dyDescent="0.2">
      <c r="A23" s="1456" t="s">
        <v>531</v>
      </c>
      <c r="B23" s="1456"/>
      <c r="C23" s="1456"/>
      <c r="D23" s="1456"/>
      <c r="E23" s="1456"/>
      <c r="F23" s="1456"/>
      <c r="G23" s="1456"/>
    </row>
    <row r="24" spans="1:7" ht="23.1" customHeight="1" x14ac:dyDescent="0.2">
      <c r="A24" s="1469" t="e">
        <f>'RT03-F12 #'!E6</f>
        <v>#N/A</v>
      </c>
      <c r="B24" s="1469"/>
      <c r="C24" s="1469"/>
      <c r="D24" s="1469"/>
      <c r="E24" s="1469"/>
      <c r="F24" s="1469"/>
      <c r="G24" s="1469"/>
    </row>
    <row r="25" spans="1:7" ht="23.1" customHeight="1" x14ac:dyDescent="0.2">
      <c r="A25" s="410"/>
      <c r="B25" s="410"/>
      <c r="C25" s="405"/>
      <c r="D25" s="410"/>
      <c r="E25" s="405"/>
      <c r="F25" s="712"/>
      <c r="G25" s="712"/>
    </row>
    <row r="26" spans="1:7" ht="27.95" customHeight="1" x14ac:dyDescent="0.2">
      <c r="A26" s="1456" t="s">
        <v>532</v>
      </c>
      <c r="B26" s="1456"/>
      <c r="C26" s="1456"/>
      <c r="D26" s="1471" t="e">
        <f>'RT03-F12 #'!D6</f>
        <v>#N/A</v>
      </c>
      <c r="E26" s="1471"/>
      <c r="F26" s="1471"/>
      <c r="G26" s="712"/>
    </row>
    <row r="27" spans="1:7" ht="23.1" customHeight="1" x14ac:dyDescent="0.2">
      <c r="E27" s="405"/>
      <c r="F27" s="405"/>
      <c r="G27" s="405"/>
    </row>
    <row r="28" spans="1:7" ht="27.95" customHeight="1" x14ac:dyDescent="0.2">
      <c r="A28" s="1414" t="s">
        <v>533</v>
      </c>
      <c r="B28" s="1414"/>
      <c r="C28" s="1414"/>
      <c r="D28" s="1414"/>
      <c r="E28" s="1414"/>
      <c r="F28" s="1414"/>
      <c r="G28" s="1414"/>
    </row>
    <row r="29" spans="1:7" ht="23.1" customHeight="1" x14ac:dyDescent="0.2">
      <c r="A29" s="411"/>
      <c r="B29" s="411"/>
      <c r="C29" s="411"/>
      <c r="D29" s="411"/>
      <c r="E29" s="405"/>
      <c r="F29" s="405"/>
      <c r="G29" s="405"/>
    </row>
    <row r="30" spans="1:7" ht="15" customHeight="1" x14ac:dyDescent="0.2">
      <c r="A30" s="411"/>
      <c r="B30" s="411"/>
      <c r="C30" s="411"/>
      <c r="D30" s="411"/>
      <c r="E30" s="405"/>
      <c r="F30" s="405"/>
      <c r="G30" s="405"/>
    </row>
    <row r="31" spans="1:7" ht="27.95" customHeight="1" x14ac:dyDescent="0.2">
      <c r="A31" s="1456" t="s">
        <v>535</v>
      </c>
      <c r="B31" s="1456"/>
      <c r="C31" s="1456"/>
      <c r="D31" s="1456"/>
      <c r="E31" s="1456"/>
      <c r="F31" s="1456"/>
      <c r="G31" s="1456"/>
    </row>
    <row r="32" spans="1:7" ht="8.1" customHeight="1" thickBot="1" x14ac:dyDescent="0.25">
      <c r="A32" s="710"/>
      <c r="B32" s="710"/>
      <c r="C32" s="710"/>
      <c r="D32" s="710"/>
      <c r="E32" s="710"/>
      <c r="G32" s="405"/>
    </row>
    <row r="33" spans="1:7" ht="46.5" customHeight="1" thickBot="1" x14ac:dyDescent="0.25">
      <c r="A33" s="413"/>
      <c r="B33" s="413"/>
      <c r="C33" s="413"/>
      <c r="D33" s="414" t="s">
        <v>332</v>
      </c>
      <c r="E33" s="414" t="s">
        <v>333</v>
      </c>
      <c r="F33" s="414" t="s">
        <v>334</v>
      </c>
      <c r="G33" s="710"/>
    </row>
    <row r="34" spans="1:7" ht="35.1" customHeight="1" thickBot="1" x14ac:dyDescent="0.25">
      <c r="A34" s="1461" t="s">
        <v>536</v>
      </c>
      <c r="B34" s="1462"/>
      <c r="C34" s="1463"/>
      <c r="D34" s="415" t="e">
        <f>'RT03-F12 #'!E64</f>
        <v>#N/A</v>
      </c>
      <c r="E34" s="416" t="e">
        <f>'RT03-F12 #'!G64</f>
        <v>#N/A</v>
      </c>
      <c r="F34" s="417" t="e">
        <f>'RT03-F12 #'!I64</f>
        <v>#N/A</v>
      </c>
      <c r="G34" s="710"/>
    </row>
    <row r="35" spans="1:7" ht="35.1" customHeight="1" thickBot="1" x14ac:dyDescent="0.25">
      <c r="A35" s="1461" t="s">
        <v>537</v>
      </c>
      <c r="B35" s="1462"/>
      <c r="C35" s="1463"/>
      <c r="D35" s="418" t="e">
        <f>'RT03-F12 #'!E65</f>
        <v>#N/A</v>
      </c>
      <c r="E35" s="419" t="e">
        <f>'RT03-F12 #'!G65</f>
        <v>#N/A</v>
      </c>
      <c r="F35" s="419" t="e">
        <f>'RT03-F12 #'!I65</f>
        <v>#N/A</v>
      </c>
      <c r="G35" s="710"/>
    </row>
    <row r="36" spans="1:7" ht="27.75" customHeight="1" x14ac:dyDescent="0.2">
      <c r="A36" s="1443" t="s">
        <v>538</v>
      </c>
      <c r="B36" s="1443"/>
      <c r="C36" s="1443"/>
      <c r="D36" s="1443"/>
      <c r="E36" s="1443"/>
      <c r="F36" s="1443"/>
      <c r="G36" s="1443"/>
    </row>
    <row r="37" spans="1:7" ht="125.1" customHeight="1" x14ac:dyDescent="0.2"/>
    <row r="38" spans="1:7" ht="35.1" customHeight="1" x14ac:dyDescent="0.2">
      <c r="A38" s="712"/>
      <c r="B38" s="712"/>
      <c r="C38" s="712"/>
      <c r="D38" s="712"/>
    </row>
    <row r="39" spans="1:7" ht="65.099999999999994" customHeight="1" x14ac:dyDescent="0.2">
      <c r="A39" s="712"/>
      <c r="B39" s="712"/>
      <c r="C39" s="712"/>
      <c r="D39" s="712"/>
      <c r="E39" s="1413" t="s">
        <v>515</v>
      </c>
      <c r="F39" s="1413"/>
      <c r="G39" s="404" t="e">
        <f>G3</f>
        <v>#N/A</v>
      </c>
    </row>
    <row r="40" spans="1:7" ht="23.1" customHeight="1" x14ac:dyDescent="0.2">
      <c r="A40" s="1456" t="s">
        <v>539</v>
      </c>
      <c r="B40" s="1456"/>
      <c r="C40" s="1456"/>
      <c r="D40" s="1456"/>
      <c r="E40" s="1456"/>
      <c r="F40" s="1456"/>
      <c r="G40" s="1456"/>
    </row>
    <row r="41" spans="1:7" ht="12" customHeight="1" x14ac:dyDescent="0.2">
      <c r="A41" s="710"/>
      <c r="B41" s="710"/>
      <c r="C41" s="710"/>
      <c r="D41" s="710"/>
      <c r="E41" s="710"/>
      <c r="F41" s="710"/>
      <c r="G41" s="710"/>
    </row>
    <row r="42" spans="1:7" ht="48" customHeight="1" x14ac:dyDescent="0.2">
      <c r="A42" s="1426" t="s">
        <v>540</v>
      </c>
      <c r="B42" s="1426"/>
      <c r="C42" s="1426"/>
      <c r="D42" s="1426"/>
      <c r="E42" s="1426"/>
      <c r="F42" s="1426"/>
      <c r="G42" s="1426"/>
    </row>
    <row r="43" spans="1:7" ht="12" customHeight="1" thickBot="1" x14ac:dyDescent="0.25">
      <c r="A43" s="720"/>
      <c r="B43" s="720"/>
      <c r="C43" s="720"/>
      <c r="D43" s="720"/>
      <c r="E43" s="720"/>
      <c r="F43" s="720"/>
      <c r="G43" s="720"/>
    </row>
    <row r="44" spans="1:7" ht="30" customHeight="1" thickBot="1" x14ac:dyDescent="0.25">
      <c r="A44" s="1444" t="s">
        <v>541</v>
      </c>
      <c r="B44" s="1445"/>
      <c r="C44" s="1446"/>
      <c r="D44" s="1450" t="e">
        <f>'RT03-F12 #'!I11</f>
        <v>#N/A</v>
      </c>
      <c r="E44" s="1451"/>
      <c r="F44" s="712"/>
      <c r="G44" s="712"/>
    </row>
    <row r="45" spans="1:7" ht="30" customHeight="1" thickBot="1" x14ac:dyDescent="0.25">
      <c r="A45" s="1444" t="s">
        <v>542</v>
      </c>
      <c r="B45" s="1445"/>
      <c r="C45" s="1446"/>
      <c r="D45" s="1497">
        <f>'DATOS # '!L10</f>
        <v>0</v>
      </c>
      <c r="E45" s="1498"/>
      <c r="F45" s="405"/>
      <c r="G45" s="405"/>
    </row>
    <row r="46" spans="1:7" ht="30" customHeight="1" thickBot="1" x14ac:dyDescent="0.25">
      <c r="A46" s="1444" t="s">
        <v>543</v>
      </c>
      <c r="B46" s="1445"/>
      <c r="C46" s="1446"/>
      <c r="D46" s="1452" t="e">
        <f>'RT03-F12 #'!I12</f>
        <v>#N/A</v>
      </c>
      <c r="E46" s="1453"/>
      <c r="F46" s="405"/>
      <c r="G46" s="405"/>
    </row>
    <row r="47" spans="1:7" ht="30" customHeight="1" thickBot="1" x14ac:dyDescent="0.25">
      <c r="A47" s="1447" t="s">
        <v>8</v>
      </c>
      <c r="B47" s="1448"/>
      <c r="C47" s="1449"/>
      <c r="D47" s="1454" t="e">
        <f>'RT03-F12 #'!I13</f>
        <v>#N/A</v>
      </c>
      <c r="E47" s="1455"/>
      <c r="F47" s="405"/>
      <c r="G47" s="405"/>
    </row>
    <row r="48" spans="1:7" ht="30" customHeight="1" thickBot="1" x14ac:dyDescent="0.25">
      <c r="A48" s="420" t="s">
        <v>23</v>
      </c>
      <c r="B48" s="420"/>
      <c r="C48" s="421"/>
      <c r="D48" s="1431" t="e">
        <f>'RT03-F12 #'!I15</f>
        <v>#N/A</v>
      </c>
      <c r="E48" s="1432"/>
      <c r="F48" s="405"/>
      <c r="G48" s="405"/>
    </row>
    <row r="49" spans="1:7" ht="30" customHeight="1" thickBot="1" x14ac:dyDescent="0.25">
      <c r="A49" s="1444" t="s">
        <v>544</v>
      </c>
      <c r="B49" s="1445"/>
      <c r="C49" s="1446"/>
      <c r="D49" s="1464"/>
      <c r="E49" s="1465"/>
      <c r="F49" s="405"/>
      <c r="G49" s="405"/>
    </row>
    <row r="50" spans="1:7" ht="30" customHeight="1" x14ac:dyDescent="0.2">
      <c r="A50" s="710"/>
      <c r="B50" s="710"/>
      <c r="C50" s="710"/>
      <c r="D50" s="717"/>
      <c r="E50" s="717"/>
      <c r="F50" s="405"/>
      <c r="G50" s="405"/>
    </row>
    <row r="51" spans="1:7" ht="23.1" customHeight="1" x14ac:dyDescent="0.2">
      <c r="A51" s="1456" t="s">
        <v>545</v>
      </c>
      <c r="B51" s="1456"/>
      <c r="C51" s="1456"/>
      <c r="D51" s="1456"/>
      <c r="E51" s="1456"/>
      <c r="F51" s="1456"/>
      <c r="G51" s="1456"/>
    </row>
    <row r="52" spans="1:7" ht="12" customHeight="1" x14ac:dyDescent="0.2">
      <c r="A52" s="712"/>
      <c r="B52" s="712"/>
      <c r="C52" s="712"/>
      <c r="D52" s="712"/>
      <c r="E52" s="712"/>
      <c r="F52" s="712"/>
      <c r="G52" s="712"/>
    </row>
    <row r="53" spans="1:7" ht="20.100000000000001" customHeight="1" x14ac:dyDescent="0.2">
      <c r="A53" s="1414" t="s">
        <v>546</v>
      </c>
      <c r="B53" s="1414"/>
      <c r="C53" s="1414"/>
      <c r="D53" s="1414"/>
      <c r="E53" s="712"/>
      <c r="F53" s="712"/>
      <c r="G53" s="712"/>
    </row>
    <row r="54" spans="1:7" ht="12" customHeight="1" thickBot="1" x14ac:dyDescent="0.25">
      <c r="A54" s="712"/>
      <c r="B54" s="712"/>
      <c r="C54" s="712"/>
      <c r="D54" s="712"/>
      <c r="E54" s="405"/>
      <c r="F54" s="405"/>
      <c r="G54" s="405"/>
    </row>
    <row r="55" spans="1:7" ht="30" customHeight="1" thickBot="1" x14ac:dyDescent="0.25">
      <c r="A55" s="1433" t="s">
        <v>547</v>
      </c>
      <c r="B55" s="1434"/>
      <c r="C55" s="1435"/>
      <c r="D55" s="1436"/>
      <c r="E55" s="712"/>
      <c r="F55" s="712"/>
      <c r="G55" s="712"/>
    </row>
    <row r="56" spans="1:7" ht="30" customHeight="1" thickBot="1" x14ac:dyDescent="0.25">
      <c r="A56" s="1439" t="str">
        <f>'RT03-F12 #'!C34</f>
        <v>Carga</v>
      </c>
      <c r="B56" s="1440"/>
      <c r="C56" s="422">
        <f>'RT03-F12 #'!E34</f>
        <v>0</v>
      </c>
      <c r="D56" s="718" t="str">
        <f>'RT03-F12 #'!D34</f>
        <v>(g)</v>
      </c>
      <c r="E56" s="712"/>
      <c r="F56" s="423" t="s">
        <v>548</v>
      </c>
      <c r="G56" s="712"/>
    </row>
    <row r="57" spans="1:7" ht="30" customHeight="1" thickBot="1" x14ac:dyDescent="0.25">
      <c r="A57" s="1439" t="str">
        <f>'RT03-F12 #'!B35</f>
        <v>Posición</v>
      </c>
      <c r="B57" s="1440"/>
      <c r="C57" s="424" t="str">
        <f>'RT03-F12 #'!B36</f>
        <v>Indicación (g)</v>
      </c>
      <c r="D57" s="425" t="s">
        <v>549</v>
      </c>
      <c r="E57" s="712"/>
      <c r="F57" s="712"/>
      <c r="G57" s="712"/>
    </row>
    <row r="58" spans="1:7" ht="30" customHeight="1" x14ac:dyDescent="0.2">
      <c r="A58" s="1441">
        <f>'RT03-F12 #'!C35</f>
        <v>1</v>
      </c>
      <c r="B58" s="1442"/>
      <c r="C58" s="426">
        <f>'RT03-F12 #'!C36</f>
        <v>0</v>
      </c>
      <c r="D58" s="427">
        <f>'RT03-F12 #'!C37</f>
        <v>0</v>
      </c>
      <c r="E58" s="712"/>
      <c r="G58" s="712"/>
    </row>
    <row r="59" spans="1:7" ht="30" customHeight="1" x14ac:dyDescent="0.2">
      <c r="A59" s="1437">
        <f>'RT03-F12 #'!D35</f>
        <v>2</v>
      </c>
      <c r="B59" s="1438"/>
      <c r="C59" s="428">
        <f>'RT03-F12 #'!D36</f>
        <v>0</v>
      </c>
      <c r="D59" s="429">
        <f>'RT03-F12 #'!D37</f>
        <v>0</v>
      </c>
      <c r="E59" s="712"/>
      <c r="F59" s="712"/>
      <c r="G59" s="712"/>
    </row>
    <row r="60" spans="1:7" ht="30" customHeight="1" x14ac:dyDescent="0.2">
      <c r="A60" s="1437">
        <f>'RT03-F12 #'!E35</f>
        <v>3</v>
      </c>
      <c r="B60" s="1438"/>
      <c r="C60" s="430">
        <f>'RT03-F12 #'!E36</f>
        <v>0</v>
      </c>
      <c r="D60" s="429">
        <f>'RT03-F12 #'!E37</f>
        <v>0</v>
      </c>
      <c r="E60" s="712"/>
      <c r="F60" s="712"/>
      <c r="G60" s="712"/>
    </row>
    <row r="61" spans="1:7" ht="30" customHeight="1" x14ac:dyDescent="0.2">
      <c r="A61" s="1437">
        <f>'RT03-F12 #'!F35</f>
        <v>4</v>
      </c>
      <c r="B61" s="1438"/>
      <c r="C61" s="430">
        <f>'RT03-F12 #'!F36</f>
        <v>0</v>
      </c>
      <c r="D61" s="429">
        <f>'RT03-F12 #'!F37</f>
        <v>0</v>
      </c>
      <c r="E61" s="712"/>
      <c r="F61" s="712"/>
      <c r="G61" s="712"/>
    </row>
    <row r="62" spans="1:7" ht="30" customHeight="1" thickBot="1" x14ac:dyDescent="0.25">
      <c r="A62" s="1403">
        <f>'RT03-F12 #'!G35</f>
        <v>5</v>
      </c>
      <c r="B62" s="1404"/>
      <c r="C62" s="428">
        <f>'RT03-F12 #'!G36</f>
        <v>0</v>
      </c>
      <c r="D62" s="431">
        <f>'RT03-F12 #'!G37</f>
        <v>0</v>
      </c>
      <c r="E62" s="712"/>
      <c r="F62" s="712"/>
      <c r="G62" s="712"/>
    </row>
    <row r="63" spans="1:7" ht="30" customHeight="1" thickBot="1" x14ac:dyDescent="0.25">
      <c r="A63" s="1428" t="s">
        <v>550</v>
      </c>
      <c r="B63" s="1429"/>
      <c r="C63" s="1430"/>
      <c r="D63" s="417">
        <f>'RT03-F12 #'!C39/1000</f>
        <v>0</v>
      </c>
      <c r="E63" s="712"/>
      <c r="F63" s="712"/>
      <c r="G63" s="712"/>
    </row>
    <row r="64" spans="1:7" ht="17.100000000000001" customHeight="1" x14ac:dyDescent="0.2">
      <c r="A64" s="432"/>
      <c r="B64" s="432"/>
      <c r="C64" s="432"/>
      <c r="D64" s="433"/>
      <c r="E64" s="712"/>
      <c r="F64" s="712"/>
      <c r="G64" s="712"/>
    </row>
    <row r="65" spans="1:7" ht="12" customHeight="1" x14ac:dyDescent="0.2">
      <c r="A65" s="1426" t="s">
        <v>551</v>
      </c>
      <c r="B65" s="1426"/>
      <c r="C65" s="1426"/>
      <c r="D65" s="1426"/>
      <c r="E65" s="1426"/>
      <c r="F65" s="1426"/>
      <c r="G65" s="1426"/>
    </row>
    <row r="66" spans="1:7" ht="29.1" customHeight="1" x14ac:dyDescent="0.2">
      <c r="A66" s="1426"/>
      <c r="B66" s="1426"/>
      <c r="C66" s="1426"/>
      <c r="D66" s="1426"/>
      <c r="E66" s="1426"/>
      <c r="F66" s="1426"/>
      <c r="G66" s="1426"/>
    </row>
    <row r="67" spans="1:7" ht="20.100000000000001" customHeight="1" x14ac:dyDescent="0.2">
      <c r="A67" s="434"/>
      <c r="B67" s="434"/>
      <c r="C67" s="434"/>
      <c r="D67" s="434"/>
      <c r="E67" s="434"/>
      <c r="F67" s="434"/>
      <c r="G67" s="434"/>
    </row>
    <row r="68" spans="1:7" ht="125.1" customHeight="1" x14ac:dyDescent="0.2">
      <c r="A68" s="1427"/>
      <c r="B68" s="1427"/>
      <c r="C68" s="1427"/>
      <c r="D68" s="1427"/>
      <c r="E68" s="1427"/>
      <c r="F68" s="1427"/>
      <c r="G68" s="1427"/>
    </row>
    <row r="69" spans="1:7" ht="35.1" customHeight="1" x14ac:dyDescent="0.2">
      <c r="A69" s="721"/>
      <c r="B69" s="721"/>
      <c r="C69" s="721"/>
      <c r="D69" s="721"/>
      <c r="E69" s="721"/>
      <c r="F69" s="721"/>
      <c r="G69" s="721"/>
    </row>
    <row r="70" spans="1:7" ht="65.099999999999994" customHeight="1" x14ac:dyDescent="0.2">
      <c r="A70" s="435"/>
      <c r="B70" s="435"/>
      <c r="C70" s="435"/>
      <c r="D70" s="435"/>
      <c r="E70" s="1413" t="s">
        <v>515</v>
      </c>
      <c r="F70" s="1413"/>
      <c r="G70" s="404" t="e">
        <f>G3</f>
        <v>#N/A</v>
      </c>
    </row>
    <row r="71" spans="1:7" ht="23.1" customHeight="1" x14ac:dyDescent="0.2">
      <c r="A71" s="1414" t="s">
        <v>552</v>
      </c>
      <c r="B71" s="1414"/>
      <c r="C71" s="1414"/>
      <c r="F71" s="405"/>
      <c r="G71" s="405"/>
    </row>
    <row r="72" spans="1:7" ht="12" customHeight="1" thickBot="1" x14ac:dyDescent="0.25">
      <c r="F72" s="405"/>
    </row>
    <row r="73" spans="1:7" ht="15" customHeight="1" thickBot="1" x14ac:dyDescent="0.25">
      <c r="A73" s="1407" t="s">
        <v>553</v>
      </c>
      <c r="B73" s="1493"/>
      <c r="C73" s="1493"/>
      <c r="D73" s="1493"/>
      <c r="E73" s="1408"/>
      <c r="F73" s="405"/>
      <c r="G73" s="405"/>
    </row>
    <row r="74" spans="1:7" ht="20.100000000000001" customHeight="1" thickBot="1" x14ac:dyDescent="0.25">
      <c r="A74" s="1405" t="str">
        <f>'RT03-F12 #'!A43</f>
        <v>Cargas (g)</v>
      </c>
      <c r="B74" s="1406"/>
      <c r="C74" s="422">
        <f>'RT03-F12 #'!A44</f>
        <v>0</v>
      </c>
      <c r="D74" s="422">
        <f>'RT03-F12 #'!A45</f>
        <v>0</v>
      </c>
      <c r="E74" s="436">
        <f>'RT03-F12 #'!A46</f>
        <v>0</v>
      </c>
      <c r="F74" s="405"/>
      <c r="G74" s="405"/>
    </row>
    <row r="75" spans="1:7" ht="30" customHeight="1" thickBot="1" x14ac:dyDescent="0.25">
      <c r="A75" s="1407" t="s">
        <v>554</v>
      </c>
      <c r="B75" s="1408"/>
      <c r="C75" s="437" t="s">
        <v>555</v>
      </c>
      <c r="D75" s="437" t="s">
        <v>555</v>
      </c>
      <c r="E75" s="437" t="s">
        <v>555</v>
      </c>
      <c r="F75" s="405"/>
      <c r="G75" s="405"/>
    </row>
    <row r="76" spans="1:7" ht="20.100000000000001" customHeight="1" x14ac:dyDescent="0.2">
      <c r="A76" s="1409">
        <f>'RT03-F12 #'!B43</f>
        <v>1</v>
      </c>
      <c r="B76" s="1410"/>
      <c r="C76" s="438">
        <f>'RT03-F12 #'!B44</f>
        <v>0</v>
      </c>
      <c r="D76" s="438">
        <f>'RT03-F12 #'!B45</f>
        <v>0</v>
      </c>
      <c r="E76" s="439">
        <f>'RT03-F12 #'!B46</f>
        <v>0</v>
      </c>
      <c r="F76" s="405"/>
      <c r="G76" s="405"/>
    </row>
    <row r="77" spans="1:7" ht="20.100000000000001" customHeight="1" x14ac:dyDescent="0.2">
      <c r="A77" s="1411">
        <f>'RT03-F12 #'!C43</f>
        <v>2</v>
      </c>
      <c r="B77" s="1412"/>
      <c r="C77" s="440">
        <f>'RT03-F12 #'!C44</f>
        <v>0</v>
      </c>
      <c r="D77" s="440">
        <f>'RT03-F12 #'!C45</f>
        <v>0</v>
      </c>
      <c r="E77" s="441">
        <f>'RT03-F12 #'!C46</f>
        <v>0</v>
      </c>
      <c r="F77" s="405"/>
      <c r="G77" s="405"/>
    </row>
    <row r="78" spans="1:7" ht="20.100000000000001" customHeight="1" x14ac:dyDescent="0.2">
      <c r="A78" s="1411">
        <f>'RT03-F12 #'!D43</f>
        <v>3</v>
      </c>
      <c r="B78" s="1412"/>
      <c r="C78" s="440">
        <f>'RT03-F12 #'!D44</f>
        <v>0</v>
      </c>
      <c r="D78" s="440">
        <f>'RT03-F12 #'!D45</f>
        <v>0</v>
      </c>
      <c r="E78" s="441">
        <f>'RT03-F12 #'!D46</f>
        <v>0</v>
      </c>
      <c r="F78" s="405"/>
      <c r="G78" s="405"/>
    </row>
    <row r="79" spans="1:7" ht="20.100000000000001" customHeight="1" x14ac:dyDescent="0.2">
      <c r="A79" s="1411">
        <f>'RT03-F12 #'!E43</f>
        <v>4</v>
      </c>
      <c r="B79" s="1412"/>
      <c r="C79" s="440">
        <f>'RT03-F12 #'!E44</f>
        <v>0</v>
      </c>
      <c r="D79" s="440">
        <f>'RT03-F12 #'!E45</f>
        <v>0</v>
      </c>
      <c r="E79" s="441">
        <f>'RT03-F12 #'!E46</f>
        <v>0</v>
      </c>
      <c r="F79" s="405"/>
      <c r="G79" s="405"/>
    </row>
    <row r="80" spans="1:7" ht="20.100000000000001" customHeight="1" x14ac:dyDescent="0.2">
      <c r="A80" s="1411">
        <f>'RT03-F12 #'!F43</f>
        <v>5</v>
      </c>
      <c r="B80" s="1412"/>
      <c r="C80" s="440">
        <f>'RT03-F12 #'!F44</f>
        <v>0</v>
      </c>
      <c r="D80" s="440">
        <f>'RT03-F12 #'!F45</f>
        <v>0</v>
      </c>
      <c r="E80" s="441">
        <f>'RT03-F12 #'!F46</f>
        <v>0</v>
      </c>
      <c r="F80" s="405"/>
      <c r="G80" s="405"/>
    </row>
    <row r="81" spans="1:7" ht="20.100000000000001" customHeight="1" x14ac:dyDescent="0.2">
      <c r="A81" s="1411">
        <f>'RT03-F12 #'!G43</f>
        <v>6</v>
      </c>
      <c r="B81" s="1412"/>
      <c r="C81" s="440">
        <f>'RT03-F12 #'!G44</f>
        <v>0</v>
      </c>
      <c r="D81" s="440">
        <f>'RT03-F12 #'!G45</f>
        <v>0</v>
      </c>
      <c r="E81" s="441">
        <f>'RT03-F12 #'!G46</f>
        <v>0</v>
      </c>
      <c r="F81" s="405"/>
      <c r="G81" s="405"/>
    </row>
    <row r="82" spans="1:7" ht="20.100000000000001" customHeight="1" x14ac:dyDescent="0.2">
      <c r="A82" s="1411">
        <f>'RT03-F12 #'!H43</f>
        <v>7</v>
      </c>
      <c r="B82" s="1412"/>
      <c r="C82" s="440">
        <f>'RT03-F12 #'!H44</f>
        <v>0</v>
      </c>
      <c r="D82" s="440">
        <f>'RT03-F12 #'!H45</f>
        <v>0</v>
      </c>
      <c r="E82" s="441">
        <f>'RT03-F12 #'!H46</f>
        <v>0</v>
      </c>
      <c r="F82" s="405"/>
      <c r="G82" s="405"/>
    </row>
    <row r="83" spans="1:7" ht="20.100000000000001" customHeight="1" x14ac:dyDescent="0.2">
      <c r="A83" s="1411">
        <f>'RT03-F12 #'!I43</f>
        <v>8</v>
      </c>
      <c r="B83" s="1412"/>
      <c r="C83" s="440">
        <f>'RT03-F12 #'!I44</f>
        <v>0</v>
      </c>
      <c r="D83" s="440">
        <f>'RT03-F12 #'!I45</f>
        <v>0</v>
      </c>
      <c r="E83" s="441">
        <f>'RT03-F12 #'!I46</f>
        <v>0</v>
      </c>
      <c r="F83" s="405"/>
      <c r="G83" s="405"/>
    </row>
    <row r="84" spans="1:7" ht="20.100000000000001" customHeight="1" x14ac:dyDescent="0.2">
      <c r="A84" s="1411">
        <f>'RT03-F12 #'!J43</f>
        <v>9</v>
      </c>
      <c r="B84" s="1412"/>
      <c r="C84" s="440">
        <f>'RT03-F12 #'!J44</f>
        <v>0</v>
      </c>
      <c r="D84" s="440">
        <f>'RT03-F12 #'!J45</f>
        <v>0</v>
      </c>
      <c r="E84" s="441">
        <f>'RT03-F12 #'!J46</f>
        <v>0</v>
      </c>
      <c r="F84" s="405"/>
      <c r="G84" s="405"/>
    </row>
    <row r="85" spans="1:7" ht="20.100000000000001" customHeight="1" thickBot="1" x14ac:dyDescent="0.25">
      <c r="A85" s="1477">
        <f>'RT03-F12 #'!K43</f>
        <v>10</v>
      </c>
      <c r="B85" s="1478"/>
      <c r="C85" s="442">
        <f>'RT03-F12 #'!K44</f>
        <v>0</v>
      </c>
      <c r="D85" s="442">
        <f>'RT03-F12 #'!K45</f>
        <v>0</v>
      </c>
      <c r="E85" s="443">
        <f>'RT03-F12 #'!K46</f>
        <v>0</v>
      </c>
      <c r="F85" s="712"/>
      <c r="G85" s="712"/>
    </row>
    <row r="86" spans="1:7" ht="12" customHeight="1" x14ac:dyDescent="0.2">
      <c r="A86" s="405"/>
      <c r="B86" s="405"/>
      <c r="C86" s="405"/>
      <c r="D86" s="405"/>
      <c r="E86" s="712"/>
      <c r="F86" s="712"/>
      <c r="G86" s="712"/>
    </row>
    <row r="87" spans="1:7" ht="48" customHeight="1" x14ac:dyDescent="0.2">
      <c r="A87" s="1481" t="s">
        <v>556</v>
      </c>
      <c r="B87" s="1481"/>
      <c r="C87" s="1481"/>
      <c r="D87" s="1481"/>
      <c r="E87" s="1481"/>
      <c r="F87" s="1481"/>
      <c r="G87" s="1481"/>
    </row>
    <row r="88" spans="1:7" ht="12" customHeight="1" x14ac:dyDescent="0.2">
      <c r="F88" s="712"/>
      <c r="G88" s="712"/>
    </row>
    <row r="89" spans="1:7" ht="23.1" customHeight="1" x14ac:dyDescent="0.2">
      <c r="A89" s="1414" t="s">
        <v>557</v>
      </c>
      <c r="B89" s="1414"/>
      <c r="C89" s="1414"/>
      <c r="D89" s="1414"/>
      <c r="E89" s="1414"/>
      <c r="F89" s="405"/>
      <c r="G89" s="405"/>
    </row>
    <row r="90" spans="1:7" ht="12" customHeight="1" thickBot="1" x14ac:dyDescent="0.25"/>
    <row r="91" spans="1:7" ht="30.95" customHeight="1" thickBot="1" x14ac:dyDescent="0.25">
      <c r="A91" s="1473" t="s">
        <v>558</v>
      </c>
      <c r="B91" s="1474"/>
      <c r="C91" s="1474"/>
      <c r="D91" s="1475"/>
      <c r="E91" s="405"/>
      <c r="F91" s="405"/>
      <c r="G91" s="405"/>
    </row>
    <row r="92" spans="1:7" ht="30" customHeight="1" thickBot="1" x14ac:dyDescent="0.25">
      <c r="A92" s="1421" t="s">
        <v>302</v>
      </c>
      <c r="B92" s="1421"/>
      <c r="C92" s="707" t="s">
        <v>559</v>
      </c>
      <c r="D92" s="707" t="s">
        <v>473</v>
      </c>
      <c r="E92" s="405"/>
      <c r="F92" s="405"/>
      <c r="G92" s="405"/>
    </row>
    <row r="93" spans="1:7" ht="20.100000000000001" customHeight="1" x14ac:dyDescent="0.2">
      <c r="A93" s="1479" t="e">
        <f>'RT03-F12 #'!K89</f>
        <v>#N/A</v>
      </c>
      <c r="B93" s="1480"/>
      <c r="C93" s="444">
        <f>'RT03-F12 #'!C55</f>
        <v>0</v>
      </c>
      <c r="D93" s="445" t="e">
        <f>'RT03-F12 #'!D55</f>
        <v>#N/A</v>
      </c>
      <c r="E93" s="747"/>
      <c r="F93" s="405"/>
      <c r="G93" s="405"/>
    </row>
    <row r="94" spans="1:7" ht="20.100000000000001" customHeight="1" x14ac:dyDescent="0.2">
      <c r="A94" s="1488" t="e">
        <f>'RT03-F12 #'!K90</f>
        <v>#N/A</v>
      </c>
      <c r="B94" s="1489"/>
      <c r="C94" s="440">
        <f>'RT03-F12 #'!C56</f>
        <v>0</v>
      </c>
      <c r="D94" s="446" t="e">
        <f>'RT03-F12 #'!D56</f>
        <v>#N/A</v>
      </c>
      <c r="E94" s="747"/>
      <c r="F94" s="405"/>
      <c r="G94" s="405"/>
    </row>
    <row r="95" spans="1:7" ht="20.100000000000001" customHeight="1" x14ac:dyDescent="0.2">
      <c r="A95" s="1488" t="e">
        <f>'RT03-F12 #'!K91</f>
        <v>#N/A</v>
      </c>
      <c r="B95" s="1489"/>
      <c r="C95" s="440">
        <f>'RT03-F12 #'!C57</f>
        <v>0</v>
      </c>
      <c r="D95" s="446" t="e">
        <f>'RT03-F12 #'!D57</f>
        <v>#N/A</v>
      </c>
      <c r="E95" s="747"/>
      <c r="F95" s="405"/>
      <c r="G95" s="405"/>
    </row>
    <row r="96" spans="1:7" ht="20.100000000000001" customHeight="1" x14ac:dyDescent="0.2">
      <c r="A96" s="1488" t="e">
        <f>'RT03-F12 #'!K92</f>
        <v>#N/A</v>
      </c>
      <c r="B96" s="1489"/>
      <c r="C96" s="440">
        <f>'RT03-F12 #'!C58</f>
        <v>0</v>
      </c>
      <c r="D96" s="447" t="e">
        <f>'RT03-F12 #'!D58</f>
        <v>#N/A</v>
      </c>
      <c r="E96" s="747"/>
      <c r="F96" s="405"/>
      <c r="G96" s="405"/>
    </row>
    <row r="97" spans="1:7" ht="20.100000000000001" customHeight="1" thickBot="1" x14ac:dyDescent="0.25">
      <c r="A97" s="1419" t="e">
        <f>'RT03-F12 #'!K93</f>
        <v>#N/A</v>
      </c>
      <c r="B97" s="1420"/>
      <c r="C97" s="442">
        <f>'RT03-F12 #'!C59</f>
        <v>0</v>
      </c>
      <c r="D97" s="448" t="e">
        <f>'RT03-F12 #'!D59</f>
        <v>#N/A</v>
      </c>
      <c r="E97" s="747"/>
      <c r="F97" s="405"/>
      <c r="G97" s="405"/>
    </row>
    <row r="98" spans="1:7" ht="15.95" customHeight="1" thickBot="1" x14ac:dyDescent="0.25">
      <c r="A98" s="449"/>
      <c r="B98" s="449"/>
      <c r="C98" s="449"/>
      <c r="D98" s="449"/>
      <c r="E98" s="405"/>
      <c r="F98" s="405"/>
      <c r="G98" s="449"/>
    </row>
    <row r="99" spans="1:7" ht="18.75" customHeight="1" thickBot="1" x14ac:dyDescent="0.25">
      <c r="A99" s="1422" t="s">
        <v>560</v>
      </c>
      <c r="B99" s="1423"/>
      <c r="C99" s="1424"/>
      <c r="D99" s="1425"/>
      <c r="E99" s="472" t="s">
        <v>561</v>
      </c>
      <c r="F99" s="405"/>
      <c r="G99" s="449"/>
    </row>
    <row r="100" spans="1:7" ht="30" customHeight="1" thickBot="1" x14ac:dyDescent="0.25">
      <c r="A100" s="1421" t="s">
        <v>302</v>
      </c>
      <c r="B100" s="1421"/>
      <c r="C100" s="450" t="s">
        <v>562</v>
      </c>
      <c r="D100" s="450" t="s">
        <v>474</v>
      </c>
      <c r="E100" s="450" t="s">
        <v>563</v>
      </c>
      <c r="F100" s="405"/>
      <c r="G100" s="449"/>
    </row>
    <row r="101" spans="1:7" ht="20.100000000000001" customHeight="1" x14ac:dyDescent="0.2">
      <c r="A101" s="1482" t="e">
        <f>'RT03-F12 #'!K89</f>
        <v>#N/A</v>
      </c>
      <c r="B101" s="1483"/>
      <c r="C101" s="697" t="e">
        <f>'RT03-F12 #'!M89</f>
        <v>#DIV/0!</v>
      </c>
      <c r="D101" s="698" t="e">
        <f>IF('RT03-F12 #'!O89&lt;=('RT03-F12 #'!Q89),' CMC #'!C21,'RT03-F12 #'!O89)</f>
        <v>#N/A</v>
      </c>
      <c r="E101" s="699" t="e">
        <f>'Pc # '!N7</f>
        <v>#DIV/0!</v>
      </c>
      <c r="F101" s="451"/>
      <c r="G101" s="452"/>
    </row>
    <row r="102" spans="1:7" ht="20.100000000000001" customHeight="1" x14ac:dyDescent="0.2">
      <c r="A102" s="1484" t="e">
        <f>'RT03-F12 #'!K90</f>
        <v>#N/A</v>
      </c>
      <c r="B102" s="1485"/>
      <c r="C102" s="475" t="e">
        <f>'RT03-F12 #'!M90</f>
        <v>#DIV/0!</v>
      </c>
      <c r="D102" s="473" t="e">
        <f>IF('RT03-F12 #'!O90&lt;=('RT03-F12 #'!Q90),' CMC #'!C21,'RT03-F12 #'!O90)</f>
        <v>#N/A</v>
      </c>
      <c r="E102" s="474" t="e">
        <f>'Pc # '!N8</f>
        <v>#DIV/0!</v>
      </c>
      <c r="F102" s="451"/>
      <c r="G102" s="453"/>
    </row>
    <row r="103" spans="1:7" ht="20.100000000000001" customHeight="1" x14ac:dyDescent="0.2">
      <c r="A103" s="1484" t="e">
        <f>'RT03-F12 #'!K91</f>
        <v>#N/A</v>
      </c>
      <c r="B103" s="1485"/>
      <c r="C103" s="475" t="e">
        <f>'RT03-F12 #'!M91</f>
        <v>#DIV/0!</v>
      </c>
      <c r="D103" s="481" t="e">
        <f>IF('RT03-F12 #'!O91&lt;=('RT03-F12 #'!Q91),' CMC #'!C21,'RT03-F12 #'!O91)</f>
        <v>#N/A</v>
      </c>
      <c r="E103" s="474" t="e">
        <f>'Pc # '!N9</f>
        <v>#DIV/0!</v>
      </c>
      <c r="F103" s="451"/>
      <c r="G103" s="453"/>
    </row>
    <row r="104" spans="1:7" ht="20.100000000000001" customHeight="1" x14ac:dyDescent="0.2">
      <c r="A104" s="1484" t="e">
        <f>'RT03-F12 #'!K92</f>
        <v>#N/A</v>
      </c>
      <c r="B104" s="1485"/>
      <c r="C104" s="477" t="e">
        <f>'RT03-F12 #'!M92</f>
        <v>#DIV/0!</v>
      </c>
      <c r="D104" s="476" t="e">
        <f>IF('RT03-F12 #'!O92&lt;=('RT03-F12 #'!Q92),' CMC #'!C21,'RT03-F12 #'!O92)</f>
        <v>#N/A</v>
      </c>
      <c r="E104" s="474" t="e">
        <f>'Pc # '!N10</f>
        <v>#DIV/0!</v>
      </c>
      <c r="F104" s="451"/>
      <c r="G104" s="453"/>
    </row>
    <row r="105" spans="1:7" ht="20.100000000000001" customHeight="1" thickBot="1" x14ac:dyDescent="0.25">
      <c r="A105" s="1486" t="e">
        <f>'RT03-F12 #'!K93</f>
        <v>#N/A</v>
      </c>
      <c r="B105" s="1487"/>
      <c r="C105" s="478" t="e">
        <f>'RT03-F12 #'!M93</f>
        <v>#DIV/0!</v>
      </c>
      <c r="D105" s="479" t="e">
        <f>IF('RT03-F12 #'!O93&lt;=('RT03-F12 #'!Q93),' CMC #'!C21,'RT03-F12 #'!O93)</f>
        <v>#N/A</v>
      </c>
      <c r="E105" s="700" t="e">
        <f>'Pc # '!N11</f>
        <v>#DIV/0!</v>
      </c>
      <c r="F105" s="454"/>
      <c r="G105" s="453"/>
    </row>
    <row r="106" spans="1:7" ht="20.100000000000001" customHeight="1" x14ac:dyDescent="0.2">
      <c r="A106" s="455"/>
      <c r="B106" s="455"/>
      <c r="C106" s="456"/>
      <c r="D106" s="456"/>
      <c r="E106" s="457"/>
      <c r="F106" s="454"/>
      <c r="G106" s="453"/>
    </row>
    <row r="107" spans="1:7" ht="125.1" customHeight="1" x14ac:dyDescent="0.2">
      <c r="A107" s="455"/>
      <c r="B107" s="455"/>
      <c r="C107" s="456"/>
      <c r="D107" s="456"/>
      <c r="E107" s="457"/>
      <c r="F107" s="454"/>
      <c r="G107" s="453"/>
    </row>
    <row r="108" spans="1:7" ht="35.1" customHeight="1" x14ac:dyDescent="0.2">
      <c r="A108" s="455"/>
      <c r="B108" s="455"/>
      <c r="C108" s="456"/>
      <c r="D108" s="456"/>
      <c r="E108" s="457"/>
      <c r="F108" s="454"/>
      <c r="G108" s="453"/>
    </row>
    <row r="109" spans="1:7" ht="65.099999999999994" customHeight="1" x14ac:dyDescent="0.2">
      <c r="A109" s="455"/>
      <c r="E109" s="763"/>
      <c r="F109" s="763"/>
      <c r="G109" s="404" t="e">
        <f>G3</f>
        <v>#N/A</v>
      </c>
    </row>
    <row r="110" spans="1:7" ht="30" customHeight="1" x14ac:dyDescent="0.2">
      <c r="A110" s="455"/>
      <c r="D110" s="405"/>
    </row>
    <row r="111" spans="1:7" ht="30" customHeight="1" thickBot="1" x14ac:dyDescent="0.25">
      <c r="A111" s="455"/>
      <c r="C111" s="458"/>
      <c r="D111" s="405"/>
    </row>
    <row r="112" spans="1:7" ht="30" customHeight="1" thickBot="1" x14ac:dyDescent="0.25">
      <c r="A112" s="455"/>
      <c r="B112" s="1415" t="s">
        <v>292</v>
      </c>
      <c r="C112" s="1416"/>
      <c r="D112" s="786" t="s">
        <v>293</v>
      </c>
      <c r="E112" s="787" t="s">
        <v>564</v>
      </c>
      <c r="F112" s="792"/>
    </row>
    <row r="113" spans="1:7" ht="30" customHeight="1" x14ac:dyDescent="0.2">
      <c r="A113" s="455"/>
      <c r="B113" s="1417" t="e">
        <f>VLOOKUP($F$112,'DATOS # '!$B$201:$F$202,2,FALSE)</f>
        <v>#N/A</v>
      </c>
      <c r="C113" s="1418"/>
      <c r="D113" s="788" t="e">
        <f>VLOOKUP($F$112,'DATOS # '!$B$201:$F$202,3,FALSE)</f>
        <v>#N/A</v>
      </c>
      <c r="E113" s="789">
        <v>1</v>
      </c>
    </row>
    <row r="114" spans="1:7" ht="30" customHeight="1" thickBot="1" x14ac:dyDescent="0.25">
      <c r="A114" s="455"/>
      <c r="B114" s="1495" t="e">
        <f>VLOOKUP($F$112,'DATOS # '!$B$201:$F$202,4,FALSE)</f>
        <v>#N/A</v>
      </c>
      <c r="C114" s="1496"/>
      <c r="D114" s="790" t="e">
        <f>VLOOKUP($F$112,'DATOS # '!$B$201:$F$202,5,FALSE)</f>
        <v>#N/A</v>
      </c>
      <c r="E114" s="791">
        <v>2</v>
      </c>
    </row>
    <row r="115" spans="1:7" ht="30" customHeight="1" x14ac:dyDescent="0.2"/>
    <row r="116" spans="1:7" ht="15" customHeight="1" x14ac:dyDescent="0.2">
      <c r="A116" s="405"/>
      <c r="B116" s="405"/>
      <c r="C116" s="405"/>
      <c r="D116" s="405"/>
      <c r="E116" s="405"/>
      <c r="F116" s="405"/>
      <c r="G116" s="405"/>
    </row>
    <row r="117" spans="1:7" ht="15" customHeight="1" x14ac:dyDescent="0.2">
      <c r="A117" s="405"/>
      <c r="B117" s="405"/>
      <c r="C117" s="405"/>
      <c r="D117" s="405"/>
      <c r="E117" s="405"/>
      <c r="F117" s="405"/>
      <c r="G117" s="405"/>
    </row>
    <row r="118" spans="1:7" ht="15" customHeight="1" x14ac:dyDescent="0.2">
      <c r="A118" s="405"/>
      <c r="B118" s="405"/>
      <c r="C118" s="405"/>
      <c r="D118" s="405"/>
      <c r="E118" s="405"/>
      <c r="F118" s="405"/>
      <c r="G118" s="405"/>
    </row>
    <row r="119" spans="1:7" ht="15" customHeight="1" x14ac:dyDescent="0.2">
      <c r="A119" s="405"/>
      <c r="B119" s="405"/>
      <c r="C119" s="405"/>
      <c r="D119" s="405"/>
      <c r="E119" s="405"/>
      <c r="F119" s="405"/>
      <c r="G119" s="405"/>
    </row>
    <row r="120" spans="1:7" ht="15" customHeight="1" x14ac:dyDescent="0.2">
      <c r="A120" s="405"/>
      <c r="B120" s="405"/>
      <c r="C120" s="405"/>
      <c r="D120" s="405"/>
      <c r="E120" s="405"/>
      <c r="F120" s="405"/>
      <c r="G120" s="405"/>
    </row>
    <row r="121" spans="1:7" ht="15" customHeight="1" x14ac:dyDescent="0.2">
      <c r="A121" s="405"/>
      <c r="B121" s="405"/>
      <c r="C121" s="405"/>
      <c r="D121" s="405"/>
      <c r="E121" s="405"/>
      <c r="F121" s="405"/>
      <c r="G121" s="405"/>
    </row>
    <row r="122" spans="1:7" ht="15" customHeight="1" x14ac:dyDescent="0.2">
      <c r="A122" s="405"/>
      <c r="B122" s="405"/>
      <c r="C122" s="405"/>
      <c r="D122" s="405"/>
      <c r="E122" s="405"/>
      <c r="F122" s="405"/>
      <c r="G122" s="405"/>
    </row>
    <row r="123" spans="1:7" ht="15" customHeight="1" x14ac:dyDescent="0.2">
      <c r="A123" s="405"/>
      <c r="B123" s="405"/>
      <c r="C123" s="405"/>
      <c r="D123" s="405"/>
      <c r="E123" s="405"/>
      <c r="F123" s="405"/>
      <c r="G123" s="405"/>
    </row>
    <row r="124" spans="1:7" ht="15" customHeight="1" x14ac:dyDescent="0.2">
      <c r="A124" s="405"/>
      <c r="B124" s="405"/>
      <c r="C124" s="405"/>
      <c r="D124" s="405"/>
      <c r="E124" s="405"/>
      <c r="F124" s="405"/>
      <c r="G124" s="405"/>
    </row>
    <row r="125" spans="1:7" ht="15" customHeight="1" x14ac:dyDescent="0.2">
      <c r="A125" s="405"/>
      <c r="B125" s="405"/>
      <c r="C125" s="405"/>
      <c r="D125" s="405"/>
      <c r="E125" s="405"/>
      <c r="F125" s="405"/>
      <c r="G125" s="405"/>
    </row>
    <row r="126" spans="1:7" ht="15" customHeight="1" x14ac:dyDescent="0.2">
      <c r="A126" s="405"/>
      <c r="B126" s="405"/>
      <c r="C126" s="405"/>
      <c r="D126" s="405"/>
      <c r="E126" s="405"/>
      <c r="F126" s="405"/>
      <c r="G126" s="405"/>
    </row>
    <row r="127" spans="1:7" ht="15" customHeight="1" x14ac:dyDescent="0.2">
      <c r="E127" s="405"/>
      <c r="F127" s="405"/>
      <c r="G127" s="405"/>
    </row>
    <row r="128" spans="1:7" ht="15" customHeight="1" x14ac:dyDescent="0.2">
      <c r="A128" s="405"/>
      <c r="B128" s="405"/>
      <c r="C128" s="405"/>
      <c r="D128" s="405"/>
      <c r="E128" s="405"/>
      <c r="F128" s="405"/>
      <c r="G128" s="405"/>
    </row>
    <row r="129" spans="1:8" ht="32.1" customHeight="1" x14ac:dyDescent="0.2">
      <c r="A129" s="405"/>
      <c r="B129" s="405"/>
      <c r="C129" s="405"/>
      <c r="D129" s="405"/>
      <c r="E129" s="405"/>
      <c r="F129" s="405"/>
      <c r="G129" s="405"/>
    </row>
    <row r="130" spans="1:8" ht="69.95" customHeight="1" x14ac:dyDescent="0.2">
      <c r="A130" s="1494" t="s">
        <v>565</v>
      </c>
      <c r="B130" s="1494"/>
      <c r="C130" s="1494"/>
      <c r="D130" s="1494"/>
      <c r="E130" s="1494"/>
      <c r="F130" s="1494"/>
      <c r="G130" s="1494"/>
    </row>
    <row r="131" spans="1:8" ht="23.1" customHeight="1" x14ac:dyDescent="0.2">
      <c r="A131" s="713"/>
      <c r="B131" s="713"/>
      <c r="C131" s="713"/>
      <c r="D131" s="713"/>
      <c r="E131" s="713"/>
      <c r="F131" s="713"/>
      <c r="G131" s="713"/>
    </row>
    <row r="132" spans="1:8" ht="21" customHeight="1" x14ac:dyDescent="0.2">
      <c r="A132" s="459"/>
      <c r="B132" s="459"/>
      <c r="C132" s="480"/>
      <c r="D132" s="480"/>
      <c r="E132" s="480"/>
      <c r="F132" s="480"/>
      <c r="G132" s="459"/>
    </row>
    <row r="133" spans="1:8" ht="21" customHeight="1" x14ac:dyDescent="0.2">
      <c r="A133" s="459"/>
      <c r="B133" s="459"/>
      <c r="C133" s="480"/>
      <c r="D133" s="480"/>
      <c r="E133" s="480"/>
      <c r="F133" s="480"/>
      <c r="G133" s="459"/>
    </row>
    <row r="134" spans="1:8" ht="20.100000000000001" customHeight="1" x14ac:dyDescent="0.2">
      <c r="A134" s="1414"/>
      <c r="B134" s="1414"/>
      <c r="C134" s="1414"/>
      <c r="D134" s="1414"/>
      <c r="E134" s="405"/>
      <c r="F134" s="405"/>
      <c r="G134" s="405"/>
    </row>
    <row r="135" spans="1:8" ht="20.100000000000001" customHeight="1" x14ac:dyDescent="0.2">
      <c r="A135" s="1456" t="s">
        <v>566</v>
      </c>
      <c r="B135" s="1456"/>
      <c r="C135" s="1456"/>
      <c r="D135" s="1456"/>
      <c r="E135" s="1456"/>
      <c r="F135" s="1456"/>
      <c r="G135" s="405"/>
    </row>
    <row r="136" spans="1:8" ht="12" customHeight="1" x14ac:dyDescent="0.2">
      <c r="A136" s="712"/>
      <c r="B136" s="712"/>
      <c r="C136" s="712"/>
      <c r="D136" s="712"/>
      <c r="E136" s="712"/>
      <c r="F136" s="712"/>
      <c r="G136" s="405"/>
    </row>
    <row r="137" spans="1:8" s="460" customFormat="1" ht="57.95" customHeight="1" x14ac:dyDescent="0.25">
      <c r="A137" s="1426" t="s">
        <v>567</v>
      </c>
      <c r="B137" s="1426"/>
      <c r="C137" s="1426"/>
      <c r="D137" s="1426"/>
      <c r="E137" s="1426"/>
      <c r="F137" s="1426"/>
      <c r="G137" s="1426"/>
    </row>
    <row r="138" spans="1:8" ht="24.75" customHeight="1" x14ac:dyDescent="0.2">
      <c r="A138" s="461"/>
      <c r="B138" s="461"/>
      <c r="C138" s="461"/>
      <c r="D138" s="461"/>
      <c r="E138" s="461"/>
      <c r="F138" s="461"/>
      <c r="G138" s="461"/>
    </row>
    <row r="139" spans="1:8" ht="20.100000000000001" customHeight="1" x14ac:dyDescent="0.2">
      <c r="A139" s="413"/>
      <c r="B139" s="413"/>
      <c r="C139" s="413"/>
      <c r="D139" s="413"/>
      <c r="E139" s="413"/>
      <c r="F139" s="413"/>
      <c r="G139" s="413"/>
      <c r="H139" s="462"/>
    </row>
    <row r="140" spans="1:8" ht="18" customHeight="1" x14ac:dyDescent="0.2">
      <c r="A140" s="413"/>
      <c r="B140" s="413"/>
      <c r="C140" s="413"/>
      <c r="D140" s="413"/>
      <c r="E140" s="413"/>
      <c r="F140" s="717"/>
      <c r="G140" s="463"/>
      <c r="H140" s="462"/>
    </row>
    <row r="141" spans="1:8" ht="18" customHeight="1" x14ac:dyDescent="0.2">
      <c r="A141" s="464"/>
      <c r="B141" s="464"/>
      <c r="C141" s="464"/>
      <c r="D141" s="464"/>
      <c r="E141" s="464"/>
      <c r="F141" s="465"/>
      <c r="G141" s="720"/>
      <c r="H141" s="462"/>
    </row>
    <row r="142" spans="1:8" ht="125.1" customHeight="1" x14ac:dyDescent="0.2">
      <c r="A142" s="1457"/>
      <c r="B142" s="1457"/>
      <c r="C142" s="1457"/>
      <c r="D142" s="1457"/>
      <c r="E142" s="1457"/>
      <c r="F142" s="1457"/>
      <c r="G142" s="1457"/>
    </row>
    <row r="143" spans="1:8" ht="35.1" customHeight="1" x14ac:dyDescent="0.2"/>
    <row r="144" spans="1:8" ht="65.099999999999994" customHeight="1" x14ac:dyDescent="0.2">
      <c r="E144" s="1413" t="s">
        <v>515</v>
      </c>
      <c r="F144" s="1413"/>
      <c r="G144" s="404" t="e">
        <f>G3</f>
        <v>#N/A</v>
      </c>
    </row>
    <row r="145" spans="1:8" ht="23.1" customHeight="1" x14ac:dyDescent="0.2">
      <c r="E145" s="711"/>
      <c r="F145" s="711"/>
      <c r="G145" s="466"/>
    </row>
    <row r="146" spans="1:8" ht="23.1" customHeight="1" x14ac:dyDescent="0.2">
      <c r="A146" s="1456" t="s">
        <v>568</v>
      </c>
      <c r="B146" s="1456"/>
      <c r="C146" s="1456"/>
      <c r="D146" s="1456"/>
      <c r="E146" s="467"/>
      <c r="F146" s="467"/>
      <c r="G146" s="467"/>
    </row>
    <row r="147" spans="1:8" ht="23.1" customHeight="1" x14ac:dyDescent="0.2">
      <c r="A147" s="1490"/>
      <c r="B147" s="1490"/>
      <c r="C147" s="1490"/>
      <c r="D147" s="1490"/>
      <c r="E147" s="1490"/>
      <c r="F147" s="1490"/>
      <c r="G147" s="1490"/>
    </row>
    <row r="148" spans="1:8" ht="33" customHeight="1" x14ac:dyDescent="0.2">
      <c r="A148" s="402" t="s">
        <v>569</v>
      </c>
      <c r="B148" s="1476" t="s">
        <v>570</v>
      </c>
      <c r="C148" s="1476"/>
      <c r="D148" s="1476"/>
      <c r="E148" s="1476"/>
      <c r="F148" s="1476"/>
      <c r="G148" s="1476"/>
    </row>
    <row r="149" spans="1:8" ht="33" customHeight="1" x14ac:dyDescent="0.2">
      <c r="A149" s="403" t="s">
        <v>569</v>
      </c>
      <c r="B149" s="1426" t="s">
        <v>571</v>
      </c>
      <c r="C149" s="1426"/>
      <c r="D149" s="1426"/>
      <c r="E149" s="1426"/>
      <c r="F149" s="1426"/>
      <c r="G149" s="1426"/>
      <c r="H149" s="413"/>
    </row>
    <row r="150" spans="1:8" ht="33" customHeight="1" x14ac:dyDescent="0.2">
      <c r="A150" s="827" t="s">
        <v>572</v>
      </c>
      <c r="B150" s="1426" t="s">
        <v>573</v>
      </c>
      <c r="C150" s="1426"/>
      <c r="D150" s="1426"/>
      <c r="E150" s="1426"/>
      <c r="F150" s="1426"/>
      <c r="G150" s="1426"/>
      <c r="H150" s="413"/>
    </row>
    <row r="151" spans="1:8" ht="23.1" customHeight="1" x14ac:dyDescent="0.2">
      <c r="A151" s="827" t="s">
        <v>569</v>
      </c>
      <c r="B151" s="1426" t="s">
        <v>574</v>
      </c>
      <c r="C151" s="1426"/>
      <c r="D151" s="1426"/>
      <c r="E151" s="1426"/>
      <c r="F151" s="1426"/>
      <c r="G151" s="1426"/>
    </row>
    <row r="152" spans="1:8" ht="23.1" customHeight="1" x14ac:dyDescent="0.2">
      <c r="A152" s="827" t="s">
        <v>569</v>
      </c>
      <c r="B152" s="1426" t="s">
        <v>575</v>
      </c>
      <c r="C152" s="1426"/>
      <c r="D152" s="1426"/>
      <c r="E152" s="1426"/>
      <c r="F152" s="1426"/>
      <c r="G152" s="1426"/>
    </row>
    <row r="153" spans="1:8" s="413" customFormat="1" ht="33" customHeight="1" x14ac:dyDescent="0.2">
      <c r="A153" s="827" t="s">
        <v>569</v>
      </c>
      <c r="B153" s="1426" t="s">
        <v>576</v>
      </c>
      <c r="C153" s="1426"/>
      <c r="D153" s="1426"/>
      <c r="E153" s="1426"/>
      <c r="F153" s="1426"/>
      <c r="G153" s="1426"/>
    </row>
    <row r="154" spans="1:8" ht="23.1" customHeight="1" x14ac:dyDescent="0.2">
      <c r="A154" s="828" t="s">
        <v>569</v>
      </c>
      <c r="B154" s="1476" t="s">
        <v>577</v>
      </c>
      <c r="C154" s="1476"/>
      <c r="D154" s="1476"/>
      <c r="E154" s="1476"/>
      <c r="F154" s="1476"/>
      <c r="G154" s="1476"/>
    </row>
    <row r="155" spans="1:8" ht="23.1" customHeight="1" x14ac:dyDescent="0.2">
      <c r="A155" s="828" t="s">
        <v>572</v>
      </c>
      <c r="B155" s="1476" t="s">
        <v>578</v>
      </c>
      <c r="C155" s="1476"/>
      <c r="D155" s="1476"/>
      <c r="E155" s="1476"/>
      <c r="F155" s="1476"/>
      <c r="G155" s="1476"/>
    </row>
    <row r="156" spans="1:8" ht="23.1" customHeight="1" x14ac:dyDescent="0.2">
      <c r="A156" s="828" t="s">
        <v>569</v>
      </c>
      <c r="B156" s="1476" t="s">
        <v>579</v>
      </c>
      <c r="C156" s="1476"/>
      <c r="D156" s="1476"/>
      <c r="E156" s="1476"/>
      <c r="F156" s="1476"/>
      <c r="G156" s="1476"/>
    </row>
    <row r="157" spans="1:8" ht="33" customHeight="1" x14ac:dyDescent="0.2">
      <c r="A157" s="828" t="s">
        <v>569</v>
      </c>
      <c r="B157" s="1491" t="s">
        <v>580</v>
      </c>
      <c r="C157" s="1491"/>
      <c r="D157" s="1491"/>
      <c r="E157" s="1491"/>
      <c r="F157" s="1491"/>
      <c r="G157" s="1491"/>
    </row>
    <row r="158" spans="1:8" ht="23.1" customHeight="1" x14ac:dyDescent="0.2">
      <c r="A158" s="468"/>
      <c r="B158" s="1492"/>
      <c r="C158" s="1492"/>
      <c r="D158" s="1492"/>
      <c r="E158" s="1492"/>
      <c r="F158" s="1492"/>
      <c r="G158" s="1492"/>
    </row>
    <row r="159" spans="1:8" ht="20.25" customHeight="1" x14ac:dyDescent="0.2">
      <c r="A159" s="461"/>
      <c r="B159" s="708"/>
      <c r="C159" s="708"/>
      <c r="D159" s="708"/>
      <c r="E159" s="708"/>
      <c r="F159" s="708"/>
      <c r="G159" s="708"/>
    </row>
    <row r="160" spans="1:8" ht="20.100000000000001" customHeight="1" x14ac:dyDescent="0.25">
      <c r="A160" s="1472" t="s">
        <v>581</v>
      </c>
      <c r="B160" s="1472"/>
      <c r="C160" s="1472"/>
      <c r="D160" s="469"/>
      <c r="E160" s="469"/>
      <c r="F160" s="709"/>
      <c r="G160" s="709"/>
    </row>
    <row r="161" spans="1:11" ht="20.100000000000001" customHeight="1" x14ac:dyDescent="0.2">
      <c r="A161" s="708"/>
      <c r="B161" s="708"/>
      <c r="C161" s="708"/>
      <c r="D161" s="708"/>
      <c r="E161" s="708"/>
      <c r="F161" s="708"/>
      <c r="G161" s="708"/>
    </row>
    <row r="162" spans="1:11" ht="20.100000000000001" customHeight="1" x14ac:dyDescent="0.2">
      <c r="A162" s="1397"/>
      <c r="B162" s="1397"/>
      <c r="C162" s="1397"/>
      <c r="D162" s="1397"/>
      <c r="E162" s="1397"/>
      <c r="F162" s="1397"/>
      <c r="G162" s="1397"/>
    </row>
    <row r="163" spans="1:11" ht="30" customHeight="1" x14ac:dyDescent="0.2">
      <c r="A163" s="470"/>
      <c r="B163" s="470"/>
      <c r="C163" s="470"/>
      <c r="D163" s="748"/>
      <c r="E163" s="716"/>
      <c r="F163" s="716"/>
      <c r="G163" s="748"/>
    </row>
    <row r="164" spans="1:11" ht="20.100000000000001" customHeight="1" x14ac:dyDescent="0.2">
      <c r="A164" s="1398" t="s">
        <v>582</v>
      </c>
      <c r="B164" s="1398"/>
      <c r="C164" s="1398"/>
      <c r="D164" s="1398"/>
      <c r="E164" s="1398" t="s">
        <v>583</v>
      </c>
      <c r="F164" s="1398"/>
      <c r="G164" s="1398"/>
    </row>
    <row r="165" spans="1:11" ht="23.1" customHeight="1" x14ac:dyDescent="0.2">
      <c r="A165" s="1400" t="s">
        <v>584</v>
      </c>
      <c r="B165" s="1400"/>
      <c r="C165" s="1400"/>
      <c r="D165" s="1400"/>
      <c r="E165" s="1400" t="s">
        <v>585</v>
      </c>
      <c r="F165" s="1400"/>
      <c r="G165" s="1400"/>
    </row>
    <row r="166" spans="1:11" ht="23.1" customHeight="1" x14ac:dyDescent="0.2">
      <c r="A166" s="1399" t="e">
        <f>VLOOKUP($D$163,'DATOS # '!$B$183:$E$186,4,FALSE)</f>
        <v>#N/A</v>
      </c>
      <c r="B166" s="1399"/>
      <c r="C166" s="1399"/>
      <c r="D166" s="1399"/>
      <c r="E166" s="1399" t="e">
        <f>VLOOKUP($G$163,'DATOS # '!B183:G186,6,FALSE)</f>
        <v>#N/A</v>
      </c>
      <c r="F166" s="1399"/>
      <c r="G166" s="1399"/>
    </row>
    <row r="167" spans="1:11" ht="23.1" customHeight="1" x14ac:dyDescent="0.2">
      <c r="A167" s="1399" t="e">
        <f>VLOOKUP($D$163,'DATOS # '!$B$183:$E$186,2,FALSE)</f>
        <v>#N/A</v>
      </c>
      <c r="B167" s="1399"/>
      <c r="C167" s="1399"/>
      <c r="D167" s="1399"/>
      <c r="E167" s="1399" t="e">
        <f>VLOOKUP($G$163,'DATOS # '!B183:G186,2,FALSE)</f>
        <v>#N/A</v>
      </c>
      <c r="F167" s="1399"/>
      <c r="G167" s="1399"/>
    </row>
    <row r="168" spans="1:11" ht="15" customHeight="1" x14ac:dyDescent="0.2">
      <c r="A168" s="413"/>
      <c r="B168" s="413"/>
      <c r="C168" s="413"/>
      <c r="D168" s="413"/>
      <c r="E168" s="413"/>
      <c r="F168" s="413"/>
      <c r="G168" s="413"/>
    </row>
    <row r="169" spans="1:11" ht="20.25" customHeight="1" x14ac:dyDescent="0.2"/>
    <row r="170" spans="1:11" ht="29.25" customHeight="1" x14ac:dyDescent="0.2">
      <c r="A170" s="1402" t="s">
        <v>586</v>
      </c>
      <c r="B170" s="1402"/>
      <c r="C170" s="826"/>
      <c r="D170" s="471"/>
      <c r="E170" s="1401" t="s">
        <v>587</v>
      </c>
      <c r="F170" s="1401"/>
      <c r="G170" s="825"/>
    </row>
    <row r="172" spans="1:11" ht="23.1" customHeight="1" x14ac:dyDescent="0.25">
      <c r="A172" s="1396" t="s">
        <v>588</v>
      </c>
      <c r="B172" s="1396"/>
      <c r="C172" s="1396"/>
      <c r="D172" s="1396"/>
      <c r="E172" s="1396"/>
      <c r="F172" s="1396"/>
      <c r="G172" s="1396"/>
      <c r="K172" s="714"/>
    </row>
  </sheetData>
  <sheetProtection algorithmName="SHA-512" hashValue="ptLx5tSF0ihGVJ7oyH52p9o0Pbk1EiRPU84hgiZ7hGfPTX207EA274iecCVVCI3rpmiNm+0UhtduEiHFW7W+Kw==" saltValue="O/tYE7OzGylEx+L2uVfEHQ==" spinCount="100000" sheet="1" objects="1" scenarios="1"/>
  <mergeCells count="126">
    <mergeCell ref="A1:G1"/>
    <mergeCell ref="E3:F3"/>
    <mergeCell ref="A4:D4"/>
    <mergeCell ref="A6:C6"/>
    <mergeCell ref="D6:G6"/>
    <mergeCell ref="A7:C7"/>
    <mergeCell ref="D7:G7"/>
    <mergeCell ref="A15:C15"/>
    <mergeCell ref="D15:E15"/>
    <mergeCell ref="A16:C16"/>
    <mergeCell ref="D16:G16"/>
    <mergeCell ref="A17:C17"/>
    <mergeCell ref="D17:E17"/>
    <mergeCell ref="A8:C8"/>
    <mergeCell ref="D8:E8"/>
    <mergeCell ref="A10:C10"/>
    <mergeCell ref="E10:F10"/>
    <mergeCell ref="A12:G12"/>
    <mergeCell ref="A14:C14"/>
    <mergeCell ref="D14:E14"/>
    <mergeCell ref="A26:C26"/>
    <mergeCell ref="D26:F26"/>
    <mergeCell ref="A28:G28"/>
    <mergeCell ref="A31:G31"/>
    <mergeCell ref="A34:C34"/>
    <mergeCell ref="A18:C18"/>
    <mergeCell ref="A19:C19"/>
    <mergeCell ref="A20:C20"/>
    <mergeCell ref="A21:C21"/>
    <mergeCell ref="A23:G23"/>
    <mergeCell ref="A24:G24"/>
    <mergeCell ref="A45:C45"/>
    <mergeCell ref="D45:E45"/>
    <mergeCell ref="A46:C46"/>
    <mergeCell ref="D46:E46"/>
    <mergeCell ref="A47:C47"/>
    <mergeCell ref="D47:E47"/>
    <mergeCell ref="A35:C35"/>
    <mergeCell ref="A36:G36"/>
    <mergeCell ref="E39:F39"/>
    <mergeCell ref="A40:G40"/>
    <mergeCell ref="A42:G42"/>
    <mergeCell ref="A44:C44"/>
    <mergeCell ref="D44:E44"/>
    <mergeCell ref="A56:B56"/>
    <mergeCell ref="A57:B57"/>
    <mergeCell ref="A58:B58"/>
    <mergeCell ref="A59:B59"/>
    <mergeCell ref="A60:B60"/>
    <mergeCell ref="A61:B61"/>
    <mergeCell ref="D48:E48"/>
    <mergeCell ref="A49:C49"/>
    <mergeCell ref="D49:E49"/>
    <mergeCell ref="A51:G51"/>
    <mergeCell ref="A53:D53"/>
    <mergeCell ref="A55:D55"/>
    <mergeCell ref="A73:E73"/>
    <mergeCell ref="A74:B74"/>
    <mergeCell ref="A75:B75"/>
    <mergeCell ref="A76:B76"/>
    <mergeCell ref="A77:B77"/>
    <mergeCell ref="A78:B78"/>
    <mergeCell ref="A62:B62"/>
    <mergeCell ref="A63:C63"/>
    <mergeCell ref="A65:G66"/>
    <mergeCell ref="A68:G68"/>
    <mergeCell ref="E70:F70"/>
    <mergeCell ref="A71:C71"/>
    <mergeCell ref="A85:B85"/>
    <mergeCell ref="A87:G87"/>
    <mergeCell ref="A89:E89"/>
    <mergeCell ref="A91:D91"/>
    <mergeCell ref="A92:B92"/>
    <mergeCell ref="A93:B93"/>
    <mergeCell ref="A79:B79"/>
    <mergeCell ref="A80:B80"/>
    <mergeCell ref="A81:B81"/>
    <mergeCell ref="A82:B82"/>
    <mergeCell ref="A83:B83"/>
    <mergeCell ref="A84:B84"/>
    <mergeCell ref="A101:B101"/>
    <mergeCell ref="A102:B102"/>
    <mergeCell ref="A103:B103"/>
    <mergeCell ref="A104:B104"/>
    <mergeCell ref="A105:B105"/>
    <mergeCell ref="B112:C112"/>
    <mergeCell ref="A94:B94"/>
    <mergeCell ref="A95:B95"/>
    <mergeCell ref="A96:B96"/>
    <mergeCell ref="A97:B97"/>
    <mergeCell ref="A99:D99"/>
    <mergeCell ref="A100:B100"/>
    <mergeCell ref="A142:G142"/>
    <mergeCell ref="E144:F144"/>
    <mergeCell ref="A146:D146"/>
    <mergeCell ref="A147:G147"/>
    <mergeCell ref="B148:G148"/>
    <mergeCell ref="B149:G149"/>
    <mergeCell ref="B113:C113"/>
    <mergeCell ref="B114:C114"/>
    <mergeCell ref="A130:G130"/>
    <mergeCell ref="A134:D134"/>
    <mergeCell ref="A135:F135"/>
    <mergeCell ref="A137:G137"/>
    <mergeCell ref="B156:G156"/>
    <mergeCell ref="B157:G157"/>
    <mergeCell ref="B158:G158"/>
    <mergeCell ref="A160:C160"/>
    <mergeCell ref="A162:G162"/>
    <mergeCell ref="A164:D164"/>
    <mergeCell ref="E164:G164"/>
    <mergeCell ref="B150:G150"/>
    <mergeCell ref="B151:G151"/>
    <mergeCell ref="B152:G152"/>
    <mergeCell ref="B153:G153"/>
    <mergeCell ref="B154:G154"/>
    <mergeCell ref="B155:G155"/>
    <mergeCell ref="A170:B170"/>
    <mergeCell ref="E170:F170"/>
    <mergeCell ref="A172:G172"/>
    <mergeCell ref="A165:D165"/>
    <mergeCell ref="E165:G165"/>
    <mergeCell ref="A166:D166"/>
    <mergeCell ref="E166:G166"/>
    <mergeCell ref="A167:D167"/>
    <mergeCell ref="E167:G167"/>
  </mergeCells>
  <dataValidations count="2">
    <dataValidation allowBlank="1" showInputMessage="1" showErrorMessage="1" promptTitle="Ajustar d y e" prompt="Ajustar división de escala y escalón, según IPFNA" sqref="D20" xr:uid="{00000000-0002-0000-0600-000000000000}"/>
    <dataValidation allowBlank="1" showInputMessage="1" showErrorMessage="1" promptTitle="Pesas utilizadas" prompt="Ingresar las pesas utilizadas en la calibración" sqref="D49:E49" xr:uid="{00000000-0002-0000-0600-000001000000}"/>
  </dataValidations>
  <pageMargins left="0.70866141732283472" right="0.70866141732283472" top="0.74803149606299213" bottom="0.74803149606299213" header="0.31496062992125984" footer="0.31496062992125984"/>
  <pageSetup scale="46" orientation="landscape" r:id="rId1"/>
  <headerFooter>
    <oddHeader>&amp;C
MODIFICACIÓN AL CERTIFICADO DE CALIBRACIÓN DE INSTRUMENTOS DE PESAJE DE FUNCIONAMIENTO NO AUTOMÁTICO - IPFNA</oddHeader>
    <oddFooter>&amp;RRT03-F39 Vr.12 (2022-03-23)
Página &amp;P de 3</oddFooter>
  </headerFooter>
  <rowBreaks count="4" manualBreakCount="4">
    <brk id="36" max="6" man="1"/>
    <brk id="67" max="6" man="1"/>
    <brk id="106" max="6" man="1"/>
    <brk id="14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2000000}">
          <x14:formula1>
            <xm:f>'DATOS # '!$B$201:$B$203</xm:f>
          </x14:formula1>
          <xm:sqref>F112</xm:sqref>
        </x14:dataValidation>
        <x14:dataValidation type="list" allowBlank="1" showInputMessage="1" showErrorMessage="1" xr:uid="{00000000-0002-0000-0600-000003000000}">
          <x14:formula1>
            <xm:f>'DATOS # '!$B$183:$B$186</xm:f>
          </x14:formula1>
          <xm:sqref>G163 D163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1a0376a-4913-43ea-bca5-b9259b3c65a0">
      <UserInfo>
        <DisplayName>Yenny Astrid Hernández Gómez</DisplayName>
        <AccountId>14</AccountId>
        <AccountType/>
      </UserInfo>
      <UserInfo>
        <DisplayName>Elvis Aguirre Romero</DisplayName>
        <AccountId>10</AccountId>
        <AccountType/>
      </UserInfo>
      <UserInfo>
        <DisplayName>Luis Henry Barreto Rojas</DisplayName>
        <AccountId>13</AccountId>
        <AccountType/>
      </UserInfo>
    </SharedWithUsers>
    <lcf76f155ced4ddcb4097134ff3c332f xmlns="28630930-25e8-416c-ab3b-3d3f0eb88142">
      <Terms xmlns="http://schemas.microsoft.com/office/infopath/2007/PartnerControls"/>
    </lcf76f155ced4ddcb4097134ff3c332f>
    <TaxCatchAll xmlns="41a0376a-4913-43ea-bca5-b9259b3c65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1C81F78A526C244A20286E28DE88E1E" ma:contentTypeVersion="16" ma:contentTypeDescription="Crear nuevo documento." ma:contentTypeScope="" ma:versionID="d713bc3fed25671c6e33f379168f2f9c">
  <xsd:schema xmlns:xsd="http://www.w3.org/2001/XMLSchema" xmlns:xs="http://www.w3.org/2001/XMLSchema" xmlns:p="http://schemas.microsoft.com/office/2006/metadata/properties" xmlns:ns2="28630930-25e8-416c-ab3b-3d3f0eb88142" xmlns:ns3="41a0376a-4913-43ea-bca5-b9259b3c65a0" targetNamespace="http://schemas.microsoft.com/office/2006/metadata/properties" ma:root="true" ma:fieldsID="dc3d2e819729881705429c641e717553" ns2:_="" ns3:_="">
    <xsd:import namespace="28630930-25e8-416c-ab3b-3d3f0eb88142"/>
    <xsd:import namespace="41a0376a-4913-43ea-bca5-b9259b3c65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30930-25e8-416c-ab3b-3d3f0eb881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33d804f7-ca46-4700-9da3-18b907134a7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a0376a-4913-43ea-bca5-b9259b3c65a0"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7976e945-0c06-40c7-9ba4-a80e2af427e4}" ma:internalName="TaxCatchAll" ma:showField="CatchAllData" ma:web="41a0376a-4913-43ea-bca5-b9259b3c65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A11067-4ABF-4D41-91E7-BA02F8A4EABA}">
  <ds:schemaRef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28630930-25e8-416c-ab3b-3d3f0eb88142"/>
    <ds:schemaRef ds:uri="http://schemas.openxmlformats.org/package/2006/metadata/core-properties"/>
    <ds:schemaRef ds:uri="http://schemas.microsoft.com/office/infopath/2007/PartnerControls"/>
    <ds:schemaRef ds:uri="41a0376a-4913-43ea-bca5-b9259b3c65a0"/>
    <ds:schemaRef ds:uri="http://purl.org/dc/terms/"/>
  </ds:schemaRefs>
</ds:datastoreItem>
</file>

<file path=customXml/itemProps2.xml><?xml version="1.0" encoding="utf-8"?>
<ds:datastoreItem xmlns:ds="http://schemas.openxmlformats.org/officeDocument/2006/customXml" ds:itemID="{87A190C3-01B0-4827-8BEC-D82F8A72F106}">
  <ds:schemaRefs>
    <ds:schemaRef ds:uri="http://schemas.microsoft.com/sharepoint/v3/contenttype/forms"/>
  </ds:schemaRefs>
</ds:datastoreItem>
</file>

<file path=customXml/itemProps3.xml><?xml version="1.0" encoding="utf-8"?>
<ds:datastoreItem xmlns:ds="http://schemas.openxmlformats.org/officeDocument/2006/customXml" ds:itemID="{E18D1BBA-61EA-4974-891B-EAACE24E9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30930-25e8-416c-ab3b-3d3f0eb88142"/>
    <ds:schemaRef ds:uri="41a0376a-4913-43ea-bca5-b9259b3c65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DATOS # </vt:lpstr>
      <vt:lpstr>RT03-F12 #</vt:lpstr>
      <vt:lpstr> CMC #</vt:lpstr>
      <vt:lpstr>Pc # </vt:lpstr>
      <vt:lpstr>Max y MIN #</vt:lpstr>
      <vt:lpstr> RT03-F15 #</vt:lpstr>
      <vt:lpstr>RT03-F39 #</vt:lpstr>
      <vt:lpstr>' CMC #'!Área_de_impresión</vt:lpstr>
      <vt:lpstr>' RT03-F15 #'!Área_de_impresión</vt:lpstr>
      <vt:lpstr>'DATOS # '!Área_de_impresión</vt:lpstr>
      <vt:lpstr>'Max y MIN #'!Área_de_impresión</vt:lpstr>
      <vt:lpstr>'Pc # '!Área_de_impresión</vt:lpstr>
      <vt:lpstr>'RT03-F12 #'!Área_de_impresión</vt:lpstr>
      <vt:lpstr>'RT03-F39 #'!Área_de_impresión</vt:lpstr>
      <vt:lpstr>' RT03-F15 #'!Títulos_a_imprimir</vt:lpstr>
      <vt:lpstr>'RT03-F12 #'!Títulos_a_imprimir</vt:lpstr>
      <vt:lpstr>'RT03-F39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Elvis Aguirre Romero</dc:creator>
  <cp:keywords/>
  <dc:description/>
  <cp:lastModifiedBy>Yenny Hernández</cp:lastModifiedBy>
  <cp:revision/>
  <cp:lastPrinted>2022-06-30T14:50:00Z</cp:lastPrinted>
  <dcterms:created xsi:type="dcterms:W3CDTF">2016-06-28T20:23:39Z</dcterms:created>
  <dcterms:modified xsi:type="dcterms:W3CDTF">2022-06-30T14:58:44Z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y fmtid="{D5CDD505-2E9C-101B-9397-08002B2CF9AE}" pid="3" name="ContentTypeId">
    <vt:lpwstr>0x010100B1C81F78A526C244A20286E28DE88E1E</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