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omments1.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4.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8.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9.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0.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1.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12.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13.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4.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5.xml" ContentType="application/vnd.openxmlformats-officedocument.themeOverride+xml"/>
  <Override PartName="/xl/drawings/drawing3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5.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MARY CARRILLO\Desktop\Oficina Asesora 2023\Modulo Dctos SIGI\Publicacion Dctos 2023-10-17\RT03\RT03-F13_V18\"/>
    </mc:Choice>
  </mc:AlternateContent>
  <xr:revisionPtr revIDLastSave="0" documentId="13_ncr:1_{A58BB2E6-61AC-436B-B3F8-10CABEFA6B33}" xr6:coauthVersionLast="47" xr6:coauthVersionMax="47" xr10:uidLastSave="{00000000-0000-0000-0000-000000000000}"/>
  <workbookProtection workbookPassword="CF7A" lockStructure="1"/>
  <bookViews>
    <workbookView xWindow="-25320" yWindow="-1005" windowWidth="25440" windowHeight="15390" tabRatio="559" firstSheet="13" activeTab="13" xr2:uid="{00000000-000D-0000-FFFF-FFFF00000000}"/>
  </bookViews>
  <sheets>
    <sheet name="1 mg &lt; " sheetId="240" state="hidden" r:id="rId1"/>
    <sheet name="2 mg &lt;" sheetId="241" state="hidden" r:id="rId2"/>
    <sheet name="2 mg + &lt; " sheetId="242" state="hidden" r:id="rId3"/>
    <sheet name="5 mg &lt; " sheetId="243" state="hidden" r:id="rId4"/>
    <sheet name="10 mg &lt; " sheetId="244" state="hidden" r:id="rId5"/>
    <sheet name="20 mg &lt; " sheetId="245" state="hidden" r:id="rId6"/>
    <sheet name="20 mg + &lt; " sheetId="246" state="hidden" r:id="rId7"/>
    <sheet name="50 mg &lt; " sheetId="247" state="hidden" r:id="rId8"/>
    <sheet name="100 mg &lt; " sheetId="248" state="hidden" r:id="rId9"/>
    <sheet name="200 mg &lt; " sheetId="249" state="hidden" r:id="rId10"/>
    <sheet name="200 mg + &lt;" sheetId="251" state="hidden" r:id="rId11"/>
    <sheet name="500 mg &lt; " sheetId="252" state="hidden" r:id="rId12"/>
    <sheet name="RT03-F13 (mg)&lt; " sheetId="256" state="hidden" r:id="rId13"/>
    <sheet name="RT03-F13 (g) &lt;" sheetId="201" r:id="rId14"/>
    <sheet name="mili Max-Min &lt; " sheetId="257" state="hidden" r:id="rId15"/>
    <sheet name="1 g &lt;" sheetId="202" state="hidden" r:id="rId16"/>
    <sheet name="2 g &lt;" sheetId="204" state="hidden" r:id="rId17"/>
    <sheet name="2 g + &lt;" sheetId="205" state="hidden" r:id="rId18"/>
    <sheet name="5 g &lt;" sheetId="206" state="hidden" r:id="rId19"/>
    <sheet name="10 g &lt;" sheetId="207" state="hidden" r:id="rId20"/>
    <sheet name="20 g &lt;" sheetId="208" state="hidden" r:id="rId21"/>
    <sheet name="20 g + &lt;" sheetId="221" state="hidden" r:id="rId22"/>
    <sheet name="50 g &lt;" sheetId="211" state="hidden" r:id="rId23"/>
    <sheet name="100 g &lt;" sheetId="212" state="hidden" r:id="rId24"/>
    <sheet name="200 g &lt;" sheetId="213" state="hidden" r:id="rId25"/>
    <sheet name="200 g + &lt;" sheetId="214" state="hidden" r:id="rId26"/>
    <sheet name="500 g &lt;" sheetId="215" state="hidden" r:id="rId27"/>
    <sheet name="1 kg &lt;" sheetId="216" state="hidden" r:id="rId28"/>
    <sheet name="2 kg &lt;" sheetId="217" state="hidden" r:id="rId29"/>
    <sheet name="2 kg + &lt;" sheetId="218" state="hidden" r:id="rId30"/>
    <sheet name="5 kg &lt;" sheetId="219" state="hidden" r:id="rId31"/>
    <sheet name="10 kg &lt;" sheetId="220" state="hidden" r:id="rId32"/>
    <sheet name="DATOS &lt;" sheetId="132" state="hidden" r:id="rId33"/>
    <sheet name="mili Pc &lt; " sheetId="255" state="hidden" r:id="rId34"/>
    <sheet name="gramo Pc &lt;" sheetId="233" r:id="rId35"/>
    <sheet name="Cert juego miligramo &lt;" sheetId="254" state="hidden" r:id="rId36"/>
    <sheet name="gramo Max-Min &lt; " sheetId="231" r:id="rId37"/>
    <sheet name="Cert Juego gramo &lt;" sheetId="137" state="hidden" r:id="rId38"/>
    <sheet name="Modifi Cert Juego gramo &lt;" sheetId="258" state="hidden" r:id="rId39"/>
    <sheet name="5 kg &lt; (C)" sheetId="222" state="hidden" r:id="rId40"/>
    <sheet name=" Certi 5 kg &lt; (C)" sheetId="234" state="hidden" r:id="rId41"/>
    <sheet name="10 kg &lt; (C)" sheetId="223" state="hidden" r:id="rId42"/>
    <sheet name="Certi 10 kg &lt; (C)" sheetId="235" state="hidden" r:id="rId43"/>
    <sheet name="20 kg &lt; (C)" sheetId="224" state="hidden" r:id="rId44"/>
    <sheet name="Certi 20 kg &lt; (C)" sheetId="236" state="hidden" r:id="rId45"/>
  </sheets>
  <externalReferences>
    <externalReference r:id="rId46"/>
  </externalReferences>
  <definedNames>
    <definedName name="_xlnm.Print_Area" localSheetId="40">' Certi 5 kg &lt; (C)'!$A$1:$M$93</definedName>
    <definedName name="_xlnm.Print_Area" localSheetId="15">'1 g &lt;'!$A$1:$N$79</definedName>
    <definedName name="_xlnm.Print_Area" localSheetId="27">'1 kg &lt;'!$A$1:$N$79</definedName>
    <definedName name="_xlnm.Print_Area" localSheetId="0">'1 mg &lt; '!$A$1:$N$79</definedName>
    <definedName name="_xlnm.Print_Area" localSheetId="19">'10 g &lt;'!$A$1:$N$79</definedName>
    <definedName name="_xlnm.Print_Area" localSheetId="31">'10 kg &lt;'!$A$1:$N$79</definedName>
    <definedName name="_xlnm.Print_Area" localSheetId="41">'10 kg &lt; (C)'!$A$1:$N$79</definedName>
    <definedName name="_xlnm.Print_Area" localSheetId="4">'10 mg &lt; '!$A$1:$N$79</definedName>
    <definedName name="_xlnm.Print_Area" localSheetId="23">'100 g &lt;'!$A$1:$N$79</definedName>
    <definedName name="_xlnm.Print_Area" localSheetId="8">'100 mg &lt; '!$A$1:$N$79</definedName>
    <definedName name="_xlnm.Print_Area" localSheetId="17">'2 g + &lt;'!$A$1:$N$81</definedName>
    <definedName name="_xlnm.Print_Area" localSheetId="16">'2 g &lt;'!$A$1:$N$81</definedName>
    <definedName name="_xlnm.Print_Area" localSheetId="29">'2 kg + &lt;'!$A$1:$N$79</definedName>
    <definedName name="_xlnm.Print_Area" localSheetId="28">'2 kg &lt;'!$A$1:$N$79</definedName>
    <definedName name="_xlnm.Print_Area" localSheetId="2">'2 mg + &lt; '!$A$1:$N$79</definedName>
    <definedName name="_xlnm.Print_Area" localSheetId="1">'2 mg &lt;'!$A$1:$N$79</definedName>
    <definedName name="_xlnm.Print_Area" localSheetId="21">'20 g + &lt;'!$A$1:$N$79</definedName>
    <definedName name="_xlnm.Print_Area" localSheetId="20">'20 g &lt;'!$A$1:$N$79</definedName>
    <definedName name="_xlnm.Print_Area" localSheetId="43">'20 kg &lt; (C)'!$A$1:$N$79</definedName>
    <definedName name="_xlnm.Print_Area" localSheetId="6">'20 mg + &lt; '!$A$1:$N$79</definedName>
    <definedName name="_xlnm.Print_Area" localSheetId="5">'20 mg &lt; '!$A$1:$N$79</definedName>
    <definedName name="_xlnm.Print_Area" localSheetId="25">'200 g + &lt;'!$A$1:$N$79</definedName>
    <definedName name="_xlnm.Print_Area" localSheetId="24">'200 g &lt;'!$A$1:$N$79</definedName>
    <definedName name="_xlnm.Print_Area" localSheetId="10">'200 mg + &lt;'!$A$1:$N$79</definedName>
    <definedName name="_xlnm.Print_Area" localSheetId="9">'200 mg &lt; '!$A$1:$N$79</definedName>
    <definedName name="_xlnm.Print_Area" localSheetId="18">'5 g &lt;'!$A$1:$N$81</definedName>
    <definedName name="_xlnm.Print_Area" localSheetId="30">'5 kg &lt;'!$A$1:$N$79</definedName>
    <definedName name="_xlnm.Print_Area" localSheetId="39">'5 kg &lt; (C)'!$A$1:$N$79</definedName>
    <definedName name="_xlnm.Print_Area" localSheetId="3">'5 mg &lt; '!$A$1:$N$79</definedName>
    <definedName name="_xlnm.Print_Area" localSheetId="22">'50 g &lt;'!$A$1:$N$79</definedName>
    <definedName name="_xlnm.Print_Area" localSheetId="7">'50 mg &lt; '!$A$1:$N$79</definedName>
    <definedName name="_xlnm.Print_Area" localSheetId="26">'500 g &lt;'!$A$1:$N$79</definedName>
    <definedName name="_xlnm.Print_Area" localSheetId="11">'500 mg &lt; '!$A$1:$N$79</definedName>
    <definedName name="_xlnm.Print_Area" localSheetId="37">'Cert Juego gramo &lt;'!$A$1:$M$113</definedName>
    <definedName name="_xlnm.Print_Area" localSheetId="35">'Cert juego miligramo &lt;'!$A$1:$M$99</definedName>
    <definedName name="_xlnm.Print_Area" localSheetId="42">'Certi 10 kg &lt; (C)'!$A$1:$M$94</definedName>
    <definedName name="_xlnm.Print_Area" localSheetId="44">'Certi 20 kg &lt; (C)'!$A$1:$M$94</definedName>
    <definedName name="_xlnm.Print_Area" localSheetId="32">'DATOS &lt;'!$A$1:$AD$216</definedName>
    <definedName name="_xlnm.Print_Area" localSheetId="36">'gramo Max-Min &lt; '!$A$1:$AC$45</definedName>
    <definedName name="_xlnm.Print_Area" localSheetId="34">'gramo Pc &lt;'!$A$1:$AB$59</definedName>
    <definedName name="_xlnm.Print_Area" localSheetId="14">'mili Max-Min &lt; '!$A$1:$R$45</definedName>
    <definedName name="_xlnm.Print_Area" localSheetId="33">'mili Pc &lt; '!$A$1:$Z$42</definedName>
    <definedName name="_xlnm.Print_Area" localSheetId="38">'Modifi Cert Juego gramo &lt;'!$A$1:$M$113</definedName>
    <definedName name="_xlnm.Print_Area" localSheetId="13">'RT03-F13 (g) &lt;'!$A$1:$N$79</definedName>
    <definedName name="_xlnm.Print_Area" localSheetId="12">'RT03-F13 (mg)&lt; '!$A$1:$N$79</definedName>
    <definedName name="Datos_de_las_Pesas_Patrón">'DATOS &lt;'!$N$3:$AA$135</definedName>
    <definedName name="DELTAMAXI">'[1]PRUEBAS DE CALIBRACION'!$G$18</definedName>
    <definedName name="DIVISIÓNDEESCALA">[1]DATOS!$E$13</definedName>
    <definedName name="LEXCENTRICIDAD">'[1]PRUEBAS DE CALIBRACION'!$H$11</definedName>
    <definedName name="Patrones_Termohigrometros">'DATOS &lt;'!$A$142:$L$196</definedName>
    <definedName name="Print_Area" localSheetId="40">' Certi 5 kg &lt; (C)'!$A$1:$J$96</definedName>
    <definedName name="Print_Area" localSheetId="15">'1 g &lt;'!$A$1:$K$106</definedName>
    <definedName name="Print_Area" localSheetId="27">'1 kg &lt;'!$A$1:$K$105</definedName>
    <definedName name="Print_Area" localSheetId="0">'1 mg &lt; '!$A$1:$K$106</definedName>
    <definedName name="Print_Area" localSheetId="19">'10 g &lt;'!$A$1:$K$106</definedName>
    <definedName name="Print_Area" localSheetId="31">'10 kg &lt;'!$A$1:$K$106</definedName>
    <definedName name="Print_Area" localSheetId="41">'10 kg &lt; (C)'!$A$1:$K$105</definedName>
    <definedName name="Print_Area" localSheetId="4">'10 mg &lt; '!$A$1:$K$106</definedName>
    <definedName name="Print_Area" localSheetId="23">'100 g &lt;'!$A$1:$K$106</definedName>
    <definedName name="Print_Area" localSheetId="8">'100 mg &lt; '!$A$1:$K$106</definedName>
    <definedName name="Print_Area" localSheetId="17">'2 g + &lt;'!$A$1:$K$106</definedName>
    <definedName name="Print_Area" localSheetId="16">'2 g &lt;'!$A$1:$K$106</definedName>
    <definedName name="Print_Area" localSheetId="29">'2 kg + &lt;'!$A$1:$K$106</definedName>
    <definedName name="Print_Area" localSheetId="28">'2 kg &lt;'!$A$1:$K$106</definedName>
    <definedName name="Print_Area" localSheetId="2">'2 mg + &lt; '!$A$1:$K$106</definedName>
    <definedName name="Print_Area" localSheetId="1">'2 mg &lt;'!$A$1:$K$106</definedName>
    <definedName name="Print_Area" localSheetId="21">'20 g + &lt;'!$A$1:$K$106</definedName>
    <definedName name="Print_Area" localSheetId="20">'20 g &lt;'!$A$1:$K$106</definedName>
    <definedName name="Print_Area" localSheetId="43">'20 kg &lt; (C)'!$A$1:$K$105</definedName>
    <definedName name="Print_Area" localSheetId="6">'20 mg + &lt; '!$A$1:$K$106</definedName>
    <definedName name="Print_Area" localSheetId="5">'20 mg &lt; '!$A$1:$K$106</definedName>
    <definedName name="Print_Area" localSheetId="25">'200 g + &lt;'!$A$1:$K$106</definedName>
    <definedName name="Print_Area" localSheetId="24">'200 g &lt;'!$A$1:$K$106</definedName>
    <definedName name="Print_Area" localSheetId="10">'200 mg + &lt;'!$A$1:$K$106</definedName>
    <definedName name="Print_Area" localSheetId="9">'200 mg &lt; '!$A$1:$K$106</definedName>
    <definedName name="Print_Area" localSheetId="18">'5 g &lt;'!$A$1:$K$106</definedName>
    <definedName name="Print_Area" localSheetId="30">'5 kg &lt;'!$A$1:$K$106</definedName>
    <definedName name="Print_Area" localSheetId="39">'5 kg &lt; (C)'!$A$1:$K$105</definedName>
    <definedName name="Print_Area" localSheetId="3">'5 mg &lt; '!$A$1:$K$106</definedName>
    <definedName name="Print_Area" localSheetId="22">'50 g &lt;'!$A$1:$K$106</definedName>
    <definedName name="Print_Area" localSheetId="7">'50 mg &lt; '!$A$1:$K$106</definedName>
    <definedName name="Print_Area" localSheetId="26">'500 g &lt;'!$A$1:$K$106</definedName>
    <definedName name="Print_Area" localSheetId="11">'500 mg &lt; '!$A$1:$K$106</definedName>
    <definedName name="Print_Area" localSheetId="37">'Cert Juego gramo &lt;'!$A$1:$J$115</definedName>
    <definedName name="Print_Area" localSheetId="35">'Cert juego miligramo &lt;'!$A$1:$J$101</definedName>
    <definedName name="Print_Area" localSheetId="42">'Certi 10 kg &lt; (C)'!$A$1:$J$96</definedName>
    <definedName name="Print_Area" localSheetId="44">'Certi 20 kg &lt; (C)'!$A$1:$J$96</definedName>
    <definedName name="Print_Area" localSheetId="32">'DATOS &lt;'!$A$2:$AA$168</definedName>
    <definedName name="Print_Area" localSheetId="38">'Modifi Cert Juego gramo &lt;'!$A$1:$J$115</definedName>
    <definedName name="Print_Area" localSheetId="13">'RT03-F13 (g) &lt;'!$A$1:$K$106</definedName>
    <definedName name="Print_Area" localSheetId="12">'RT03-F13 (mg)&lt; '!$A$1:$K$105</definedName>
    <definedName name="Print_Titles" localSheetId="15">'1 g &lt;'!$1:$1</definedName>
    <definedName name="Print_Titles" localSheetId="27">'1 kg &lt;'!$1:$1</definedName>
    <definedName name="Print_Titles" localSheetId="0">'1 mg &lt; '!$1:$1</definedName>
    <definedName name="Print_Titles" localSheetId="19">'10 g &lt;'!$1:$1</definedName>
    <definedName name="Print_Titles" localSheetId="31">'10 kg &lt;'!$1:$1</definedName>
    <definedName name="Print_Titles" localSheetId="41">'10 kg &lt; (C)'!$1:$1</definedName>
    <definedName name="Print_Titles" localSheetId="4">'10 mg &lt; '!$1:$1</definedName>
    <definedName name="Print_Titles" localSheetId="23">'100 g &lt;'!$1:$1</definedName>
    <definedName name="Print_Titles" localSheetId="8">'100 mg &lt; '!$1:$1</definedName>
    <definedName name="Print_Titles" localSheetId="17">'2 g + &lt;'!$1:$1</definedName>
    <definedName name="Print_Titles" localSheetId="16">'2 g &lt;'!$1:$1</definedName>
    <definedName name="Print_Titles" localSheetId="29">'2 kg + &lt;'!$1:$1</definedName>
    <definedName name="Print_Titles" localSheetId="28">'2 kg &lt;'!$1:$1</definedName>
    <definedName name="Print_Titles" localSheetId="2">'2 mg + &lt; '!$1:$1</definedName>
    <definedName name="Print_Titles" localSheetId="1">'2 mg &lt;'!$1:$1</definedName>
    <definedName name="Print_Titles" localSheetId="21">'20 g + &lt;'!$1:$1</definedName>
    <definedName name="Print_Titles" localSheetId="20">'20 g &lt;'!$1:$1</definedName>
    <definedName name="Print_Titles" localSheetId="43">'20 kg &lt; (C)'!$1:$1</definedName>
    <definedName name="Print_Titles" localSheetId="6">'20 mg + &lt; '!$1:$1</definedName>
    <definedName name="Print_Titles" localSheetId="5">'20 mg &lt; '!$1:$1</definedName>
    <definedName name="Print_Titles" localSheetId="25">'200 g + &lt;'!$1:$1</definedName>
    <definedName name="Print_Titles" localSheetId="24">'200 g &lt;'!$1:$1</definedName>
    <definedName name="Print_Titles" localSheetId="10">'200 mg + &lt;'!$1:$1</definedName>
    <definedName name="Print_Titles" localSheetId="9">'200 mg &lt; '!$1:$1</definedName>
    <definedName name="Print_Titles" localSheetId="18">'5 g &lt;'!$1:$1</definedName>
    <definedName name="Print_Titles" localSheetId="30">'5 kg &lt;'!$1:$1</definedName>
    <definedName name="Print_Titles" localSheetId="39">'5 kg &lt; (C)'!$1:$1</definedName>
    <definedName name="Print_Titles" localSheetId="3">'5 mg &lt; '!$1:$1</definedName>
    <definedName name="Print_Titles" localSheetId="22">'50 g &lt;'!$1:$1</definedName>
    <definedName name="Print_Titles" localSheetId="7">'50 mg &lt; '!$1:$1</definedName>
    <definedName name="Print_Titles" localSheetId="26">'500 g &lt;'!$1:$1</definedName>
    <definedName name="Print_Titles" localSheetId="11">'500 mg &lt; '!$1:$1</definedName>
    <definedName name="Print_Titles" localSheetId="13">'RT03-F13 (g) &lt;'!$1:$1</definedName>
    <definedName name="Print_Titles" localSheetId="12">'RT03-F13 (mg)&lt; '!$1:$1</definedName>
    <definedName name="_xlnm.Print_Titles" localSheetId="15">'1 g &lt;'!$1:$1</definedName>
    <definedName name="_xlnm.Print_Titles" localSheetId="27">'1 kg &lt;'!$1:$1</definedName>
    <definedName name="_xlnm.Print_Titles" localSheetId="0">'1 mg &lt; '!$1:$1</definedName>
    <definedName name="_xlnm.Print_Titles" localSheetId="19">'10 g &lt;'!$1:$1</definedName>
    <definedName name="_xlnm.Print_Titles" localSheetId="31">'10 kg &lt;'!$1:$1</definedName>
    <definedName name="_xlnm.Print_Titles" localSheetId="41">'10 kg &lt; (C)'!$1:$1</definedName>
    <definedName name="_xlnm.Print_Titles" localSheetId="4">'10 mg &lt; '!$1:$1</definedName>
    <definedName name="_xlnm.Print_Titles" localSheetId="23">'100 g &lt;'!$1:$1</definedName>
    <definedName name="_xlnm.Print_Titles" localSheetId="8">'100 mg &lt; '!$1:$1</definedName>
    <definedName name="_xlnm.Print_Titles" localSheetId="17">'2 g + &lt;'!$1:$1</definedName>
    <definedName name="_xlnm.Print_Titles" localSheetId="16">'2 g &lt;'!$1:$1</definedName>
    <definedName name="_xlnm.Print_Titles" localSheetId="29">'2 kg + &lt;'!$1:$1</definedName>
    <definedName name="_xlnm.Print_Titles" localSheetId="28">'2 kg &lt;'!$1:$1</definedName>
    <definedName name="_xlnm.Print_Titles" localSheetId="2">'2 mg + &lt; '!$1:$1</definedName>
    <definedName name="_xlnm.Print_Titles" localSheetId="1">'2 mg &lt;'!$1:$1</definedName>
    <definedName name="_xlnm.Print_Titles" localSheetId="21">'20 g + &lt;'!$1:$1</definedName>
    <definedName name="_xlnm.Print_Titles" localSheetId="20">'20 g &lt;'!$1:$1</definedName>
    <definedName name="_xlnm.Print_Titles" localSheetId="43">'20 kg &lt; (C)'!$1:$1</definedName>
    <definedName name="_xlnm.Print_Titles" localSheetId="6">'20 mg + &lt; '!$1:$1</definedName>
    <definedName name="_xlnm.Print_Titles" localSheetId="5">'20 mg &lt; '!$1:$1</definedName>
    <definedName name="_xlnm.Print_Titles" localSheetId="25">'200 g + &lt;'!$1:$1</definedName>
    <definedName name="_xlnm.Print_Titles" localSheetId="24">'200 g &lt;'!$1:$1</definedName>
    <definedName name="_xlnm.Print_Titles" localSheetId="10">'200 mg + &lt;'!$1:$1</definedName>
    <definedName name="_xlnm.Print_Titles" localSheetId="9">'200 mg &lt; '!$1:$1</definedName>
    <definedName name="_xlnm.Print_Titles" localSheetId="18">'5 g &lt;'!$1:$1</definedName>
    <definedName name="_xlnm.Print_Titles" localSheetId="30">'5 kg &lt;'!$1:$1</definedName>
    <definedName name="_xlnm.Print_Titles" localSheetId="39">'5 kg &lt; (C)'!$1:$1</definedName>
    <definedName name="_xlnm.Print_Titles" localSheetId="3">'5 mg &lt; '!$1:$1</definedName>
    <definedName name="_xlnm.Print_Titles" localSheetId="22">'50 g &lt;'!$1:$1</definedName>
    <definedName name="_xlnm.Print_Titles" localSheetId="7">'50 mg &lt; '!$1:$1</definedName>
    <definedName name="_xlnm.Print_Titles" localSheetId="26">'500 g &lt;'!$1:$1</definedName>
    <definedName name="_xlnm.Print_Titles" localSheetId="11">'500 mg &lt; '!$1:$1</definedName>
    <definedName name="_xlnm.Print_Titles" localSheetId="13">'RT03-F13 (g) &lt;'!$1:$1</definedName>
    <definedName name="_xlnm.Print_Titles" localSheetId="12">'RT03-F13 (mg)&lt; '!$1:$1</definedName>
    <definedName name="TRAZABILIDAD_METROLOGICA">'DATOS &lt;'!$I$114:$L$117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8" i="258" l="1"/>
  <c r="B108" i="258"/>
  <c r="B107" i="258"/>
  <c r="H106" i="258"/>
  <c r="F78" i="258"/>
  <c r="E78" i="258"/>
  <c r="C78" i="258"/>
  <c r="B78" i="258"/>
  <c r="F77" i="258"/>
  <c r="E77" i="258"/>
  <c r="C77" i="258"/>
  <c r="B77" i="258"/>
  <c r="F76" i="258"/>
  <c r="E76" i="258"/>
  <c r="C76" i="258"/>
  <c r="B76" i="258"/>
  <c r="F75" i="258"/>
  <c r="E75" i="258"/>
  <c r="C75" i="258"/>
  <c r="B75" i="258"/>
  <c r="F74" i="258"/>
  <c r="E74" i="258"/>
  <c r="C74" i="258"/>
  <c r="B74" i="258"/>
  <c r="F73" i="258"/>
  <c r="E73" i="258"/>
  <c r="C73" i="258"/>
  <c r="B73" i="258"/>
  <c r="F72" i="258"/>
  <c r="E72" i="258"/>
  <c r="C72" i="258"/>
  <c r="B72" i="258"/>
  <c r="F71" i="258"/>
  <c r="E71" i="258"/>
  <c r="C71" i="258"/>
  <c r="B71" i="258"/>
  <c r="F70" i="258"/>
  <c r="E70" i="258"/>
  <c r="C70" i="258"/>
  <c r="B70" i="258"/>
  <c r="F69" i="258"/>
  <c r="E69" i="258"/>
  <c r="C69" i="258"/>
  <c r="B69" i="258"/>
  <c r="F68" i="258"/>
  <c r="E68" i="258"/>
  <c r="C68" i="258"/>
  <c r="B68" i="258"/>
  <c r="F67" i="258"/>
  <c r="E67" i="258"/>
  <c r="C67" i="258"/>
  <c r="B67" i="258"/>
  <c r="F66" i="258"/>
  <c r="E66" i="258"/>
  <c r="C66" i="258"/>
  <c r="B66" i="258"/>
  <c r="F65" i="258"/>
  <c r="E65" i="258"/>
  <c r="C65" i="258"/>
  <c r="B65" i="258"/>
  <c r="F64" i="258"/>
  <c r="E64" i="258"/>
  <c r="C64" i="258"/>
  <c r="B64" i="258"/>
  <c r="F63" i="258"/>
  <c r="E63" i="258"/>
  <c r="C63" i="258"/>
  <c r="B63" i="258"/>
  <c r="F62" i="258"/>
  <c r="E62" i="258"/>
  <c r="C62" i="258"/>
  <c r="B62" i="258"/>
  <c r="F61" i="258"/>
  <c r="E61" i="258"/>
  <c r="C61" i="258"/>
  <c r="B61" i="258"/>
  <c r="F60" i="258"/>
  <c r="E60" i="258"/>
  <c r="C60" i="258"/>
  <c r="B60" i="258"/>
  <c r="F59" i="258"/>
  <c r="E59" i="258"/>
  <c r="C59" i="258"/>
  <c r="B59" i="258"/>
  <c r="J46" i="258"/>
  <c r="H46" i="258"/>
  <c r="G46" i="258"/>
  <c r="F46" i="258"/>
  <c r="J45" i="258"/>
  <c r="H45" i="258"/>
  <c r="G45" i="258"/>
  <c r="F45" i="258"/>
  <c r="A42" i="258"/>
  <c r="J37" i="258"/>
  <c r="H37" i="258"/>
  <c r="F37" i="258"/>
  <c r="B37" i="258"/>
  <c r="E24" i="258"/>
  <c r="A22" i="258"/>
  <c r="D16" i="258"/>
  <c r="D15" i="258"/>
  <c r="D10" i="258"/>
  <c r="D8" i="258"/>
  <c r="D7" i="258"/>
  <c r="D6" i="258"/>
  <c r="L3" i="258"/>
  <c r="L54" i="258" s="1"/>
  <c r="L32" i="258" l="1"/>
  <c r="H39" i="256" l="1"/>
  <c r="H39" i="224"/>
  <c r="H39" i="223"/>
  <c r="H39" i="222"/>
  <c r="H39" i="220"/>
  <c r="H39" i="219"/>
  <c r="H39" i="218"/>
  <c r="H39" i="217"/>
  <c r="H39" i="216"/>
  <c r="H39" i="215"/>
  <c r="H39" i="214"/>
  <c r="H39" i="213"/>
  <c r="H39" i="212"/>
  <c r="H39" i="211"/>
  <c r="H39" i="221"/>
  <c r="H39" i="208"/>
  <c r="H39" i="207"/>
  <c r="H39" i="206"/>
  <c r="H39" i="205"/>
  <c r="H39" i="204"/>
  <c r="H39" i="202"/>
  <c r="H39" i="201"/>
  <c r="H39" i="252"/>
  <c r="H39" i="251"/>
  <c r="H39" i="249"/>
  <c r="H39" i="248"/>
  <c r="H39" i="247"/>
  <c r="H39" i="246"/>
  <c r="H39" i="245"/>
  <c r="H39" i="244"/>
  <c r="H39" i="243"/>
  <c r="H39" i="242"/>
  <c r="H39" i="241"/>
  <c r="H39" i="240"/>
  <c r="C12" i="256"/>
  <c r="C60" i="256" s="1"/>
  <c r="C10" i="256"/>
  <c r="D54" i="256" s="1"/>
  <c r="C11" i="256"/>
  <c r="C13" i="256"/>
  <c r="C14" i="256"/>
  <c r="C65" i="256" s="1"/>
  <c r="J6" i="256"/>
  <c r="H10" i="256" s="1"/>
  <c r="G15" i="256"/>
  <c r="C67" i="256" s="1"/>
  <c r="C12" i="240"/>
  <c r="C60" i="240" s="1"/>
  <c r="C10" i="240"/>
  <c r="C11" i="240"/>
  <c r="D54" i="240" s="1"/>
  <c r="C13" i="240"/>
  <c r="C14" i="240"/>
  <c r="C65" i="240" s="1"/>
  <c r="J6" i="240"/>
  <c r="H11" i="240" s="1"/>
  <c r="C64" i="240" s="1"/>
  <c r="E49" i="240"/>
  <c r="G15" i="240"/>
  <c r="C67" i="240" s="1"/>
  <c r="C12" i="241"/>
  <c r="C60" i="241" s="1"/>
  <c r="C10" i="241"/>
  <c r="C11" i="241"/>
  <c r="C75" i="241" s="1"/>
  <c r="C76" i="241" s="1"/>
  <c r="C13" i="241"/>
  <c r="C15" i="241"/>
  <c r="C14" i="241"/>
  <c r="C65" i="241"/>
  <c r="J6" i="241"/>
  <c r="G15" i="241"/>
  <c r="C67" i="241" s="1"/>
  <c r="C12" i="242"/>
  <c r="C60" i="242" s="1"/>
  <c r="C10" i="242"/>
  <c r="C11" i="242"/>
  <c r="C13" i="242"/>
  <c r="C15" i="242"/>
  <c r="C14" i="242"/>
  <c r="C65" i="242" s="1"/>
  <c r="J6" i="242"/>
  <c r="G15" i="242"/>
  <c r="C67" i="242" s="1"/>
  <c r="C12" i="243"/>
  <c r="C60" i="243" s="1"/>
  <c r="C10" i="243"/>
  <c r="B75" i="243" s="1"/>
  <c r="B76" i="243" s="1"/>
  <c r="C11" i="243"/>
  <c r="C13" i="243"/>
  <c r="C15" i="243"/>
  <c r="C14" i="243"/>
  <c r="C65" i="243" s="1"/>
  <c r="J6" i="243"/>
  <c r="G15" i="243"/>
  <c r="C67" i="243" s="1"/>
  <c r="C12" i="244"/>
  <c r="C60" i="244" s="1"/>
  <c r="C10" i="244"/>
  <c r="B75" i="244" s="1"/>
  <c r="B76" i="244" s="1"/>
  <c r="C11" i="244"/>
  <c r="C13" i="244"/>
  <c r="C15" i="244"/>
  <c r="C14" i="244"/>
  <c r="C65" i="244" s="1"/>
  <c r="J6" i="244"/>
  <c r="G15" i="244"/>
  <c r="C67" i="244" s="1"/>
  <c r="C12" i="245"/>
  <c r="C60" i="245" s="1"/>
  <c r="C10" i="245"/>
  <c r="B75" i="245" s="1"/>
  <c r="B76" i="245" s="1"/>
  <c r="C11" i="245"/>
  <c r="C13" i="245"/>
  <c r="C15" i="245"/>
  <c r="C14" i="245"/>
  <c r="C65" i="245" s="1"/>
  <c r="J6" i="245"/>
  <c r="G15" i="245"/>
  <c r="C67" i="245" s="1"/>
  <c r="C12" i="246"/>
  <c r="C60" i="246" s="1"/>
  <c r="C10" i="246"/>
  <c r="D54" i="246" s="1"/>
  <c r="C11" i="246"/>
  <c r="C13" i="246"/>
  <c r="C15" i="246"/>
  <c r="C14" i="246"/>
  <c r="C65" i="246" s="1"/>
  <c r="J6" i="246"/>
  <c r="G15" i="246"/>
  <c r="C67" i="246" s="1"/>
  <c r="C12" i="247"/>
  <c r="C60" i="247" s="1"/>
  <c r="C10" i="247"/>
  <c r="C11" i="247"/>
  <c r="C13" i="247"/>
  <c r="C15" i="247"/>
  <c r="C14" i="247"/>
  <c r="C65" i="247" s="1"/>
  <c r="J6" i="247"/>
  <c r="G15" i="247"/>
  <c r="C67" i="247" s="1"/>
  <c r="C12" i="248"/>
  <c r="C60" i="248"/>
  <c r="C10" i="248"/>
  <c r="C11" i="248"/>
  <c r="C13" i="248"/>
  <c r="C15" i="248"/>
  <c r="C14" i="248"/>
  <c r="C65" i="248" s="1"/>
  <c r="J6" i="248"/>
  <c r="G15" i="248"/>
  <c r="C67" i="248" s="1"/>
  <c r="C12" i="249"/>
  <c r="C60" i="249" s="1"/>
  <c r="C10" i="249"/>
  <c r="C11" i="249"/>
  <c r="C13" i="249"/>
  <c r="C15" i="249"/>
  <c r="C14" i="249"/>
  <c r="C65" i="249" s="1"/>
  <c r="J6" i="249"/>
  <c r="G15" i="249"/>
  <c r="C67" i="249" s="1"/>
  <c r="C12" i="251"/>
  <c r="C60" i="251" s="1"/>
  <c r="C10" i="251"/>
  <c r="C11" i="251"/>
  <c r="C13" i="251"/>
  <c r="C15" i="251"/>
  <c r="C14" i="251"/>
  <c r="C65" i="251" s="1"/>
  <c r="J6" i="251"/>
  <c r="G15" i="251"/>
  <c r="C67" i="251" s="1"/>
  <c r="C12" i="252"/>
  <c r="C60" i="252" s="1"/>
  <c r="C10" i="252"/>
  <c r="C11" i="252"/>
  <c r="C13" i="252"/>
  <c r="C15" i="252"/>
  <c r="C14" i="252"/>
  <c r="C65" i="252" s="1"/>
  <c r="J6" i="252"/>
  <c r="G15" i="252"/>
  <c r="C67" i="252" s="1"/>
  <c r="C12" i="202"/>
  <c r="C60" i="202" s="1"/>
  <c r="C10" i="202"/>
  <c r="C11" i="202"/>
  <c r="C13" i="202"/>
  <c r="C14" i="202"/>
  <c r="C65" i="202" s="1"/>
  <c r="J6" i="202"/>
  <c r="G15" i="202"/>
  <c r="C67" i="202" s="1"/>
  <c r="C12" i="220"/>
  <c r="C60" i="220" s="1"/>
  <c r="C10" i="220"/>
  <c r="B75" i="220" s="1"/>
  <c r="B76" i="220" s="1"/>
  <c r="C11" i="220"/>
  <c r="C75" i="220" s="1"/>
  <c r="C76" i="220" s="1"/>
  <c r="C13" i="220"/>
  <c r="C14" i="220"/>
  <c r="C65" i="220" s="1"/>
  <c r="J6" i="220"/>
  <c r="G8" i="220" s="1"/>
  <c r="G15" i="220"/>
  <c r="C67" i="220" s="1"/>
  <c r="C41" i="201"/>
  <c r="C40" i="201"/>
  <c r="D41" i="201"/>
  <c r="D42" i="201" s="1"/>
  <c r="D40" i="201"/>
  <c r="E41" i="201"/>
  <c r="E40" i="201"/>
  <c r="C12" i="201"/>
  <c r="C60" i="201" s="1"/>
  <c r="C10" i="201"/>
  <c r="C11" i="201"/>
  <c r="C13" i="201"/>
  <c r="C14" i="201"/>
  <c r="C65" i="201" s="1"/>
  <c r="J6" i="201"/>
  <c r="G15" i="201"/>
  <c r="C67" i="201" s="1"/>
  <c r="E49" i="201"/>
  <c r="D49" i="201"/>
  <c r="C49" i="201"/>
  <c r="C12" i="204"/>
  <c r="C60" i="204" s="1"/>
  <c r="C10" i="204"/>
  <c r="B75" i="204" s="1"/>
  <c r="C11" i="204"/>
  <c r="C75" i="204" s="1"/>
  <c r="C76" i="204" s="1"/>
  <c r="C13" i="204"/>
  <c r="C14" i="204"/>
  <c r="C65" i="204"/>
  <c r="J6" i="204"/>
  <c r="G15" i="204"/>
  <c r="C67" i="204" s="1"/>
  <c r="C12" i="205"/>
  <c r="C60" i="205" s="1"/>
  <c r="C10" i="205"/>
  <c r="C11" i="205"/>
  <c r="C75" i="205" s="1"/>
  <c r="C76" i="205" s="1"/>
  <c r="C13" i="205"/>
  <c r="C14" i="205"/>
  <c r="C65" i="205" s="1"/>
  <c r="J6" i="205"/>
  <c r="G15" i="205"/>
  <c r="C67" i="205" s="1"/>
  <c r="C12" i="206"/>
  <c r="C60" i="206" s="1"/>
  <c r="C10" i="206"/>
  <c r="C11" i="206"/>
  <c r="C13" i="206"/>
  <c r="C14" i="206"/>
  <c r="C65" i="206"/>
  <c r="J6" i="206"/>
  <c r="G15" i="206"/>
  <c r="C67" i="206" s="1"/>
  <c r="C12" i="207"/>
  <c r="C60" i="207" s="1"/>
  <c r="C10" i="207"/>
  <c r="B75" i="207" s="1"/>
  <c r="B76" i="207" s="1"/>
  <c r="C11" i="207"/>
  <c r="C13" i="207"/>
  <c r="C14" i="207"/>
  <c r="C65" i="207" s="1"/>
  <c r="J6" i="207"/>
  <c r="G15" i="207"/>
  <c r="C67" i="207" s="1"/>
  <c r="C12" i="208"/>
  <c r="C60" i="208" s="1"/>
  <c r="C10" i="208"/>
  <c r="C11" i="208"/>
  <c r="C13" i="208"/>
  <c r="C14" i="208"/>
  <c r="C65" i="208" s="1"/>
  <c r="J6" i="208"/>
  <c r="G15" i="208"/>
  <c r="C67" i="208" s="1"/>
  <c r="C12" i="221"/>
  <c r="C60" i="221" s="1"/>
  <c r="C10" i="221"/>
  <c r="C11" i="221"/>
  <c r="C75" i="221" s="1"/>
  <c r="C76" i="221" s="1"/>
  <c r="C13" i="221"/>
  <c r="C14" i="221"/>
  <c r="C65" i="221" s="1"/>
  <c r="J6" i="221"/>
  <c r="I8" i="221" s="1"/>
  <c r="G15" i="221"/>
  <c r="C67" i="221" s="1"/>
  <c r="C12" i="211"/>
  <c r="C60" i="211" s="1"/>
  <c r="C10" i="211"/>
  <c r="D54" i="211" s="1"/>
  <c r="C11" i="211"/>
  <c r="C13" i="211"/>
  <c r="C14" i="211"/>
  <c r="C65" i="211"/>
  <c r="J6" i="211"/>
  <c r="G15" i="211"/>
  <c r="C67" i="211" s="1"/>
  <c r="C12" i="212"/>
  <c r="C60" i="212" s="1"/>
  <c r="C10" i="212"/>
  <c r="C11" i="212"/>
  <c r="C75" i="212" s="1"/>
  <c r="C76" i="212" s="1"/>
  <c r="C13" i="212"/>
  <c r="C14" i="212"/>
  <c r="C65" i="212" s="1"/>
  <c r="J6" i="212"/>
  <c r="G15" i="212"/>
  <c r="C67" i="212" s="1"/>
  <c r="C12" i="213"/>
  <c r="C60" i="213" s="1"/>
  <c r="C10" i="213"/>
  <c r="C11" i="213"/>
  <c r="C13" i="213"/>
  <c r="C14" i="213"/>
  <c r="C65" i="213" s="1"/>
  <c r="J6" i="213"/>
  <c r="G15" i="213"/>
  <c r="C67" i="213" s="1"/>
  <c r="C12" i="214"/>
  <c r="C60" i="214" s="1"/>
  <c r="C10" i="214"/>
  <c r="B75" i="214" s="1"/>
  <c r="B76" i="214" s="1"/>
  <c r="C11" i="214"/>
  <c r="C13" i="214"/>
  <c r="C14" i="214"/>
  <c r="C65" i="214" s="1"/>
  <c r="J6" i="214"/>
  <c r="G15" i="214"/>
  <c r="C67" i="214" s="1"/>
  <c r="C12" i="215"/>
  <c r="C60" i="215" s="1"/>
  <c r="C10" i="215"/>
  <c r="C11" i="215"/>
  <c r="C13" i="215"/>
  <c r="C14" i="215"/>
  <c r="C65" i="215" s="1"/>
  <c r="J6" i="215"/>
  <c r="G15" i="215"/>
  <c r="C67" i="215" s="1"/>
  <c r="C12" i="216"/>
  <c r="C60" i="216" s="1"/>
  <c r="C10" i="216"/>
  <c r="C11" i="216"/>
  <c r="C13" i="216"/>
  <c r="C14" i="216"/>
  <c r="C65" i="216" s="1"/>
  <c r="J6" i="216"/>
  <c r="G15" i="216"/>
  <c r="C67" i="216" s="1"/>
  <c r="C12" i="217"/>
  <c r="C60" i="217" s="1"/>
  <c r="C62" i="217" s="1"/>
  <c r="C61" i="217"/>
  <c r="C10" i="217"/>
  <c r="C11" i="217"/>
  <c r="C13" i="217"/>
  <c r="C14" i="217"/>
  <c r="C65" i="217" s="1"/>
  <c r="J6" i="217"/>
  <c r="G15" i="217"/>
  <c r="C67" i="217" s="1"/>
  <c r="C12" i="219"/>
  <c r="C60" i="219" s="1"/>
  <c r="C10" i="219"/>
  <c r="C11" i="219"/>
  <c r="C13" i="219"/>
  <c r="C14" i="219"/>
  <c r="C65" i="219" s="1"/>
  <c r="J6" i="219"/>
  <c r="G15" i="219"/>
  <c r="C67" i="219" s="1"/>
  <c r="A41" i="254"/>
  <c r="C10" i="224"/>
  <c r="C11" i="224"/>
  <c r="D75" i="224" s="1"/>
  <c r="D76" i="224" s="1"/>
  <c r="C13" i="224"/>
  <c r="J6" i="224"/>
  <c r="E58" i="236"/>
  <c r="F58" i="236"/>
  <c r="C10" i="223"/>
  <c r="B75" i="223" s="1"/>
  <c r="B76" i="223" s="1"/>
  <c r="C11" i="223"/>
  <c r="D54" i="223" s="1"/>
  <c r="C13" i="223"/>
  <c r="J6" i="223"/>
  <c r="E58" i="235"/>
  <c r="F58" i="235"/>
  <c r="H25" i="233" s="1"/>
  <c r="F25" i="233" s="1"/>
  <c r="C10" i="222"/>
  <c r="B75" i="222" s="1"/>
  <c r="B76" i="222" s="1"/>
  <c r="C11" i="222"/>
  <c r="C75" i="222" s="1"/>
  <c r="C76" i="222" s="1"/>
  <c r="C13" i="222"/>
  <c r="J6" i="222"/>
  <c r="E59" i="234"/>
  <c r="F59" i="234"/>
  <c r="A43" i="236"/>
  <c r="A43" i="235"/>
  <c r="A43" i="234"/>
  <c r="F35" i="236"/>
  <c r="F35" i="235"/>
  <c r="F35" i="234"/>
  <c r="AB8" i="132"/>
  <c r="A42" i="137"/>
  <c r="B75" i="205"/>
  <c r="D54" i="205"/>
  <c r="E61" i="137"/>
  <c r="F61" i="137"/>
  <c r="H9" i="233" s="1"/>
  <c r="C75" i="202"/>
  <c r="E59" i="137"/>
  <c r="F59" i="137"/>
  <c r="Q8" i="233"/>
  <c r="Q9" i="233"/>
  <c r="T9" i="233" s="1"/>
  <c r="Z9" i="233" s="1"/>
  <c r="Q10" i="233"/>
  <c r="U10" i="233" s="1"/>
  <c r="AA10" i="233" s="1"/>
  <c r="T10" i="233"/>
  <c r="Z10" i="233" s="1"/>
  <c r="V10" i="233"/>
  <c r="AB10" i="233" s="1"/>
  <c r="Q11" i="233"/>
  <c r="U11" i="233" s="1"/>
  <c r="AA11" i="233" s="1"/>
  <c r="V11" i="233"/>
  <c r="AB11" i="233" s="1"/>
  <c r="Q12" i="233"/>
  <c r="Q13" i="233"/>
  <c r="T13" i="233" s="1"/>
  <c r="Z13" i="233" s="1"/>
  <c r="Q14" i="233"/>
  <c r="U14" i="233" s="1"/>
  <c r="AA14" i="233" s="1"/>
  <c r="T14" i="233"/>
  <c r="Z14" i="233" s="1"/>
  <c r="Q15" i="233"/>
  <c r="U15" i="233" s="1"/>
  <c r="AA15" i="233" s="1"/>
  <c r="V15" i="233"/>
  <c r="AB15" i="233" s="1"/>
  <c r="Q16" i="233"/>
  <c r="Q17" i="233"/>
  <c r="T17" i="233" s="1"/>
  <c r="Z17" i="233" s="1"/>
  <c r="Q18" i="233"/>
  <c r="U18" i="233" s="1"/>
  <c r="AA18" i="233" s="1"/>
  <c r="T18" i="233"/>
  <c r="Z18" i="233" s="1"/>
  <c r="V18" i="233"/>
  <c r="AB18" i="233" s="1"/>
  <c r="Q19" i="233"/>
  <c r="U19" i="233" s="1"/>
  <c r="AA19" i="233" s="1"/>
  <c r="V19" i="233"/>
  <c r="AB19" i="233" s="1"/>
  <c r="Q20" i="233"/>
  <c r="Q7" i="233"/>
  <c r="U7" i="233" s="1"/>
  <c r="AA7" i="233" s="1"/>
  <c r="R9" i="233"/>
  <c r="X9" i="233" s="1"/>
  <c r="S9" i="233"/>
  <c r="Y9" i="233" s="1"/>
  <c r="W10" i="233"/>
  <c r="R10" i="233"/>
  <c r="X10" i="233" s="1"/>
  <c r="S10" i="233"/>
  <c r="Y10" i="233" s="1"/>
  <c r="W11" i="233"/>
  <c r="R11" i="233"/>
  <c r="X11" i="233"/>
  <c r="S11" i="233"/>
  <c r="Y11" i="233" s="1"/>
  <c r="R12" i="233"/>
  <c r="X12" i="233" s="1"/>
  <c r="S12" i="233"/>
  <c r="Y12" i="233" s="1"/>
  <c r="R13" i="233"/>
  <c r="X13" i="233" s="1"/>
  <c r="S13" i="233"/>
  <c r="Y13" i="233" s="1"/>
  <c r="W14" i="233"/>
  <c r="R14" i="233"/>
  <c r="X14" i="233" s="1"/>
  <c r="S14" i="233"/>
  <c r="Y14" i="233" s="1"/>
  <c r="W15" i="233"/>
  <c r="R15" i="233"/>
  <c r="X15" i="233"/>
  <c r="S15" i="233"/>
  <c r="Y15" i="233" s="1"/>
  <c r="R16" i="233"/>
  <c r="X16" i="233" s="1"/>
  <c r="S16" i="233"/>
  <c r="Y16" i="233" s="1"/>
  <c r="R17" i="233"/>
  <c r="X17" i="233" s="1"/>
  <c r="S17" i="233"/>
  <c r="Y17" i="233" s="1"/>
  <c r="W18" i="233"/>
  <c r="R18" i="233"/>
  <c r="X18" i="233" s="1"/>
  <c r="S18" i="233"/>
  <c r="Y18" i="233" s="1"/>
  <c r="W19" i="233"/>
  <c r="R19" i="233"/>
  <c r="X19" i="233"/>
  <c r="S19" i="233"/>
  <c r="Y19" i="233" s="1"/>
  <c r="R20" i="233"/>
  <c r="X20" i="233" s="1"/>
  <c r="S20" i="233"/>
  <c r="Y20" i="233" s="1"/>
  <c r="S8" i="233"/>
  <c r="Y8" i="233"/>
  <c r="R8" i="233"/>
  <c r="X8" i="233" s="1"/>
  <c r="R7" i="233"/>
  <c r="X7" i="233" s="1"/>
  <c r="S7" i="233"/>
  <c r="Y7" i="233" s="1"/>
  <c r="H7" i="233"/>
  <c r="F7" i="233" s="1"/>
  <c r="X57" i="132"/>
  <c r="I202" i="132"/>
  <c r="AA38" i="231" s="1"/>
  <c r="U202" i="132"/>
  <c r="V202" i="132"/>
  <c r="S202" i="132"/>
  <c r="T202" i="132"/>
  <c r="Q202" i="132"/>
  <c r="R202" i="132"/>
  <c r="Q144" i="132"/>
  <c r="P202" i="132"/>
  <c r="P144" i="132"/>
  <c r="O202" i="132" s="1"/>
  <c r="O144" i="132"/>
  <c r="N202" i="132" s="1"/>
  <c r="L202" i="132"/>
  <c r="M202" i="132"/>
  <c r="K202" i="132"/>
  <c r="J202" i="132"/>
  <c r="AB57" i="132"/>
  <c r="C15" i="217" s="1"/>
  <c r="H73" i="132"/>
  <c r="J33" i="132"/>
  <c r="F33" i="132"/>
  <c r="E33" i="132"/>
  <c r="G33" i="132"/>
  <c r="I33" i="132"/>
  <c r="D33" i="132"/>
  <c r="C33" i="132"/>
  <c r="X53" i="132"/>
  <c r="C61" i="213" s="1"/>
  <c r="AB53" i="132"/>
  <c r="H69" i="132"/>
  <c r="J29" i="132"/>
  <c r="F29" i="132"/>
  <c r="E29" i="132"/>
  <c r="G29" i="132"/>
  <c r="I29" i="132"/>
  <c r="D29" i="132"/>
  <c r="B4" i="213" s="1"/>
  <c r="C29" i="132"/>
  <c r="X51" i="132"/>
  <c r="C61" i="212" s="1"/>
  <c r="AB51" i="132"/>
  <c r="C15" i="212" s="1"/>
  <c r="H68" i="132"/>
  <c r="J28" i="132"/>
  <c r="F28" i="132"/>
  <c r="E28" i="132"/>
  <c r="G28" i="132"/>
  <c r="I28" i="132"/>
  <c r="D28" i="132"/>
  <c r="C28" i="132"/>
  <c r="X50" i="132"/>
  <c r="C61" i="211" s="1"/>
  <c r="AB50" i="132"/>
  <c r="C15" i="211" s="1"/>
  <c r="H67" i="132"/>
  <c r="J27" i="132"/>
  <c r="F27" i="132"/>
  <c r="E27" i="132"/>
  <c r="G27" i="132"/>
  <c r="I27" i="132"/>
  <c r="D27" i="132"/>
  <c r="B4" i="211" s="1"/>
  <c r="C27" i="132"/>
  <c r="X45" i="132"/>
  <c r="AB45" i="132"/>
  <c r="C15" i="204" s="1"/>
  <c r="H62" i="132"/>
  <c r="H10" i="205" s="1"/>
  <c r="J22" i="132"/>
  <c r="F22" i="132"/>
  <c r="E22" i="132"/>
  <c r="G22" i="132"/>
  <c r="I22" i="132"/>
  <c r="D22" i="132"/>
  <c r="C22" i="132"/>
  <c r="C73" i="132"/>
  <c r="E73" i="132"/>
  <c r="I73" i="132"/>
  <c r="D73" i="132"/>
  <c r="C69" i="132"/>
  <c r="E69" i="132"/>
  <c r="I69" i="132"/>
  <c r="D69" i="132"/>
  <c r="I7" i="213" s="1"/>
  <c r="C68" i="132"/>
  <c r="E68" i="132"/>
  <c r="I68" i="132"/>
  <c r="D68" i="132"/>
  <c r="C67" i="132"/>
  <c r="E67" i="132"/>
  <c r="I67" i="132"/>
  <c r="H11" i="211" s="1"/>
  <c r="C64" i="211" s="1"/>
  <c r="D67" i="132"/>
  <c r="D62" i="132"/>
  <c r="C62" i="132"/>
  <c r="E62" i="132"/>
  <c r="I62" i="132"/>
  <c r="H11" i="205" s="1"/>
  <c r="C64" i="205" s="1"/>
  <c r="F55" i="254"/>
  <c r="H8" i="255" s="1"/>
  <c r="F8" i="255" s="1"/>
  <c r="F56" i="254"/>
  <c r="H9" i="255" s="1"/>
  <c r="F57" i="254"/>
  <c r="H10" i="255" s="1"/>
  <c r="F10" i="255" s="1"/>
  <c r="F58" i="254"/>
  <c r="H11" i="255"/>
  <c r="F11" i="255" s="1"/>
  <c r="F59" i="254"/>
  <c r="H12" i="255" s="1"/>
  <c r="F60" i="254"/>
  <c r="H13" i="255"/>
  <c r="F13" i="255" s="1"/>
  <c r="F61" i="254"/>
  <c r="H14" i="255"/>
  <c r="F14" i="255" s="1"/>
  <c r="F62" i="254"/>
  <c r="H15" i="255" s="1"/>
  <c r="F15" i="255"/>
  <c r="F63" i="254"/>
  <c r="H16" i="255" s="1"/>
  <c r="F16" i="255" s="1"/>
  <c r="F64" i="254"/>
  <c r="H17" i="255" s="1"/>
  <c r="F65" i="254"/>
  <c r="H18" i="255" s="1"/>
  <c r="F18" i="255" s="1"/>
  <c r="F54" i="254"/>
  <c r="H7" i="255"/>
  <c r="F7" i="255" s="1"/>
  <c r="F60" i="137"/>
  <c r="H8" i="233" s="1"/>
  <c r="F8" i="233" s="1"/>
  <c r="F9" i="233"/>
  <c r="F62" i="137"/>
  <c r="H10" i="233"/>
  <c r="F10" i="233" s="1"/>
  <c r="F63" i="137"/>
  <c r="H11" i="233" s="1"/>
  <c r="F64" i="137"/>
  <c r="H12" i="233"/>
  <c r="F12" i="233" s="1"/>
  <c r="F65" i="137"/>
  <c r="H13" i="233"/>
  <c r="F13" i="233" s="1"/>
  <c r="F66" i="137"/>
  <c r="H14" i="233" s="1"/>
  <c r="F14" i="233"/>
  <c r="F67" i="137"/>
  <c r="H15" i="233" s="1"/>
  <c r="F15" i="233" s="1"/>
  <c r="F68" i="137"/>
  <c r="H16" i="233" s="1"/>
  <c r="F16" i="233" s="1"/>
  <c r="F69" i="137"/>
  <c r="H17" i="233" s="1"/>
  <c r="F17" i="233" s="1"/>
  <c r="F70" i="137"/>
  <c r="H18" i="233"/>
  <c r="F18" i="233" s="1"/>
  <c r="F71" i="137"/>
  <c r="H19" i="233" s="1"/>
  <c r="F19" i="233" s="1"/>
  <c r="F72" i="137"/>
  <c r="H20" i="233"/>
  <c r="F20" i="233" s="1"/>
  <c r="F73" i="137"/>
  <c r="H21" i="233"/>
  <c r="F21" i="233" s="1"/>
  <c r="F74" i="137"/>
  <c r="H22" i="233" s="1"/>
  <c r="F22" i="233" s="1"/>
  <c r="F75" i="137"/>
  <c r="H23" i="233" s="1"/>
  <c r="F23" i="233" s="1"/>
  <c r="H24" i="233"/>
  <c r="F24" i="233" s="1"/>
  <c r="H26" i="233"/>
  <c r="F26" i="233"/>
  <c r="J48" i="132"/>
  <c r="C41" i="224"/>
  <c r="C40" i="224"/>
  <c r="E49" i="224"/>
  <c r="E50" i="224" s="1"/>
  <c r="I203" i="132"/>
  <c r="I204" i="132"/>
  <c r="W38" i="231" s="1"/>
  <c r="I205" i="132"/>
  <c r="J203" i="132"/>
  <c r="K203" i="132"/>
  <c r="L203" i="132"/>
  <c r="M203" i="132"/>
  <c r="O155" i="132"/>
  <c r="N203" i="132" s="1"/>
  <c r="P155" i="132"/>
  <c r="O203" i="132"/>
  <c r="Q155" i="132"/>
  <c r="P203" i="132" s="1"/>
  <c r="Q203" i="132"/>
  <c r="R203" i="132"/>
  <c r="S203" i="132"/>
  <c r="T203" i="132"/>
  <c r="U203" i="132"/>
  <c r="V203" i="132"/>
  <c r="J204" i="132"/>
  <c r="K204" i="132"/>
  <c r="L204" i="132"/>
  <c r="M204" i="132"/>
  <c r="O166" i="132"/>
  <c r="N204" i="132" s="1"/>
  <c r="P166" i="132"/>
  <c r="O204" i="132"/>
  <c r="Q166" i="132"/>
  <c r="P204" i="132" s="1"/>
  <c r="Q204" i="132"/>
  <c r="R204" i="132"/>
  <c r="S204" i="132"/>
  <c r="T204" i="132"/>
  <c r="U204" i="132"/>
  <c r="V204" i="132"/>
  <c r="J205" i="132"/>
  <c r="K205" i="132"/>
  <c r="L205" i="132"/>
  <c r="M205" i="132"/>
  <c r="O177" i="132"/>
  <c r="N205" i="132" s="1"/>
  <c r="P177" i="132"/>
  <c r="O205" i="132"/>
  <c r="Q177" i="132"/>
  <c r="P205" i="132" s="1"/>
  <c r="Q205" i="132"/>
  <c r="R205" i="132"/>
  <c r="S205" i="132"/>
  <c r="T205" i="132"/>
  <c r="U205" i="132"/>
  <c r="V205" i="132"/>
  <c r="I206" i="132"/>
  <c r="J206" i="132"/>
  <c r="K206" i="132"/>
  <c r="L206" i="132"/>
  <c r="M206" i="132"/>
  <c r="O188" i="132"/>
  <c r="N206" i="132"/>
  <c r="P188" i="132"/>
  <c r="O206" i="132" s="1"/>
  <c r="Q188" i="132"/>
  <c r="P206" i="132" s="1"/>
  <c r="Q206" i="132"/>
  <c r="R206" i="132"/>
  <c r="S206" i="132"/>
  <c r="T206" i="132"/>
  <c r="U206" i="132"/>
  <c r="V206" i="132"/>
  <c r="AA30" i="231"/>
  <c r="G77" i="258" s="1"/>
  <c r="AA29" i="231"/>
  <c r="D49" i="224"/>
  <c r="C49" i="224"/>
  <c r="C50" i="224" s="1"/>
  <c r="AB39" i="231"/>
  <c r="C41" i="223"/>
  <c r="C40" i="223"/>
  <c r="E49" i="223"/>
  <c r="E50" i="223" s="1"/>
  <c r="D49" i="223"/>
  <c r="C49" i="223"/>
  <c r="C50" i="223" s="1"/>
  <c r="AB30" i="231"/>
  <c r="C41" i="222"/>
  <c r="C40" i="222"/>
  <c r="E49" i="222"/>
  <c r="D49" i="222"/>
  <c r="D50" i="222" s="1"/>
  <c r="C49" i="222"/>
  <c r="AC21" i="231"/>
  <c r="K76" i="258" s="1"/>
  <c r="AB21" i="231"/>
  <c r="C41" i="220"/>
  <c r="C40" i="220"/>
  <c r="E49" i="220"/>
  <c r="D49" i="220"/>
  <c r="D50" i="220" s="1"/>
  <c r="C49" i="220"/>
  <c r="H76" i="132"/>
  <c r="AB11" i="231"/>
  <c r="J75" i="258" s="1"/>
  <c r="B75" i="219"/>
  <c r="B76" i="219" s="1"/>
  <c r="C41" i="219"/>
  <c r="C40" i="219"/>
  <c r="E49" i="219"/>
  <c r="D49" i="219"/>
  <c r="D50" i="219" s="1"/>
  <c r="C49" i="219"/>
  <c r="H75" i="132"/>
  <c r="W39" i="231"/>
  <c r="K74" i="258" s="1"/>
  <c r="U39" i="231"/>
  <c r="C10" i="218"/>
  <c r="B75" i="218" s="1"/>
  <c r="B76" i="218" s="1"/>
  <c r="C11" i="218"/>
  <c r="C75" i="218" s="1"/>
  <c r="C76" i="218" s="1"/>
  <c r="C41" i="218"/>
  <c r="C42" i="218" s="1"/>
  <c r="C40" i="218"/>
  <c r="E49" i="218"/>
  <c r="E50" i="218" s="1"/>
  <c r="D49" i="218"/>
  <c r="C49" i="218"/>
  <c r="C50" i="218" s="1"/>
  <c r="J6" i="218"/>
  <c r="H10" i="218" s="1"/>
  <c r="H74" i="132"/>
  <c r="C13" i="218"/>
  <c r="W29" i="231"/>
  <c r="L73" i="258" s="1"/>
  <c r="V29" i="231"/>
  <c r="J73" i="258" s="1"/>
  <c r="U30" i="231"/>
  <c r="B75" i="217"/>
  <c r="B76" i="217" s="1"/>
  <c r="C75" i="217"/>
  <c r="C76" i="217" s="1"/>
  <c r="C41" i="217"/>
  <c r="C40" i="217"/>
  <c r="E49" i="217"/>
  <c r="D49" i="217"/>
  <c r="D50" i="217" s="1"/>
  <c r="C49" i="217"/>
  <c r="W20" i="231"/>
  <c r="L72" i="258" s="1"/>
  <c r="V21" i="231"/>
  <c r="I72" i="258" s="1"/>
  <c r="U21" i="231"/>
  <c r="B75" i="216"/>
  <c r="B76" i="216" s="1"/>
  <c r="C75" i="216"/>
  <c r="C76" i="216" s="1"/>
  <c r="C41" i="216"/>
  <c r="C40" i="216"/>
  <c r="E49" i="216"/>
  <c r="D49" i="216"/>
  <c r="D50" i="216" s="1"/>
  <c r="C49" i="216"/>
  <c r="H72" i="132"/>
  <c r="W12" i="231"/>
  <c r="U11" i="231"/>
  <c r="C41" i="215"/>
  <c r="C42" i="215" s="1"/>
  <c r="C40" i="215"/>
  <c r="E49" i="215"/>
  <c r="E50" i="215" s="1"/>
  <c r="D49" i="215"/>
  <c r="C49" i="215"/>
  <c r="C50" i="215" s="1"/>
  <c r="H71" i="132"/>
  <c r="Q38" i="231"/>
  <c r="L70" i="258" s="1"/>
  <c r="P39" i="231"/>
  <c r="O39" i="231"/>
  <c r="C75" i="214"/>
  <c r="C76" i="214" s="1"/>
  <c r="C41" i="214"/>
  <c r="C40" i="214"/>
  <c r="E49" i="214"/>
  <c r="D49" i="214"/>
  <c r="D50" i="214" s="1"/>
  <c r="C49" i="214"/>
  <c r="I70" i="132"/>
  <c r="P29" i="231"/>
  <c r="J69" i="258" s="1"/>
  <c r="O29" i="231"/>
  <c r="H69" i="258" s="1"/>
  <c r="B75" i="213"/>
  <c r="B76" i="213" s="1"/>
  <c r="C75" i="213"/>
  <c r="C76" i="213" s="1"/>
  <c r="C41" i="213"/>
  <c r="C40" i="213"/>
  <c r="E49" i="213"/>
  <c r="E50" i="213" s="1"/>
  <c r="D49" i="213"/>
  <c r="C49" i="213"/>
  <c r="C50" i="213" s="1"/>
  <c r="P20" i="231"/>
  <c r="O20" i="231"/>
  <c r="H68" i="258" s="1"/>
  <c r="B75" i="212"/>
  <c r="B76" i="212" s="1"/>
  <c r="C41" i="212"/>
  <c r="C42" i="212" s="1"/>
  <c r="C44" i="212" s="1"/>
  <c r="C59" i="212" s="1"/>
  <c r="C40" i="212"/>
  <c r="E49" i="212"/>
  <c r="E50" i="212" s="1"/>
  <c r="D49" i="212"/>
  <c r="C49" i="212"/>
  <c r="C50" i="212" s="1"/>
  <c r="I8" i="212"/>
  <c r="Q12" i="231"/>
  <c r="K67" i="258" s="1"/>
  <c r="P12" i="231"/>
  <c r="O12" i="231"/>
  <c r="G67" i="258" s="1"/>
  <c r="C75" i="211"/>
  <c r="C76" i="211" s="1"/>
  <c r="C41" i="211"/>
  <c r="C42" i="211" s="1"/>
  <c r="C40" i="211"/>
  <c r="E49" i="211"/>
  <c r="E50" i="211" s="1"/>
  <c r="D49" i="211"/>
  <c r="C49" i="211"/>
  <c r="C50" i="211" s="1"/>
  <c r="G8" i="211"/>
  <c r="K38" i="231"/>
  <c r="J38" i="231"/>
  <c r="J66" i="258" s="1"/>
  <c r="I38" i="231"/>
  <c r="H66" i="258" s="1"/>
  <c r="B75" i="221"/>
  <c r="C41" i="221"/>
  <c r="C40" i="221"/>
  <c r="E49" i="221"/>
  <c r="E50" i="221" s="1"/>
  <c r="D49" i="221"/>
  <c r="C49" i="221"/>
  <c r="C50" i="221" s="1"/>
  <c r="D66" i="132"/>
  <c r="I7" i="221"/>
  <c r="K30" i="231"/>
  <c r="K65" i="258" s="1"/>
  <c r="J30" i="231"/>
  <c r="I65" i="258" s="1"/>
  <c r="I30" i="231"/>
  <c r="G65" i="258" s="1"/>
  <c r="B75" i="208"/>
  <c r="B76" i="208" s="1"/>
  <c r="C75" i="208"/>
  <c r="C76" i="208" s="1"/>
  <c r="C41" i="208"/>
  <c r="C40" i="208"/>
  <c r="E49" i="208"/>
  <c r="D49" i="208"/>
  <c r="D50" i="208" s="1"/>
  <c r="C49" i="208"/>
  <c r="H65" i="132"/>
  <c r="K21" i="231"/>
  <c r="K64" i="258" s="1"/>
  <c r="J21" i="231"/>
  <c r="I21" i="231"/>
  <c r="G64" i="258" s="1"/>
  <c r="C75" i="207"/>
  <c r="C76" i="207" s="1"/>
  <c r="C41" i="207"/>
  <c r="C40" i="207"/>
  <c r="E49" i="207"/>
  <c r="E50" i="207" s="1"/>
  <c r="D49" i="207"/>
  <c r="C49" i="207"/>
  <c r="C50" i="207" s="1"/>
  <c r="D64" i="132"/>
  <c r="K11" i="231"/>
  <c r="L63" i="258" s="1"/>
  <c r="J11" i="231"/>
  <c r="J63" i="258" s="1"/>
  <c r="I11" i="231"/>
  <c r="H63" i="258" s="1"/>
  <c r="B75" i="206"/>
  <c r="C41" i="206"/>
  <c r="C40" i="206"/>
  <c r="E49" i="206"/>
  <c r="D49" i="206"/>
  <c r="D50" i="206" s="1"/>
  <c r="C49" i="206"/>
  <c r="H63" i="132"/>
  <c r="E39" i="231"/>
  <c r="D39" i="231"/>
  <c r="I62" i="258" s="1"/>
  <c r="C39" i="231"/>
  <c r="G62" i="258" s="1"/>
  <c r="C41" i="205"/>
  <c r="C40" i="205"/>
  <c r="E49" i="205"/>
  <c r="E50" i="205" s="1"/>
  <c r="D49" i="205"/>
  <c r="C49" i="205"/>
  <c r="C50" i="205" s="1"/>
  <c r="H9" i="205"/>
  <c r="E29" i="231"/>
  <c r="L61" i="258" s="1"/>
  <c r="D29" i="231"/>
  <c r="J61" i="258" s="1"/>
  <c r="C29" i="231"/>
  <c r="H61" i="258" s="1"/>
  <c r="C41" i="204"/>
  <c r="C40" i="204"/>
  <c r="E49" i="204"/>
  <c r="D49" i="204"/>
  <c r="D50" i="204" s="1"/>
  <c r="C49" i="204"/>
  <c r="D61" i="132"/>
  <c r="I7" i="204"/>
  <c r="E20" i="231"/>
  <c r="L60" i="258" s="1"/>
  <c r="D20" i="231"/>
  <c r="J60" i="258" s="1"/>
  <c r="C20" i="231"/>
  <c r="H60" i="258" s="1"/>
  <c r="C76" i="202"/>
  <c r="C41" i="202"/>
  <c r="C40" i="202"/>
  <c r="E49" i="202"/>
  <c r="D49" i="202"/>
  <c r="D50" i="202" s="1"/>
  <c r="C49" i="202"/>
  <c r="E11" i="231"/>
  <c r="D11" i="231"/>
  <c r="C12" i="231"/>
  <c r="C80" i="132"/>
  <c r="F19" i="258" s="1"/>
  <c r="E4" i="220"/>
  <c r="L3" i="254"/>
  <c r="L72" i="254" s="1"/>
  <c r="D8" i="254"/>
  <c r="B58" i="236"/>
  <c r="B58" i="235"/>
  <c r="B25" i="233" s="1"/>
  <c r="B59" i="234"/>
  <c r="B24" i="233" s="1"/>
  <c r="B60" i="137"/>
  <c r="B61" i="137"/>
  <c r="B62" i="137"/>
  <c r="B10" i="233" s="1"/>
  <c r="B63" i="137"/>
  <c r="B11" i="233" s="1"/>
  <c r="B64" i="137"/>
  <c r="B65" i="137"/>
  <c r="B66" i="137"/>
  <c r="B14" i="233" s="1"/>
  <c r="B67" i="137"/>
  <c r="B15" i="233" s="1"/>
  <c r="B68" i="137"/>
  <c r="B69" i="137"/>
  <c r="B70" i="137"/>
  <c r="B18" i="233" s="1"/>
  <c r="B71" i="137"/>
  <c r="B19" i="233" s="1"/>
  <c r="B72" i="137"/>
  <c r="B73" i="137"/>
  <c r="B74" i="137"/>
  <c r="B22" i="233" s="1"/>
  <c r="B75" i="137"/>
  <c r="B23" i="233" s="1"/>
  <c r="B76" i="137"/>
  <c r="B77" i="137"/>
  <c r="B78" i="137"/>
  <c r="B59" i="137"/>
  <c r="B7" i="233" s="1"/>
  <c r="J60" i="132"/>
  <c r="D49" i="132"/>
  <c r="H50" i="132"/>
  <c r="H10" i="242" s="1"/>
  <c r="I50" i="132"/>
  <c r="H51" i="132"/>
  <c r="I51" i="132"/>
  <c r="H11" i="243" s="1"/>
  <c r="C64" i="243" s="1"/>
  <c r="H52" i="132"/>
  <c r="H10" i="244" s="1"/>
  <c r="I52" i="132"/>
  <c r="H53" i="132"/>
  <c r="I53" i="132"/>
  <c r="H11" i="245" s="1"/>
  <c r="C64" i="245" s="1"/>
  <c r="H54" i="132"/>
  <c r="H10" i="246" s="1"/>
  <c r="I54" i="132"/>
  <c r="H55" i="132"/>
  <c r="I55" i="132"/>
  <c r="H11" i="247" s="1"/>
  <c r="C64" i="247" s="1"/>
  <c r="H56" i="132"/>
  <c r="H10" i="248" s="1"/>
  <c r="I56" i="132"/>
  <c r="H57" i="132"/>
  <c r="I57" i="132"/>
  <c r="H11" i="249" s="1"/>
  <c r="C64" i="249" s="1"/>
  <c r="H58" i="132"/>
  <c r="I58" i="132"/>
  <c r="H59" i="132"/>
  <c r="I59" i="132"/>
  <c r="H11" i="252" s="1"/>
  <c r="C64" i="252" s="1"/>
  <c r="H60" i="132"/>
  <c r="I60" i="132"/>
  <c r="H61" i="132"/>
  <c r="I61" i="132"/>
  <c r="H11" i="204" s="1"/>
  <c r="C64" i="204" s="1"/>
  <c r="I63" i="132"/>
  <c r="H64" i="132"/>
  <c r="I64" i="132"/>
  <c r="I65" i="132"/>
  <c r="H11" i="208" s="1"/>
  <c r="C64" i="208" s="1"/>
  <c r="H66" i="132"/>
  <c r="I66" i="132"/>
  <c r="H70" i="132"/>
  <c r="I71" i="132"/>
  <c r="I72" i="132"/>
  <c r="I74" i="132"/>
  <c r="I75" i="132"/>
  <c r="I76" i="132"/>
  <c r="H77" i="132"/>
  <c r="H10" i="222" s="1"/>
  <c r="I77" i="132"/>
  <c r="H78" i="132"/>
  <c r="H10" i="223" s="1"/>
  <c r="I78" i="132"/>
  <c r="H11" i="223" s="1"/>
  <c r="C64" i="223" s="1"/>
  <c r="H79" i="132"/>
  <c r="I79" i="132"/>
  <c r="I49" i="132"/>
  <c r="H11" i="241" s="1"/>
  <c r="C64" i="241" s="1"/>
  <c r="H49" i="132"/>
  <c r="D50" i="132"/>
  <c r="E50" i="132"/>
  <c r="D51" i="132"/>
  <c r="I7" i="243" s="1"/>
  <c r="E51" i="132"/>
  <c r="D52" i="132"/>
  <c r="E52" i="132"/>
  <c r="D53" i="132"/>
  <c r="I7" i="245" s="1"/>
  <c r="E53" i="132"/>
  <c r="D54" i="132"/>
  <c r="E54" i="132"/>
  <c r="D55" i="132"/>
  <c r="I7" i="247" s="1"/>
  <c r="E55" i="132"/>
  <c r="D56" i="132"/>
  <c r="E56" i="132"/>
  <c r="D57" i="132"/>
  <c r="I7" i="249" s="1"/>
  <c r="E57" i="132"/>
  <c r="D58" i="132"/>
  <c r="E58" i="132"/>
  <c r="D59" i="132"/>
  <c r="E59" i="132"/>
  <c r="D60" i="132"/>
  <c r="E60" i="132"/>
  <c r="E61" i="132"/>
  <c r="D63" i="132"/>
  <c r="E63" i="132"/>
  <c r="E64" i="132"/>
  <c r="D65" i="132"/>
  <c r="E65" i="132"/>
  <c r="E66" i="132"/>
  <c r="D70" i="132"/>
  <c r="E70" i="132"/>
  <c r="D71" i="132"/>
  <c r="E71" i="132"/>
  <c r="D72" i="132"/>
  <c r="E72" i="132"/>
  <c r="D74" i="132"/>
  <c r="E74" i="132"/>
  <c r="D75" i="132"/>
  <c r="I7" i="219" s="1"/>
  <c r="E75" i="132"/>
  <c r="D76" i="132"/>
  <c r="E76" i="132"/>
  <c r="D77" i="132"/>
  <c r="E77" i="132"/>
  <c r="D78" i="132"/>
  <c r="D15" i="235" s="1"/>
  <c r="E78" i="132"/>
  <c r="D16" i="235" s="1"/>
  <c r="D79" i="132"/>
  <c r="D15" i="236" s="1"/>
  <c r="E79" i="132"/>
  <c r="E49" i="132"/>
  <c r="C10" i="132"/>
  <c r="D10" i="132"/>
  <c r="E10" i="132"/>
  <c r="F10" i="132"/>
  <c r="C11" i="132"/>
  <c r="D11" i="132"/>
  <c r="E11" i="132"/>
  <c r="F11" i="132"/>
  <c r="C12" i="132"/>
  <c r="D12" i="132"/>
  <c r="E12" i="132"/>
  <c r="F12" i="132"/>
  <c r="C13" i="132"/>
  <c r="D13" i="132"/>
  <c r="E13" i="132"/>
  <c r="F13" i="132"/>
  <c r="C14" i="132"/>
  <c r="D14" i="132"/>
  <c r="E14" i="132"/>
  <c r="F14" i="132"/>
  <c r="C15" i="132"/>
  <c r="D15" i="132"/>
  <c r="E15" i="132"/>
  <c r="F15" i="132"/>
  <c r="C16" i="132"/>
  <c r="D16" i="132"/>
  <c r="E16" i="132"/>
  <c r="F16" i="132"/>
  <c r="C17" i="132"/>
  <c r="D17" i="132"/>
  <c r="E17" i="132"/>
  <c r="F17" i="132"/>
  <c r="C18" i="132"/>
  <c r="D18" i="132"/>
  <c r="E18" i="132"/>
  <c r="F18" i="132"/>
  <c r="C19" i="132"/>
  <c r="D19" i="132"/>
  <c r="E19" i="132"/>
  <c r="F19" i="132"/>
  <c r="C20" i="132"/>
  <c r="D20" i="132"/>
  <c r="B4" i="202" s="1"/>
  <c r="E20" i="132"/>
  <c r="F20" i="132"/>
  <c r="G4" i="202" s="1"/>
  <c r="C21" i="132"/>
  <c r="D21" i="132"/>
  <c r="B4" i="204"/>
  <c r="E21" i="132"/>
  <c r="F4" i="204" s="1"/>
  <c r="F21" i="132"/>
  <c r="G4" i="204" s="1"/>
  <c r="B4" i="205"/>
  <c r="G4" i="205"/>
  <c r="C23" i="132"/>
  <c r="D23" i="132"/>
  <c r="B4" i="206"/>
  <c r="E23" i="132"/>
  <c r="F23" i="132"/>
  <c r="G4" i="206" s="1"/>
  <c r="C24" i="132"/>
  <c r="A4" i="207" s="1"/>
  <c r="D24" i="132"/>
  <c r="B4" i="207" s="1"/>
  <c r="E24" i="132"/>
  <c r="F4" i="207" s="1"/>
  <c r="F24" i="132"/>
  <c r="G4" i="207"/>
  <c r="C25" i="132"/>
  <c r="D25" i="132"/>
  <c r="B4" i="208" s="1"/>
  <c r="E25" i="132"/>
  <c r="F25" i="132"/>
  <c r="C26" i="132"/>
  <c r="D26" i="132"/>
  <c r="B4" i="221"/>
  <c r="E26" i="132"/>
  <c r="F26" i="132"/>
  <c r="G4" i="221"/>
  <c r="G4" i="211"/>
  <c r="B4" i="212"/>
  <c r="G4" i="212"/>
  <c r="C30" i="132"/>
  <c r="D30" i="132"/>
  <c r="B4" i="214" s="1"/>
  <c r="E30" i="132"/>
  <c r="F30" i="132"/>
  <c r="G4" i="214"/>
  <c r="C31" i="132"/>
  <c r="D31" i="132"/>
  <c r="B4" i="215" s="1"/>
  <c r="E31" i="132"/>
  <c r="F31" i="132"/>
  <c r="G4" i="215" s="1"/>
  <c r="C32" i="132"/>
  <c r="D32" i="132"/>
  <c r="B4" i="216"/>
  <c r="E32" i="132"/>
  <c r="F32" i="132"/>
  <c r="G4" i="216" s="1"/>
  <c r="B4" i="217"/>
  <c r="G4" i="217"/>
  <c r="C34" i="132"/>
  <c r="D34" i="132"/>
  <c r="B4" i="218"/>
  <c r="E34" i="132"/>
  <c r="F34" i="132"/>
  <c r="G4" i="218"/>
  <c r="C35" i="132"/>
  <c r="D35" i="132"/>
  <c r="E35" i="132"/>
  <c r="F35" i="132"/>
  <c r="G4" i="219" s="1"/>
  <c r="C36" i="132"/>
  <c r="D36" i="132"/>
  <c r="B4" i="220"/>
  <c r="E36" i="132"/>
  <c r="F36" i="132"/>
  <c r="G4" i="220" s="1"/>
  <c r="C37" i="132"/>
  <c r="D37" i="132"/>
  <c r="E37" i="132"/>
  <c r="D6" i="234" s="1"/>
  <c r="F37" i="132"/>
  <c r="D7" i="234" s="1"/>
  <c r="C38" i="132"/>
  <c r="D38" i="132"/>
  <c r="D10" i="235" s="1"/>
  <c r="E38" i="132"/>
  <c r="F38" i="132"/>
  <c r="D7" i="235"/>
  <c r="C39" i="132"/>
  <c r="D39" i="132"/>
  <c r="D10" i="236" s="1"/>
  <c r="E39" i="132"/>
  <c r="F39" i="132"/>
  <c r="D7" i="236" s="1"/>
  <c r="F9" i="132"/>
  <c r="E9" i="132"/>
  <c r="D9" i="132"/>
  <c r="B4" i="241" s="1"/>
  <c r="C9" i="132"/>
  <c r="G10" i="132"/>
  <c r="G11" i="132"/>
  <c r="G12" i="132"/>
  <c r="D4" i="244" s="1"/>
  <c r="G13" i="132"/>
  <c r="G14" i="132"/>
  <c r="G15" i="132"/>
  <c r="G16" i="132"/>
  <c r="D4" i="248" s="1"/>
  <c r="G17" i="132"/>
  <c r="G18" i="132"/>
  <c r="G19" i="132"/>
  <c r="G20" i="132"/>
  <c r="D4" i="201" s="1"/>
  <c r="G21" i="132"/>
  <c r="G23" i="132"/>
  <c r="G24" i="132"/>
  <c r="G25" i="132"/>
  <c r="D4" i="208" s="1"/>
  <c r="G26" i="132"/>
  <c r="D4" i="213"/>
  <c r="G30" i="132"/>
  <c r="D4" i="214" s="1"/>
  <c r="G31" i="132"/>
  <c r="G32" i="132"/>
  <c r="G34" i="132"/>
  <c r="G35" i="132"/>
  <c r="D4" i="219" s="1"/>
  <c r="G36" i="132"/>
  <c r="G37" i="132"/>
  <c r="G38" i="132"/>
  <c r="G39" i="132"/>
  <c r="D4" i="224" s="1"/>
  <c r="G9" i="132"/>
  <c r="I10" i="132"/>
  <c r="I11" i="132"/>
  <c r="I12" i="132"/>
  <c r="C4" i="244" s="1"/>
  <c r="I13" i="132"/>
  <c r="I14" i="132"/>
  <c r="I15" i="132"/>
  <c r="I16" i="132"/>
  <c r="C4" i="248" s="1"/>
  <c r="I17" i="132"/>
  <c r="I18" i="132"/>
  <c r="I19" i="132"/>
  <c r="I20" i="132"/>
  <c r="I21" i="132"/>
  <c r="C4" i="205"/>
  <c r="I23" i="132"/>
  <c r="C4" i="206" s="1"/>
  <c r="I24" i="132"/>
  <c r="C4" i="207" s="1"/>
  <c r="I25" i="132"/>
  <c r="I26" i="132"/>
  <c r="E24" i="236"/>
  <c r="C4" i="213"/>
  <c r="I30" i="132"/>
  <c r="C4" i="214" s="1"/>
  <c r="I31" i="132"/>
  <c r="I32" i="132"/>
  <c r="C4" i="216" s="1"/>
  <c r="I34" i="132"/>
  <c r="C4" i="218" s="1"/>
  <c r="I35" i="132"/>
  <c r="I36" i="132"/>
  <c r="C4" i="220" s="1"/>
  <c r="I37" i="132"/>
  <c r="I38" i="132"/>
  <c r="I39" i="132"/>
  <c r="C4" i="224" s="1"/>
  <c r="I9" i="132"/>
  <c r="J10" i="132"/>
  <c r="J11" i="132"/>
  <c r="J12" i="132"/>
  <c r="H4" i="244" s="1"/>
  <c r="J13" i="132"/>
  <c r="J14" i="132"/>
  <c r="J15" i="132"/>
  <c r="J16" i="132"/>
  <c r="H4" i="248" s="1"/>
  <c r="J17" i="132"/>
  <c r="J18" i="132"/>
  <c r="J19" i="132"/>
  <c r="H4" i="252" s="1"/>
  <c r="J20" i="132"/>
  <c r="J21" i="132"/>
  <c r="H4" i="204"/>
  <c r="H4" i="205"/>
  <c r="J23" i="132"/>
  <c r="H4" i="206" s="1"/>
  <c r="J24" i="132"/>
  <c r="J25" i="132"/>
  <c r="H4" i="208" s="1"/>
  <c r="J26" i="132"/>
  <c r="H4" i="221" s="1"/>
  <c r="H4" i="211"/>
  <c r="H4" i="213"/>
  <c r="J30" i="132"/>
  <c r="J31" i="132"/>
  <c r="H4" i="215" s="1"/>
  <c r="J32" i="132"/>
  <c r="H4" i="216" s="1"/>
  <c r="H4" i="217"/>
  <c r="J34" i="132"/>
  <c r="H4" i="218" s="1"/>
  <c r="J35" i="132"/>
  <c r="H4" i="219" s="1"/>
  <c r="J36" i="132"/>
  <c r="J37" i="132"/>
  <c r="L3" i="234" s="1"/>
  <c r="J38" i="132"/>
  <c r="L3" i="235" s="1"/>
  <c r="J39" i="132"/>
  <c r="L3" i="236" s="1"/>
  <c r="J9" i="132"/>
  <c r="J64" i="132"/>
  <c r="C50" i="132"/>
  <c r="C51" i="132"/>
  <c r="C52" i="132"/>
  <c r="G7" i="244" s="1"/>
  <c r="C53" i="132"/>
  <c r="C54" i="132"/>
  <c r="C55" i="132"/>
  <c r="C56" i="132"/>
  <c r="G7" i="248" s="1"/>
  <c r="C57" i="132"/>
  <c r="C58" i="132"/>
  <c r="C59" i="132"/>
  <c r="C60" i="132"/>
  <c r="G7" i="201" s="1"/>
  <c r="C61" i="132"/>
  <c r="C63" i="132"/>
  <c r="C64" i="132"/>
  <c r="C65" i="132"/>
  <c r="C66" i="132"/>
  <c r="C70" i="132"/>
  <c r="C71" i="132"/>
  <c r="C72" i="132"/>
  <c r="G7" i="216" s="1"/>
  <c r="C74" i="132"/>
  <c r="C75" i="132"/>
  <c r="C76" i="132"/>
  <c r="C77" i="132"/>
  <c r="C78" i="132"/>
  <c r="C79" i="132"/>
  <c r="C49" i="132"/>
  <c r="J35" i="236"/>
  <c r="H35" i="236"/>
  <c r="J35" i="235"/>
  <c r="H35" i="235"/>
  <c r="J35" i="234"/>
  <c r="H35" i="234"/>
  <c r="B55" i="254"/>
  <c r="B8" i="255"/>
  <c r="B54" i="254"/>
  <c r="B7" i="255" s="1"/>
  <c r="J75" i="132"/>
  <c r="J59" i="132"/>
  <c r="J74" i="132"/>
  <c r="J62" i="132"/>
  <c r="J77" i="132"/>
  <c r="J61" i="132"/>
  <c r="J34" i="254"/>
  <c r="H34" i="254"/>
  <c r="F34" i="254"/>
  <c r="F37" i="137"/>
  <c r="J37" i="137"/>
  <c r="H37" i="137"/>
  <c r="F46" i="137"/>
  <c r="G46" i="137"/>
  <c r="H46" i="137"/>
  <c r="J46" i="137"/>
  <c r="J45" i="137"/>
  <c r="F45" i="137"/>
  <c r="G45" i="137"/>
  <c r="F4" i="222"/>
  <c r="D6" i="236"/>
  <c r="H28" i="240"/>
  <c r="AB58" i="132"/>
  <c r="C15" i="219" s="1"/>
  <c r="AB56" i="132"/>
  <c r="AB55" i="132"/>
  <c r="C15" i="216" s="1"/>
  <c r="AB54" i="132"/>
  <c r="C15" i="215" s="1"/>
  <c r="AB52" i="132"/>
  <c r="AB49" i="132"/>
  <c r="AB48" i="132"/>
  <c r="AB47" i="132"/>
  <c r="C15" i="207" s="1"/>
  <c r="AB46" i="132"/>
  <c r="C15" i="206" s="1"/>
  <c r="AB44" i="132"/>
  <c r="AB43" i="132"/>
  <c r="C15" i="202" s="1"/>
  <c r="J44" i="254"/>
  <c r="H44" i="254"/>
  <c r="G44" i="254"/>
  <c r="F44" i="254"/>
  <c r="C16" i="224"/>
  <c r="G46" i="236" s="1"/>
  <c r="C14" i="224"/>
  <c r="C65" i="224" s="1"/>
  <c r="C12" i="224"/>
  <c r="C60" i="224"/>
  <c r="C16" i="223"/>
  <c r="G46" i="235" s="1"/>
  <c r="C14" i="223"/>
  <c r="C65" i="223" s="1"/>
  <c r="C12" i="223"/>
  <c r="C60" i="223" s="1"/>
  <c r="C62" i="223" s="1"/>
  <c r="C12" i="222"/>
  <c r="C60" i="222" s="1"/>
  <c r="C62" i="222" s="1"/>
  <c r="C14" i="222"/>
  <c r="C65" i="222" s="1"/>
  <c r="C16" i="222"/>
  <c r="G47" i="234" s="1"/>
  <c r="F66" i="256"/>
  <c r="F67" i="256"/>
  <c r="F62" i="256"/>
  <c r="F62" i="202"/>
  <c r="F62" i="204"/>
  <c r="F62" i="205"/>
  <c r="F62" i="206"/>
  <c r="F62" i="207"/>
  <c r="F62" i="208"/>
  <c r="F62" i="221"/>
  <c r="F62" i="211"/>
  <c r="F62" i="212"/>
  <c r="F62" i="213"/>
  <c r="F62" i="214"/>
  <c r="F62" i="215"/>
  <c r="F62" i="216"/>
  <c r="F62" i="217"/>
  <c r="F62" i="218"/>
  <c r="F62" i="219"/>
  <c r="F62" i="220"/>
  <c r="AB83" i="132"/>
  <c r="AB84" i="132"/>
  <c r="AB85" i="132"/>
  <c r="AB86" i="132"/>
  <c r="AB87" i="132"/>
  <c r="AB88" i="132"/>
  <c r="AB89" i="132"/>
  <c r="AB90" i="132"/>
  <c r="AB91" i="132"/>
  <c r="AB92" i="132"/>
  <c r="AB93" i="132"/>
  <c r="AB82" i="132"/>
  <c r="AB28" i="132"/>
  <c r="AB29" i="132"/>
  <c r="AB30" i="132"/>
  <c r="AB31" i="132"/>
  <c r="AB32" i="132"/>
  <c r="AB33" i="132"/>
  <c r="AB34" i="132"/>
  <c r="AB35" i="132"/>
  <c r="AB36" i="132"/>
  <c r="AB37" i="132"/>
  <c r="AB38" i="132"/>
  <c r="AB39" i="132"/>
  <c r="AB40" i="132"/>
  <c r="AB41" i="132"/>
  <c r="AB42" i="132"/>
  <c r="AB27" i="132"/>
  <c r="C15" i="201" s="1"/>
  <c r="C16" i="240"/>
  <c r="C16" i="241"/>
  <c r="C16" i="242"/>
  <c r="C16" i="243"/>
  <c r="C16" i="244"/>
  <c r="C16" i="245"/>
  <c r="C16" i="246"/>
  <c r="C16" i="247"/>
  <c r="C16" i="248"/>
  <c r="C16" i="249"/>
  <c r="C16" i="251"/>
  <c r="C16" i="252"/>
  <c r="B75" i="242"/>
  <c r="B76" i="242" s="1"/>
  <c r="C75" i="243"/>
  <c r="C76" i="243"/>
  <c r="C75" i="245"/>
  <c r="C76" i="245" s="1"/>
  <c r="C75" i="246"/>
  <c r="C76" i="246" s="1"/>
  <c r="C75" i="247"/>
  <c r="C76" i="247" s="1"/>
  <c r="B75" i="248"/>
  <c r="B76" i="248"/>
  <c r="C75" i="249"/>
  <c r="C76" i="249"/>
  <c r="C75" i="251"/>
  <c r="C76" i="251" s="1"/>
  <c r="B75" i="252"/>
  <c r="B76" i="252" s="1"/>
  <c r="C16" i="202"/>
  <c r="C16" i="204"/>
  <c r="C16" i="206"/>
  <c r="C16" i="207"/>
  <c r="C16" i="211"/>
  <c r="C16" i="213"/>
  <c r="C16" i="214"/>
  <c r="C16" i="216"/>
  <c r="C16" i="217"/>
  <c r="C16" i="218"/>
  <c r="X55" i="132"/>
  <c r="C61" i="216" s="1"/>
  <c r="D40" i="216"/>
  <c r="D41" i="216"/>
  <c r="E40" i="216"/>
  <c r="E41" i="216"/>
  <c r="E42" i="216" s="1"/>
  <c r="C68" i="216"/>
  <c r="C15" i="218"/>
  <c r="C14" i="218"/>
  <c r="C65" i="218" s="1"/>
  <c r="C12" i="218"/>
  <c r="C60" i="218" s="1"/>
  <c r="C16" i="219"/>
  <c r="F65" i="240"/>
  <c r="F64" i="240"/>
  <c r="F63" i="240"/>
  <c r="F61" i="240"/>
  <c r="F60" i="240"/>
  <c r="F65" i="241"/>
  <c r="F64" i="241"/>
  <c r="F63" i="241"/>
  <c r="F61" i="241"/>
  <c r="F60" i="241"/>
  <c r="F65" i="242"/>
  <c r="F64" i="242"/>
  <c r="F63" i="242"/>
  <c r="F61" i="242"/>
  <c r="F60" i="242"/>
  <c r="F65" i="243"/>
  <c r="F64" i="243"/>
  <c r="F63" i="243"/>
  <c r="F61" i="243"/>
  <c r="F60" i="243"/>
  <c r="F65" i="244"/>
  <c r="F64" i="244"/>
  <c r="F63" i="244"/>
  <c r="F61" i="244"/>
  <c r="F60" i="244"/>
  <c r="F65" i="245"/>
  <c r="F64" i="245"/>
  <c r="F63" i="245"/>
  <c r="F61" i="245"/>
  <c r="F60" i="245"/>
  <c r="F65" i="246"/>
  <c r="F64" i="246"/>
  <c r="F63" i="246"/>
  <c r="F61" i="246"/>
  <c r="F60" i="246"/>
  <c r="F65" i="247"/>
  <c r="F64" i="247"/>
  <c r="F63" i="247"/>
  <c r="F61" i="247"/>
  <c r="F60" i="247"/>
  <c r="F65" i="248"/>
  <c r="F64" i="248"/>
  <c r="F63" i="248"/>
  <c r="F61" i="248"/>
  <c r="F60" i="248"/>
  <c r="F65" i="249"/>
  <c r="F64" i="249"/>
  <c r="F63" i="249"/>
  <c r="F61" i="249"/>
  <c r="F60" i="249"/>
  <c r="F65" i="251"/>
  <c r="F64" i="251"/>
  <c r="F63" i="251"/>
  <c r="F61" i="251"/>
  <c r="F60" i="251"/>
  <c r="F65" i="252"/>
  <c r="F64" i="252"/>
  <c r="F63" i="252"/>
  <c r="F61" i="252"/>
  <c r="F60" i="252"/>
  <c r="F65" i="202"/>
  <c r="F64" i="202"/>
  <c r="F63" i="202"/>
  <c r="F61" i="202"/>
  <c r="F60" i="202"/>
  <c r="F65" i="204"/>
  <c r="F64" i="204"/>
  <c r="F63" i="204"/>
  <c r="F61" i="204"/>
  <c r="F60" i="204"/>
  <c r="F65" i="205"/>
  <c r="F64" i="205"/>
  <c r="F63" i="205"/>
  <c r="F61" i="205"/>
  <c r="F60" i="205"/>
  <c r="F65" i="206"/>
  <c r="F64" i="206"/>
  <c r="F63" i="206"/>
  <c r="F61" i="206"/>
  <c r="F60" i="206"/>
  <c r="F65" i="207"/>
  <c r="F64" i="207"/>
  <c r="F63" i="207"/>
  <c r="F61" i="207"/>
  <c r="F60" i="207"/>
  <c r="F65" i="208"/>
  <c r="F64" i="208"/>
  <c r="F63" i="208"/>
  <c r="F61" i="208"/>
  <c r="F60" i="208"/>
  <c r="F65" i="221"/>
  <c r="F64" i="221"/>
  <c r="F63" i="221"/>
  <c r="F61" i="221"/>
  <c r="F60" i="221"/>
  <c r="F65" i="211"/>
  <c r="F64" i="211"/>
  <c r="F63" i="211"/>
  <c r="F61" i="211"/>
  <c r="F60" i="211"/>
  <c r="F65" i="212"/>
  <c r="F64" i="212"/>
  <c r="F63" i="212"/>
  <c r="F61" i="212"/>
  <c r="F60" i="212"/>
  <c r="F65" i="213"/>
  <c r="F64" i="213"/>
  <c r="F63" i="213"/>
  <c r="F61" i="213"/>
  <c r="F60" i="213"/>
  <c r="F65" i="214"/>
  <c r="F64" i="214"/>
  <c r="F63" i="214"/>
  <c r="F61" i="214"/>
  <c r="F60" i="214"/>
  <c r="F65" i="215"/>
  <c r="F64" i="215"/>
  <c r="F63" i="215"/>
  <c r="F61" i="215"/>
  <c r="F60" i="215"/>
  <c r="F65" i="216"/>
  <c r="F64" i="216"/>
  <c r="F63" i="216"/>
  <c r="F61" i="216"/>
  <c r="F60" i="216"/>
  <c r="F65" i="217"/>
  <c r="F64" i="217"/>
  <c r="F63" i="217"/>
  <c r="F61" i="217"/>
  <c r="F60" i="217"/>
  <c r="F65" i="218"/>
  <c r="F64" i="218"/>
  <c r="F63" i="218"/>
  <c r="F61" i="218"/>
  <c r="F60" i="218"/>
  <c r="F65" i="219"/>
  <c r="F64" i="219"/>
  <c r="F63" i="219"/>
  <c r="F61" i="219"/>
  <c r="F60" i="219"/>
  <c r="F65" i="220"/>
  <c r="F64" i="220"/>
  <c r="F63" i="220"/>
  <c r="F61" i="220"/>
  <c r="F60" i="220"/>
  <c r="F61" i="256"/>
  <c r="F61" i="201"/>
  <c r="F65" i="256"/>
  <c r="F64" i="256"/>
  <c r="F63" i="256"/>
  <c r="F60" i="256"/>
  <c r="F60" i="201"/>
  <c r="F63" i="201"/>
  <c r="F64" i="201"/>
  <c r="F65" i="201"/>
  <c r="F62" i="201"/>
  <c r="C16" i="220"/>
  <c r="B9" i="220"/>
  <c r="B8" i="220"/>
  <c r="B7" i="220"/>
  <c r="X9" i="132"/>
  <c r="X10" i="132"/>
  <c r="X11" i="132"/>
  <c r="X12" i="132"/>
  <c r="X13" i="132"/>
  <c r="X14" i="132"/>
  <c r="X15" i="132"/>
  <c r="X16" i="132"/>
  <c r="X17" i="132"/>
  <c r="X18" i="132"/>
  <c r="X19" i="132"/>
  <c r="X20" i="132"/>
  <c r="X21" i="132"/>
  <c r="X22" i="132"/>
  <c r="X23" i="132"/>
  <c r="X24" i="132"/>
  <c r="X25" i="132"/>
  <c r="C61" i="220" s="1"/>
  <c r="X26" i="132"/>
  <c r="C61" i="224" s="1"/>
  <c r="C62" i="224" s="1"/>
  <c r="X27" i="132"/>
  <c r="C61" i="201" s="1"/>
  <c r="X43" i="132"/>
  <c r="C61" i="202" s="1"/>
  <c r="X28" i="132"/>
  <c r="X29" i="132"/>
  <c r="X30" i="132"/>
  <c r="X46" i="132"/>
  <c r="C61" i="206" s="1"/>
  <c r="X31" i="132"/>
  <c r="X47" i="132"/>
  <c r="C61" i="207" s="1"/>
  <c r="C62" i="207" s="1"/>
  <c r="X32" i="132"/>
  <c r="X33" i="132"/>
  <c r="X34" i="132"/>
  <c r="X35" i="132"/>
  <c r="X36" i="132"/>
  <c r="X37" i="132"/>
  <c r="X38" i="132"/>
  <c r="X54" i="132"/>
  <c r="C61" i="215" s="1"/>
  <c r="X39" i="132"/>
  <c r="X40" i="132"/>
  <c r="X56" i="132"/>
  <c r="X41" i="132"/>
  <c r="X42" i="132"/>
  <c r="X58" i="132"/>
  <c r="C61" i="219" s="1"/>
  <c r="X44" i="132"/>
  <c r="X48" i="132"/>
  <c r="X49" i="132"/>
  <c r="X52" i="132"/>
  <c r="X59" i="132"/>
  <c r="X60" i="132"/>
  <c r="X61" i="132"/>
  <c r="X62" i="132"/>
  <c r="X63" i="132"/>
  <c r="X64" i="132"/>
  <c r="X65" i="132"/>
  <c r="C61" i="222"/>
  <c r="X66" i="132"/>
  <c r="X67" i="132"/>
  <c r="X68" i="132"/>
  <c r="X69" i="132"/>
  <c r="X70" i="132"/>
  <c r="X71" i="132"/>
  <c r="X72" i="132"/>
  <c r="X73" i="132"/>
  <c r="X74" i="132"/>
  <c r="X75" i="132"/>
  <c r="X76" i="132"/>
  <c r="X77" i="132"/>
  <c r="X78" i="132"/>
  <c r="X79" i="132"/>
  <c r="X80" i="132"/>
  <c r="X81" i="132"/>
  <c r="X82" i="132"/>
  <c r="X83" i="132"/>
  <c r="X84" i="132"/>
  <c r="X85" i="132"/>
  <c r="X86" i="132"/>
  <c r="X87" i="132"/>
  <c r="X88" i="132"/>
  <c r="X89" i="132"/>
  <c r="X90" i="132"/>
  <c r="X91" i="132"/>
  <c r="X92" i="132"/>
  <c r="X93" i="132"/>
  <c r="X94" i="132"/>
  <c r="C61" i="240" s="1"/>
  <c r="X95" i="132"/>
  <c r="C61" i="256" s="1"/>
  <c r="X96" i="132"/>
  <c r="X97" i="132"/>
  <c r="C61" i="243" s="1"/>
  <c r="X98" i="132"/>
  <c r="C61" i="244" s="1"/>
  <c r="X99" i="132"/>
  <c r="X100" i="132"/>
  <c r="X101" i="132"/>
  <c r="C61" i="247" s="1"/>
  <c r="X102" i="132"/>
  <c r="C61" i="248" s="1"/>
  <c r="X103" i="132"/>
  <c r="X104" i="132"/>
  <c r="X105" i="132"/>
  <c r="C61" i="252" s="1"/>
  <c r="X8" i="132"/>
  <c r="C16" i="256"/>
  <c r="C75" i="201"/>
  <c r="C76" i="201" s="1"/>
  <c r="B75" i="201"/>
  <c r="B76" i="201" s="1"/>
  <c r="C16" i="201"/>
  <c r="AB95" i="132"/>
  <c r="C15" i="256" s="1"/>
  <c r="AB94" i="132"/>
  <c r="C15" i="240" s="1"/>
  <c r="AB81" i="132"/>
  <c r="AB80" i="132"/>
  <c r="AB79" i="132"/>
  <c r="AB78" i="132"/>
  <c r="AB77" i="132"/>
  <c r="AB76" i="132"/>
  <c r="AB75" i="132"/>
  <c r="AB74" i="132"/>
  <c r="AB73" i="132"/>
  <c r="AB72" i="132"/>
  <c r="AB71" i="132"/>
  <c r="AB70" i="132"/>
  <c r="AB69" i="132"/>
  <c r="AB68" i="132"/>
  <c r="AB67" i="132"/>
  <c r="AB66" i="132"/>
  <c r="AB24" i="132"/>
  <c r="AB23" i="132"/>
  <c r="AB22" i="132"/>
  <c r="AB21" i="132"/>
  <c r="AB20" i="132"/>
  <c r="AB19" i="132"/>
  <c r="AB18" i="132"/>
  <c r="AB17" i="132"/>
  <c r="AB16" i="132"/>
  <c r="AB15" i="132"/>
  <c r="AB14" i="132"/>
  <c r="AB13" i="132"/>
  <c r="AB12" i="132"/>
  <c r="AB11" i="132"/>
  <c r="AB10" i="132"/>
  <c r="AB9" i="132"/>
  <c r="AB26" i="132"/>
  <c r="C15" i="224" s="1"/>
  <c r="C61" i="223"/>
  <c r="C61" i="218"/>
  <c r="AB65" i="132"/>
  <c r="C15" i="222"/>
  <c r="AB64" i="132"/>
  <c r="AB63" i="132"/>
  <c r="AB62" i="132"/>
  <c r="AB61" i="132"/>
  <c r="AB60" i="132"/>
  <c r="AB59" i="132"/>
  <c r="AB25" i="132"/>
  <c r="C15" i="220" s="1"/>
  <c r="H45" i="137"/>
  <c r="B9" i="223"/>
  <c r="H46" i="235" s="1"/>
  <c r="B8" i="223"/>
  <c r="E41" i="224"/>
  <c r="D41" i="224"/>
  <c r="E40" i="224"/>
  <c r="D40" i="224"/>
  <c r="F67" i="240"/>
  <c r="F66" i="240"/>
  <c r="F67" i="241"/>
  <c r="F66" i="241"/>
  <c r="F67" i="242"/>
  <c r="F66" i="242"/>
  <c r="F67" i="243"/>
  <c r="F66" i="243"/>
  <c r="F67" i="244"/>
  <c r="F66" i="244"/>
  <c r="F67" i="245"/>
  <c r="F66" i="245"/>
  <c r="F67" i="246"/>
  <c r="F66" i="246"/>
  <c r="F67" i="247"/>
  <c r="F66" i="247"/>
  <c r="F67" i="248"/>
  <c r="F66" i="248"/>
  <c r="F67" i="249"/>
  <c r="F66" i="249"/>
  <c r="F67" i="251"/>
  <c r="F66" i="251"/>
  <c r="F67" i="252"/>
  <c r="F66" i="252"/>
  <c r="F67" i="202"/>
  <c r="F66" i="202"/>
  <c r="F67" i="204"/>
  <c r="F66" i="204"/>
  <c r="F67" i="205"/>
  <c r="F66" i="205"/>
  <c r="F67" i="206"/>
  <c r="F66" i="206"/>
  <c r="F67" i="207"/>
  <c r="F66" i="207"/>
  <c r="F67" i="208"/>
  <c r="F66" i="208"/>
  <c r="F67" i="221"/>
  <c r="F66" i="221"/>
  <c r="F67" i="211"/>
  <c r="F66" i="211"/>
  <c r="F67" i="212"/>
  <c r="F66" i="212"/>
  <c r="F67" i="213"/>
  <c r="F66" i="213"/>
  <c r="F67" i="214"/>
  <c r="F66" i="214"/>
  <c r="F67" i="215"/>
  <c r="F66" i="215"/>
  <c r="F67" i="216"/>
  <c r="F66" i="216"/>
  <c r="F67" i="217"/>
  <c r="F66" i="217"/>
  <c r="F67" i="218"/>
  <c r="F66" i="218"/>
  <c r="F67" i="219"/>
  <c r="F66" i="219"/>
  <c r="F67" i="220"/>
  <c r="F66" i="220"/>
  <c r="F67" i="224"/>
  <c r="F66" i="224"/>
  <c r="F67" i="223"/>
  <c r="F66" i="223"/>
  <c r="F67" i="222"/>
  <c r="F66" i="222"/>
  <c r="F67" i="201"/>
  <c r="F66" i="201"/>
  <c r="F59" i="217"/>
  <c r="D9" i="220"/>
  <c r="D8" i="220"/>
  <c r="D7" i="220"/>
  <c r="E41" i="240"/>
  <c r="E40" i="240"/>
  <c r="D41" i="240"/>
  <c r="D40" i="240"/>
  <c r="C41" i="240"/>
  <c r="C40" i="240"/>
  <c r="E41" i="244"/>
  <c r="D41" i="244"/>
  <c r="D40" i="244"/>
  <c r="C41" i="244"/>
  <c r="C40" i="244"/>
  <c r="E40" i="244"/>
  <c r="D9" i="240"/>
  <c r="D8" i="240"/>
  <c r="D7" i="240"/>
  <c r="B9" i="240"/>
  <c r="B8" i="240"/>
  <c r="B7" i="240"/>
  <c r="D9" i="256"/>
  <c r="D8" i="256"/>
  <c r="D7" i="256"/>
  <c r="B7" i="256"/>
  <c r="D9" i="202"/>
  <c r="D8" i="202"/>
  <c r="D7" i="202"/>
  <c r="B9" i="202"/>
  <c r="B8" i="202"/>
  <c r="B7" i="202"/>
  <c r="D9" i="223"/>
  <c r="J46" i="235" s="1"/>
  <c r="D8" i="223"/>
  <c r="D7" i="223"/>
  <c r="F46" i="235"/>
  <c r="B7" i="223"/>
  <c r="F59" i="224"/>
  <c r="D9" i="224"/>
  <c r="J46" i="236" s="1"/>
  <c r="B9" i="224"/>
  <c r="H46" i="236" s="1"/>
  <c r="B8" i="224"/>
  <c r="D8" i="224"/>
  <c r="D7" i="224"/>
  <c r="F46" i="236" s="1"/>
  <c r="B7" i="224"/>
  <c r="B7" i="201"/>
  <c r="C68" i="201"/>
  <c r="C68" i="204"/>
  <c r="C68" i="205"/>
  <c r="C68" i="206"/>
  <c r="C68" i="207"/>
  <c r="C68" i="208"/>
  <c r="C68" i="221"/>
  <c r="C68" i="211"/>
  <c r="C68" i="212"/>
  <c r="C68" i="202"/>
  <c r="C68" i="241"/>
  <c r="C68" i="242"/>
  <c r="C68" i="243"/>
  <c r="C68" i="244"/>
  <c r="C68" i="245"/>
  <c r="C68" i="246"/>
  <c r="C68" i="247"/>
  <c r="C68" i="248"/>
  <c r="C68" i="249"/>
  <c r="C68" i="251"/>
  <c r="C68" i="252"/>
  <c r="C68" i="240"/>
  <c r="C68" i="256"/>
  <c r="A4" i="202"/>
  <c r="C68" i="213"/>
  <c r="C68" i="214"/>
  <c r="C68" i="215"/>
  <c r="C68" i="217"/>
  <c r="C68" i="218"/>
  <c r="C68" i="219"/>
  <c r="C68" i="220"/>
  <c r="C68" i="222"/>
  <c r="C68" i="223"/>
  <c r="C68" i="224"/>
  <c r="E49" i="246"/>
  <c r="E50" i="246" s="1"/>
  <c r="D49" i="246"/>
  <c r="D50" i="246" s="1"/>
  <c r="C49" i="246"/>
  <c r="C50" i="246" s="1"/>
  <c r="C41" i="246"/>
  <c r="C40" i="246"/>
  <c r="G8" i="243"/>
  <c r="E4" i="201"/>
  <c r="E4" i="202"/>
  <c r="A9" i="231" s="1"/>
  <c r="E4" i="204"/>
  <c r="A18" i="231" s="1"/>
  <c r="E4" i="205"/>
  <c r="A27" i="231" s="1"/>
  <c r="E4" i="206"/>
  <c r="A36" i="231" s="1"/>
  <c r="E4" i="207"/>
  <c r="G9" i="231" s="1"/>
  <c r="E4" i="208"/>
  <c r="G18" i="231" s="1"/>
  <c r="E4" i="221"/>
  <c r="G27" i="231" s="1"/>
  <c r="E4" i="211"/>
  <c r="G36" i="231" s="1"/>
  <c r="E4" i="212"/>
  <c r="M9" i="231" s="1"/>
  <c r="E4" i="224"/>
  <c r="Y36" i="231" s="1"/>
  <c r="E4" i="223"/>
  <c r="K10" i="235" s="1"/>
  <c r="E4" i="222"/>
  <c r="E4" i="219"/>
  <c r="S36" i="231" s="1"/>
  <c r="E4" i="218"/>
  <c r="S27" i="231" s="1"/>
  <c r="E4" i="217"/>
  <c r="S18" i="231" s="1"/>
  <c r="E4" i="216"/>
  <c r="S9" i="231" s="1"/>
  <c r="E4" i="215"/>
  <c r="M36" i="231" s="1"/>
  <c r="E4" i="214"/>
  <c r="M27" i="231" s="1"/>
  <c r="E4" i="213"/>
  <c r="M18" i="231" s="1"/>
  <c r="H16" i="231"/>
  <c r="H7" i="231"/>
  <c r="B34" i="231"/>
  <c r="C25" i="231"/>
  <c r="B25" i="231"/>
  <c r="C16" i="231"/>
  <c r="B16" i="231"/>
  <c r="C7" i="231"/>
  <c r="B7" i="231"/>
  <c r="D4" i="243"/>
  <c r="D4" i="252"/>
  <c r="C4" i="242"/>
  <c r="O16" i="257"/>
  <c r="N16" i="257"/>
  <c r="O7" i="257"/>
  <c r="N7" i="257"/>
  <c r="I7" i="257"/>
  <c r="H7" i="257"/>
  <c r="I16" i="257"/>
  <c r="H16" i="257"/>
  <c r="I25" i="257"/>
  <c r="H25" i="257"/>
  <c r="I34" i="257"/>
  <c r="H34" i="257"/>
  <c r="C34" i="257"/>
  <c r="B34" i="257"/>
  <c r="C25" i="257"/>
  <c r="B25" i="257"/>
  <c r="C16" i="257"/>
  <c r="B16" i="257"/>
  <c r="Q25" i="257"/>
  <c r="Q16" i="257"/>
  <c r="Q7" i="257"/>
  <c r="K34" i="257"/>
  <c r="K25" i="257"/>
  <c r="K16" i="257"/>
  <c r="E25" i="257"/>
  <c r="K7" i="257"/>
  <c r="E34" i="257"/>
  <c r="E16" i="257"/>
  <c r="E7" i="257"/>
  <c r="C7" i="257"/>
  <c r="B7" i="257"/>
  <c r="O25" i="257"/>
  <c r="N25" i="257"/>
  <c r="O34" i="257"/>
  <c r="N34" i="257"/>
  <c r="Q34" i="257"/>
  <c r="F59" i="256"/>
  <c r="E49" i="256"/>
  <c r="E50" i="256" s="1"/>
  <c r="D49" i="256"/>
  <c r="D50" i="256" s="1"/>
  <c r="C49" i="256"/>
  <c r="C50" i="256" s="1"/>
  <c r="E41" i="256"/>
  <c r="E40" i="256"/>
  <c r="E42" i="256" s="1"/>
  <c r="D41" i="256"/>
  <c r="C41" i="256"/>
  <c r="C40" i="256"/>
  <c r="D40" i="256"/>
  <c r="H28" i="256"/>
  <c r="J15" i="256"/>
  <c r="I14" i="256"/>
  <c r="G14" i="256"/>
  <c r="C75" i="256"/>
  <c r="C76" i="256" s="1"/>
  <c r="B9" i="256"/>
  <c r="B8" i="256"/>
  <c r="H4" i="256"/>
  <c r="G4" i="256"/>
  <c r="F4" i="256"/>
  <c r="E4" i="256"/>
  <c r="D4" i="256"/>
  <c r="C4" i="256"/>
  <c r="B4" i="256"/>
  <c r="A4" i="256"/>
  <c r="R14" i="255"/>
  <c r="S14" i="255"/>
  <c r="Q14" i="255"/>
  <c r="V14" i="255"/>
  <c r="R18" i="255"/>
  <c r="S18" i="255"/>
  <c r="R17" i="255"/>
  <c r="S17" i="255"/>
  <c r="R16" i="255"/>
  <c r="S16" i="255"/>
  <c r="R15" i="255"/>
  <c r="S15" i="255"/>
  <c r="R13" i="255"/>
  <c r="S13" i="255"/>
  <c r="R12" i="255"/>
  <c r="S12" i="255"/>
  <c r="R11" i="255"/>
  <c r="S11" i="255"/>
  <c r="R10" i="255"/>
  <c r="S10" i="255"/>
  <c r="R9" i="255"/>
  <c r="S9" i="255"/>
  <c r="Q18" i="255"/>
  <c r="T18" i="255"/>
  <c r="Q17" i="255"/>
  <c r="T17" i="255" s="1"/>
  <c r="V17" i="255"/>
  <c r="Q16" i="255"/>
  <c r="T16" i="255" s="1"/>
  <c r="Q15" i="255"/>
  <c r="Q13" i="255"/>
  <c r="Q12" i="255"/>
  <c r="V12" i="255"/>
  <c r="Q11" i="255"/>
  <c r="U11" i="255"/>
  <c r="Q10" i="255"/>
  <c r="Q9" i="255"/>
  <c r="U9" i="255" s="1"/>
  <c r="R8" i="255"/>
  <c r="S8" i="255"/>
  <c r="Q8" i="255"/>
  <c r="V8" i="255"/>
  <c r="Q7" i="255"/>
  <c r="T7" i="255"/>
  <c r="R7" i="255"/>
  <c r="S7" i="255"/>
  <c r="I10" i="255"/>
  <c r="I13" i="255"/>
  <c r="I14" i="255"/>
  <c r="I15" i="255"/>
  <c r="I16" i="255"/>
  <c r="I18" i="255"/>
  <c r="E56" i="254"/>
  <c r="E57" i="254"/>
  <c r="E58" i="254"/>
  <c r="E59" i="254"/>
  <c r="E60" i="254"/>
  <c r="E61" i="254"/>
  <c r="E62" i="254"/>
  <c r="E63" i="254"/>
  <c r="E64" i="254"/>
  <c r="E65" i="254"/>
  <c r="E55" i="254"/>
  <c r="E54" i="254"/>
  <c r="C64" i="254"/>
  <c r="C17" i="255" s="1"/>
  <c r="C56" i="254"/>
  <c r="C9" i="255"/>
  <c r="C60" i="254"/>
  <c r="C13" i="255" s="1"/>
  <c r="B56" i="254"/>
  <c r="B9" i="255" s="1"/>
  <c r="B57" i="254"/>
  <c r="B10" i="255" s="1"/>
  <c r="B58" i="254"/>
  <c r="B11" i="255" s="1"/>
  <c r="B59" i="254"/>
  <c r="B12" i="255" s="1"/>
  <c r="B60" i="254"/>
  <c r="B13" i="255" s="1"/>
  <c r="B61" i="254"/>
  <c r="B14" i="255" s="1"/>
  <c r="B62" i="254"/>
  <c r="B15" i="255" s="1"/>
  <c r="B63" i="254"/>
  <c r="B16" i="255" s="1"/>
  <c r="B64" i="254"/>
  <c r="B17" i="255" s="1"/>
  <c r="B65" i="254"/>
  <c r="B18" i="255" s="1"/>
  <c r="C55" i="254"/>
  <c r="C8" i="255"/>
  <c r="C57" i="254"/>
  <c r="C10" i="255" s="1"/>
  <c r="C58" i="254"/>
  <c r="C11" i="255"/>
  <c r="C59" i="254"/>
  <c r="C12" i="255" s="1"/>
  <c r="C61" i="254"/>
  <c r="C14" i="255" s="1"/>
  <c r="C62" i="254"/>
  <c r="C15" i="255" s="1"/>
  <c r="C63" i="254"/>
  <c r="C16" i="255"/>
  <c r="C65" i="254"/>
  <c r="C18" i="255" s="1"/>
  <c r="C54" i="254"/>
  <c r="C7" i="255"/>
  <c r="H94" i="254"/>
  <c r="B94" i="254"/>
  <c r="H92" i="254"/>
  <c r="B93" i="254"/>
  <c r="B34" i="254"/>
  <c r="E24" i="254"/>
  <c r="A22" i="254"/>
  <c r="D16" i="254"/>
  <c r="D15" i="254"/>
  <c r="D10" i="254"/>
  <c r="D7" i="254"/>
  <c r="D6" i="254"/>
  <c r="F59" i="252"/>
  <c r="E49" i="252"/>
  <c r="E50" i="252" s="1"/>
  <c r="D49" i="252"/>
  <c r="D50" i="252" s="1"/>
  <c r="C49" i="252"/>
  <c r="C50" i="252" s="1"/>
  <c r="E41" i="252"/>
  <c r="D41" i="252"/>
  <c r="C41" i="252"/>
  <c r="E40" i="252"/>
  <c r="D40" i="252"/>
  <c r="D42" i="252" s="1"/>
  <c r="C40" i="252"/>
  <c r="H28" i="252"/>
  <c r="J15" i="252"/>
  <c r="I14" i="252"/>
  <c r="G14" i="252"/>
  <c r="D9" i="252"/>
  <c r="B9" i="252"/>
  <c r="D8" i="252"/>
  <c r="B8" i="252"/>
  <c r="D7" i="252"/>
  <c r="B7" i="252"/>
  <c r="E4" i="252"/>
  <c r="M36" i="257" s="1"/>
  <c r="F59" i="251"/>
  <c r="E49" i="251"/>
  <c r="E50" i="251" s="1"/>
  <c r="D49" i="251"/>
  <c r="D50" i="251" s="1"/>
  <c r="C49" i="251"/>
  <c r="C50" i="251" s="1"/>
  <c r="E41" i="251"/>
  <c r="D41" i="251"/>
  <c r="D40" i="251"/>
  <c r="C41" i="251"/>
  <c r="C42" i="251" s="1"/>
  <c r="E40" i="251"/>
  <c r="C40" i="251"/>
  <c r="H28" i="251"/>
  <c r="J15" i="251"/>
  <c r="I14" i="251"/>
  <c r="G14" i="251"/>
  <c r="D9" i="251"/>
  <c r="B9" i="251"/>
  <c r="D8" i="251"/>
  <c r="B8" i="251"/>
  <c r="D7" i="251"/>
  <c r="B7" i="251"/>
  <c r="E4" i="251"/>
  <c r="M27" i="257" s="1"/>
  <c r="F59" i="249"/>
  <c r="E49" i="249"/>
  <c r="E50" i="249" s="1"/>
  <c r="D49" i="249"/>
  <c r="D50" i="249" s="1"/>
  <c r="C49" i="249"/>
  <c r="C50" i="249" s="1"/>
  <c r="E41" i="249"/>
  <c r="E40" i="249"/>
  <c r="D41" i="249"/>
  <c r="C41" i="249"/>
  <c r="D40" i="249"/>
  <c r="C40" i="249"/>
  <c r="H28" i="249"/>
  <c r="J15" i="249"/>
  <c r="I14" i="249"/>
  <c r="G14" i="249"/>
  <c r="D9" i="249"/>
  <c r="B9" i="249"/>
  <c r="D8" i="249"/>
  <c r="B8" i="249"/>
  <c r="D7" i="249"/>
  <c r="B7" i="249"/>
  <c r="I8" i="249"/>
  <c r="E4" i="249"/>
  <c r="M18" i="257" s="1"/>
  <c r="F59" i="248"/>
  <c r="E49" i="248"/>
  <c r="E50" i="248" s="1"/>
  <c r="D49" i="248"/>
  <c r="D50" i="248" s="1"/>
  <c r="C49" i="248"/>
  <c r="C50" i="248" s="1"/>
  <c r="E41" i="248"/>
  <c r="D41" i="248"/>
  <c r="C41" i="248"/>
  <c r="E40" i="248"/>
  <c r="D40" i="248"/>
  <c r="D42" i="248" s="1"/>
  <c r="C40" i="248"/>
  <c r="H28" i="248"/>
  <c r="J15" i="248"/>
  <c r="I14" i="248"/>
  <c r="G14" i="248"/>
  <c r="D9" i="248"/>
  <c r="B9" i="248"/>
  <c r="D8" i="248"/>
  <c r="B8" i="248"/>
  <c r="D7" i="248"/>
  <c r="B7" i="248"/>
  <c r="I8" i="248"/>
  <c r="E4" i="248"/>
  <c r="M9" i="257" s="1"/>
  <c r="F59" i="247"/>
  <c r="E49" i="247"/>
  <c r="E50" i="247" s="1"/>
  <c r="D49" i="247"/>
  <c r="D50" i="247" s="1"/>
  <c r="C49" i="247"/>
  <c r="C50" i="247" s="1"/>
  <c r="E41" i="247"/>
  <c r="D41" i="247"/>
  <c r="D40" i="247"/>
  <c r="D42" i="247" s="1"/>
  <c r="C41" i="247"/>
  <c r="E40" i="247"/>
  <c r="C40" i="247"/>
  <c r="H28" i="247"/>
  <c r="J15" i="247"/>
  <c r="I14" i="247"/>
  <c r="G14" i="247"/>
  <c r="D9" i="247"/>
  <c r="B9" i="247"/>
  <c r="D8" i="247"/>
  <c r="B8" i="247"/>
  <c r="D7" i="247"/>
  <c r="B7" i="247"/>
  <c r="G7" i="247"/>
  <c r="E4" i="247"/>
  <c r="G36" i="257" s="1"/>
  <c r="F59" i="246"/>
  <c r="E41" i="246"/>
  <c r="D41" i="246"/>
  <c r="E40" i="246"/>
  <c r="D40" i="246"/>
  <c r="H28" i="246"/>
  <c r="J15" i="246"/>
  <c r="I14" i="246"/>
  <c r="G14" i="246"/>
  <c r="D9" i="246"/>
  <c r="B9" i="246"/>
  <c r="D8" i="246"/>
  <c r="B8" i="246"/>
  <c r="D7" i="246"/>
  <c r="B7" i="246"/>
  <c r="E4" i="246"/>
  <c r="G27" i="257" s="1"/>
  <c r="F59" i="245"/>
  <c r="E49" i="245"/>
  <c r="E50" i="245" s="1"/>
  <c r="D49" i="245"/>
  <c r="D50" i="245" s="1"/>
  <c r="C49" i="245"/>
  <c r="C50" i="245" s="1"/>
  <c r="E41" i="245"/>
  <c r="E42" i="245" s="1"/>
  <c r="E40" i="245"/>
  <c r="D41" i="245"/>
  <c r="C41" i="245"/>
  <c r="C42" i="245" s="1"/>
  <c r="D40" i="245"/>
  <c r="C40" i="245"/>
  <c r="H28" i="245"/>
  <c r="J15" i="245"/>
  <c r="I14" i="245"/>
  <c r="G14" i="245"/>
  <c r="D9" i="245"/>
  <c r="B9" i="245"/>
  <c r="D8" i="245"/>
  <c r="B8" i="245"/>
  <c r="D7" i="245"/>
  <c r="B7" i="245"/>
  <c r="E4" i="245"/>
  <c r="G18" i="257" s="1"/>
  <c r="F59" i="244"/>
  <c r="E49" i="244"/>
  <c r="E50" i="244" s="1"/>
  <c r="D49" i="244"/>
  <c r="D50" i="244" s="1"/>
  <c r="C49" i="244"/>
  <c r="C50" i="244" s="1"/>
  <c r="H28" i="244"/>
  <c r="J15" i="244"/>
  <c r="I14" i="244"/>
  <c r="G14" i="244"/>
  <c r="D9" i="244"/>
  <c r="B9" i="244"/>
  <c r="D8" i="244"/>
  <c r="B8" i="244"/>
  <c r="D7" i="244"/>
  <c r="B7" i="244"/>
  <c r="I7" i="244"/>
  <c r="E4" i="244"/>
  <c r="G9" i="257" s="1"/>
  <c r="F59" i="243"/>
  <c r="E49" i="243"/>
  <c r="E50" i="243" s="1"/>
  <c r="D49" i="243"/>
  <c r="D50" i="243" s="1"/>
  <c r="C49" i="243"/>
  <c r="C50" i="243" s="1"/>
  <c r="E41" i="243"/>
  <c r="D41" i="243"/>
  <c r="C41" i="243"/>
  <c r="E40" i="243"/>
  <c r="E42" i="243" s="1"/>
  <c r="D40" i="243"/>
  <c r="C40" i="243"/>
  <c r="H28" i="243"/>
  <c r="J15" i="243"/>
  <c r="I14" i="243"/>
  <c r="G14" i="243"/>
  <c r="D9" i="243"/>
  <c r="B9" i="243"/>
  <c r="D8" i="243"/>
  <c r="B8" i="243"/>
  <c r="D7" i="243"/>
  <c r="B7" i="243"/>
  <c r="E4" i="243"/>
  <c r="A36" i="257" s="1"/>
  <c r="F59" i="242"/>
  <c r="E49" i="242"/>
  <c r="E50" i="242" s="1"/>
  <c r="D49" i="242"/>
  <c r="D50" i="242" s="1"/>
  <c r="C49" i="242"/>
  <c r="C50" i="242" s="1"/>
  <c r="E41" i="242"/>
  <c r="D41" i="242"/>
  <c r="C41" i="242"/>
  <c r="C42" i="242" s="1"/>
  <c r="E40" i="242"/>
  <c r="D40" i="242"/>
  <c r="C40" i="242"/>
  <c r="H28" i="242"/>
  <c r="J15" i="242"/>
  <c r="I14" i="242"/>
  <c r="G14" i="242"/>
  <c r="D9" i="242"/>
  <c r="B9" i="242"/>
  <c r="D8" i="242"/>
  <c r="B8" i="242"/>
  <c r="D7" i="242"/>
  <c r="B7" i="242"/>
  <c r="E4" i="242"/>
  <c r="A27" i="257" s="1"/>
  <c r="F59" i="241"/>
  <c r="E49" i="241"/>
  <c r="E50" i="241" s="1"/>
  <c r="D49" i="241"/>
  <c r="D50" i="241" s="1"/>
  <c r="C49" i="241"/>
  <c r="C50" i="241" s="1"/>
  <c r="E41" i="241"/>
  <c r="D41" i="241"/>
  <c r="C41" i="241"/>
  <c r="C40" i="241"/>
  <c r="E40" i="241"/>
  <c r="D40" i="241"/>
  <c r="H28" i="241"/>
  <c r="J15" i="241"/>
  <c r="I14" i="241"/>
  <c r="G14" i="241"/>
  <c r="D9" i="241"/>
  <c r="B9" i="241"/>
  <c r="D8" i="241"/>
  <c r="B8" i="241"/>
  <c r="D7" i="241"/>
  <c r="B7" i="241"/>
  <c r="E4" i="241"/>
  <c r="A18" i="257" s="1"/>
  <c r="F59" i="240"/>
  <c r="D49" i="240"/>
  <c r="D50" i="240" s="1"/>
  <c r="C49" i="240"/>
  <c r="C50" i="240" s="1"/>
  <c r="J15" i="240"/>
  <c r="I14" i="240"/>
  <c r="G14" i="240"/>
  <c r="H4" i="240"/>
  <c r="G4" i="240"/>
  <c r="F4" i="240"/>
  <c r="E4" i="240"/>
  <c r="A9" i="257" s="1"/>
  <c r="D4" i="240"/>
  <c r="C4" i="240"/>
  <c r="B4" i="240"/>
  <c r="A4" i="240"/>
  <c r="D16" i="234"/>
  <c r="A4" i="213"/>
  <c r="F4" i="213"/>
  <c r="G4" i="213"/>
  <c r="A4" i="214"/>
  <c r="F4" i="214"/>
  <c r="H4" i="214"/>
  <c r="F4" i="215"/>
  <c r="D4" i="215"/>
  <c r="C4" i="215"/>
  <c r="A4" i="216"/>
  <c r="F4" i="216"/>
  <c r="D4" i="216"/>
  <c r="A4" i="217"/>
  <c r="F4" i="217"/>
  <c r="D4" i="217"/>
  <c r="C4" i="217"/>
  <c r="A4" i="218"/>
  <c r="F4" i="218"/>
  <c r="D4" i="218"/>
  <c r="A4" i="219"/>
  <c r="B4" i="219"/>
  <c r="F4" i="219"/>
  <c r="C4" i="219"/>
  <c r="A4" i="220"/>
  <c r="F4" i="220"/>
  <c r="D4" i="220"/>
  <c r="H4" i="220"/>
  <c r="D10" i="234"/>
  <c r="G4" i="222"/>
  <c r="D4" i="222"/>
  <c r="C4" i="222"/>
  <c r="H4" i="222"/>
  <c r="D8" i="235"/>
  <c r="G4" i="223"/>
  <c r="D4" i="223"/>
  <c r="C4" i="223"/>
  <c r="F4" i="224"/>
  <c r="A4" i="212"/>
  <c r="F4" i="212"/>
  <c r="D4" i="212"/>
  <c r="C4" i="212"/>
  <c r="H4" i="212"/>
  <c r="B88" i="236"/>
  <c r="B88" i="235"/>
  <c r="H4" i="224"/>
  <c r="G4" i="224"/>
  <c r="B4" i="222"/>
  <c r="B4" i="223"/>
  <c r="B4" i="224"/>
  <c r="A4" i="223"/>
  <c r="V7" i="255"/>
  <c r="A4" i="215"/>
  <c r="A4" i="201"/>
  <c r="T14" i="255"/>
  <c r="H9" i="245"/>
  <c r="H9" i="252"/>
  <c r="U7" i="255"/>
  <c r="D42" i="256"/>
  <c r="U14" i="255"/>
  <c r="T11" i="255"/>
  <c r="U17" i="255"/>
  <c r="T12" i="255"/>
  <c r="U12" i="255"/>
  <c r="G8" i="240"/>
  <c r="B107" i="137"/>
  <c r="D9" i="201"/>
  <c r="B9" i="201"/>
  <c r="D8" i="201"/>
  <c r="B8" i="201"/>
  <c r="D7" i="201"/>
  <c r="D9" i="222"/>
  <c r="J47" i="234" s="1"/>
  <c r="B9" i="222"/>
  <c r="H47" i="234" s="1"/>
  <c r="D8" i="222"/>
  <c r="B8" i="222"/>
  <c r="D7" i="222"/>
  <c r="F47" i="234" s="1"/>
  <c r="B7" i="222"/>
  <c r="D9" i="219"/>
  <c r="B9" i="219"/>
  <c r="D8" i="219"/>
  <c r="B8" i="219"/>
  <c r="D7" i="219"/>
  <c r="B7" i="219"/>
  <c r="D9" i="218"/>
  <c r="B9" i="218"/>
  <c r="D8" i="218"/>
  <c r="B8" i="218"/>
  <c r="D7" i="218"/>
  <c r="B7" i="218"/>
  <c r="D9" i="217"/>
  <c r="B9" i="217"/>
  <c r="D8" i="217"/>
  <c r="B8" i="217"/>
  <c r="D7" i="217"/>
  <c r="B7" i="217"/>
  <c r="D9" i="216"/>
  <c r="B9" i="216"/>
  <c r="D8" i="216"/>
  <c r="B8" i="216"/>
  <c r="D7" i="216"/>
  <c r="B7" i="216"/>
  <c r="D9" i="215"/>
  <c r="B9" i="215"/>
  <c r="D8" i="215"/>
  <c r="B8" i="215"/>
  <c r="D7" i="215"/>
  <c r="B7" i="215"/>
  <c r="D9" i="214"/>
  <c r="B9" i="214"/>
  <c r="D8" i="214"/>
  <c r="B8" i="214"/>
  <c r="D7" i="214"/>
  <c r="B7" i="214"/>
  <c r="D9" i="213"/>
  <c r="B9" i="213"/>
  <c r="D8" i="213"/>
  <c r="B8" i="213"/>
  <c r="D7" i="213"/>
  <c r="B7" i="213"/>
  <c r="D9" i="212"/>
  <c r="B9" i="212"/>
  <c r="D8" i="212"/>
  <c r="B8" i="212"/>
  <c r="D7" i="212"/>
  <c r="B7" i="212"/>
  <c r="D9" i="211"/>
  <c r="B9" i="211"/>
  <c r="D8" i="211"/>
  <c r="B8" i="211"/>
  <c r="D7" i="211"/>
  <c r="B7" i="211"/>
  <c r="D9" i="221"/>
  <c r="B9" i="221"/>
  <c r="D8" i="221"/>
  <c r="B8" i="221"/>
  <c r="D7" i="221"/>
  <c r="B7" i="221"/>
  <c r="D9" i="208"/>
  <c r="B9" i="208"/>
  <c r="D8" i="208"/>
  <c r="B8" i="208"/>
  <c r="D7" i="208"/>
  <c r="B7" i="208"/>
  <c r="D9" i="207"/>
  <c r="B9" i="207"/>
  <c r="D8" i="207"/>
  <c r="B8" i="207"/>
  <c r="D7" i="207"/>
  <c r="B7" i="207"/>
  <c r="D9" i="206"/>
  <c r="B9" i="206"/>
  <c r="D8" i="206"/>
  <c r="B8" i="206"/>
  <c r="D7" i="206"/>
  <c r="B7" i="206"/>
  <c r="D9" i="205"/>
  <c r="B9" i="205"/>
  <c r="D8" i="205"/>
  <c r="B8" i="205"/>
  <c r="D7" i="205"/>
  <c r="B7" i="205"/>
  <c r="D9" i="204"/>
  <c r="B9" i="204"/>
  <c r="D8" i="204"/>
  <c r="B8" i="204"/>
  <c r="D7" i="204"/>
  <c r="B7" i="204"/>
  <c r="D6" i="137"/>
  <c r="C58" i="236"/>
  <c r="C26" i="233" s="1"/>
  <c r="H89" i="236"/>
  <c r="B89" i="236"/>
  <c r="H87" i="236"/>
  <c r="B46" i="236"/>
  <c r="B35" i="236"/>
  <c r="A22" i="236"/>
  <c r="C58" i="235"/>
  <c r="C25" i="233" s="1"/>
  <c r="B46" i="235"/>
  <c r="H89" i="235"/>
  <c r="B89" i="235"/>
  <c r="H87" i="235"/>
  <c r="B35" i="235"/>
  <c r="A22" i="235"/>
  <c r="C59" i="234"/>
  <c r="C24" i="233" s="1"/>
  <c r="D15" i="137"/>
  <c r="D8" i="137"/>
  <c r="H89" i="234"/>
  <c r="B89" i="234"/>
  <c r="H87" i="234"/>
  <c r="B88" i="234"/>
  <c r="B35" i="234"/>
  <c r="A22" i="234"/>
  <c r="AC34" i="231"/>
  <c r="AA34" i="231"/>
  <c r="Z34" i="231"/>
  <c r="AC25" i="231"/>
  <c r="AA25" i="231"/>
  <c r="Z25" i="231"/>
  <c r="AC16" i="231"/>
  <c r="AA16" i="231"/>
  <c r="Z16" i="231"/>
  <c r="I8" i="224"/>
  <c r="B26" i="233"/>
  <c r="H4" i="207"/>
  <c r="C4" i="204"/>
  <c r="B17" i="233"/>
  <c r="G7" i="207"/>
  <c r="H28" i="204"/>
  <c r="I8" i="216"/>
  <c r="G8" i="215"/>
  <c r="F78" i="137"/>
  <c r="F77" i="137"/>
  <c r="W34" i="231"/>
  <c r="U34" i="231"/>
  <c r="T34" i="231"/>
  <c r="Q34" i="231"/>
  <c r="O34" i="231"/>
  <c r="N34" i="231"/>
  <c r="K34" i="231"/>
  <c r="I34" i="231"/>
  <c r="H34" i="231"/>
  <c r="E34" i="231"/>
  <c r="C34" i="231"/>
  <c r="W25" i="231"/>
  <c r="U25" i="231"/>
  <c r="T25" i="231"/>
  <c r="Q25" i="231"/>
  <c r="O25" i="231"/>
  <c r="N25" i="231"/>
  <c r="K25" i="231"/>
  <c r="I25" i="231"/>
  <c r="H25" i="231"/>
  <c r="E25" i="231"/>
  <c r="W16" i="231"/>
  <c r="U16" i="231"/>
  <c r="T16" i="231"/>
  <c r="Q16" i="231"/>
  <c r="O16" i="231"/>
  <c r="N16" i="231"/>
  <c r="K16" i="231"/>
  <c r="I16" i="231"/>
  <c r="E16" i="231"/>
  <c r="AC7" i="231"/>
  <c r="AA7" i="231"/>
  <c r="Z7" i="231"/>
  <c r="W7" i="231"/>
  <c r="U7" i="231"/>
  <c r="T7" i="231"/>
  <c r="Q7" i="231"/>
  <c r="O7" i="231"/>
  <c r="N7" i="231"/>
  <c r="K7" i="231"/>
  <c r="I7" i="231"/>
  <c r="E7" i="231"/>
  <c r="F76" i="137"/>
  <c r="H28" i="205"/>
  <c r="H28" i="201"/>
  <c r="E24" i="234"/>
  <c r="D4" i="221"/>
  <c r="D4" i="211"/>
  <c r="C78" i="137"/>
  <c r="C77" i="137"/>
  <c r="C76" i="137"/>
  <c r="E78" i="137"/>
  <c r="E76" i="137"/>
  <c r="H28" i="224"/>
  <c r="J15" i="224"/>
  <c r="G15" i="224"/>
  <c r="C67" i="224" s="1"/>
  <c r="I14" i="224"/>
  <c r="G14" i="224"/>
  <c r="F59" i="223"/>
  <c r="E41" i="223"/>
  <c r="D41" i="223"/>
  <c r="E40" i="223"/>
  <c r="D40" i="223"/>
  <c r="H28" i="223"/>
  <c r="J15" i="223"/>
  <c r="G15" i="223"/>
  <c r="C67" i="223" s="1"/>
  <c r="I14" i="223"/>
  <c r="G14" i="223"/>
  <c r="F59" i="222"/>
  <c r="E41" i="222"/>
  <c r="E42" i="222" s="1"/>
  <c r="D41" i="222"/>
  <c r="E40" i="222"/>
  <c r="D40" i="222"/>
  <c r="H28" i="222"/>
  <c r="J15" i="222"/>
  <c r="G15" i="222"/>
  <c r="C67" i="222" s="1"/>
  <c r="I14" i="222"/>
  <c r="G14" i="222"/>
  <c r="F59" i="221"/>
  <c r="E41" i="221"/>
  <c r="E40" i="221"/>
  <c r="D41" i="221"/>
  <c r="D42" i="221" s="1"/>
  <c r="D40" i="221"/>
  <c r="H28" i="221"/>
  <c r="J15" i="221"/>
  <c r="I14" i="221"/>
  <c r="G14" i="221"/>
  <c r="F59" i="220"/>
  <c r="E41" i="220"/>
  <c r="D41" i="220"/>
  <c r="E40" i="220"/>
  <c r="D40" i="220"/>
  <c r="H28" i="220"/>
  <c r="J15" i="220"/>
  <c r="I14" i="220"/>
  <c r="G14" i="220"/>
  <c r="F59" i="219"/>
  <c r="E41" i="219"/>
  <c r="D41" i="219"/>
  <c r="E40" i="219"/>
  <c r="D40" i="219"/>
  <c r="D42" i="219" s="1"/>
  <c r="H28" i="219"/>
  <c r="J15" i="219"/>
  <c r="I14" i="219"/>
  <c r="G14" i="219"/>
  <c r="F59" i="218"/>
  <c r="E41" i="218"/>
  <c r="D41" i="218"/>
  <c r="E40" i="218"/>
  <c r="D40" i="218"/>
  <c r="H28" i="218"/>
  <c r="J15" i="218"/>
  <c r="G15" i="218"/>
  <c r="C67" i="218" s="1"/>
  <c r="I20" i="218"/>
  <c r="D20" i="218"/>
  <c r="G20" i="218"/>
  <c r="H11" i="218"/>
  <c r="C64" i="218" s="1"/>
  <c r="I14" i="218"/>
  <c r="G14" i="218"/>
  <c r="E41" i="217"/>
  <c r="E42" i="217" s="1"/>
  <c r="E40" i="217"/>
  <c r="D41" i="217"/>
  <c r="D40" i="217"/>
  <c r="H28" i="217"/>
  <c r="J15" i="217"/>
  <c r="I14" i="217"/>
  <c r="G14" i="217"/>
  <c r="F59" i="216"/>
  <c r="H28" i="216"/>
  <c r="J15" i="216"/>
  <c r="I14" i="216"/>
  <c r="G14" i="216"/>
  <c r="F59" i="215"/>
  <c r="E41" i="215"/>
  <c r="D41" i="215"/>
  <c r="D40" i="215"/>
  <c r="E40" i="215"/>
  <c r="H28" i="215"/>
  <c r="J15" i="215"/>
  <c r="I14" i="215"/>
  <c r="G14" i="215"/>
  <c r="F59" i="214"/>
  <c r="E41" i="214"/>
  <c r="E40" i="214"/>
  <c r="D41" i="214"/>
  <c r="D40" i="214"/>
  <c r="D42" i="214"/>
  <c r="H28" i="214"/>
  <c r="J15" i="214"/>
  <c r="I14" i="214"/>
  <c r="G14" i="214"/>
  <c r="F59" i="213"/>
  <c r="E41" i="213"/>
  <c r="D41" i="213"/>
  <c r="D40" i="213"/>
  <c r="E40" i="213"/>
  <c r="E42" i="213" s="1"/>
  <c r="H28" i="213"/>
  <c r="J15" i="213"/>
  <c r="I14" i="213"/>
  <c r="G14" i="213"/>
  <c r="F59" i="212"/>
  <c r="E41" i="212"/>
  <c r="D41" i="212"/>
  <c r="D40" i="212"/>
  <c r="E40" i="212"/>
  <c r="H28" i="212"/>
  <c r="J15" i="212"/>
  <c r="I14" i="212"/>
  <c r="G14" i="212"/>
  <c r="F59" i="211"/>
  <c r="E41" i="211"/>
  <c r="D41" i="211"/>
  <c r="D42" i="211" s="1"/>
  <c r="D40" i="211"/>
  <c r="E40" i="211"/>
  <c r="H28" i="211"/>
  <c r="J15" i="211"/>
  <c r="I14" i="211"/>
  <c r="G14" i="211"/>
  <c r="F59" i="208"/>
  <c r="E41" i="208"/>
  <c r="D41" i="208"/>
  <c r="E40" i="208"/>
  <c r="D40" i="208"/>
  <c r="H28" i="208"/>
  <c r="J15" i="208"/>
  <c r="I14" i="208"/>
  <c r="G14" i="208"/>
  <c r="F59" i="207"/>
  <c r="E41" i="207"/>
  <c r="D41" i="207"/>
  <c r="D40" i="207"/>
  <c r="E40" i="207"/>
  <c r="E42" i="207" s="1"/>
  <c r="H28" i="207"/>
  <c r="J15" i="207"/>
  <c r="I14" i="207"/>
  <c r="G14" i="207"/>
  <c r="F59" i="206"/>
  <c r="E41" i="206"/>
  <c r="D41" i="206"/>
  <c r="E40" i="206"/>
  <c r="E42" i="206" s="1"/>
  <c r="D40" i="206"/>
  <c r="H28" i="206"/>
  <c r="J15" i="206"/>
  <c r="I14" i="206"/>
  <c r="G14" i="206"/>
  <c r="F59" i="205"/>
  <c r="E41" i="205"/>
  <c r="D41" i="205"/>
  <c r="D42" i="205" s="1"/>
  <c r="E40" i="205"/>
  <c r="D40" i="205"/>
  <c r="J15" i="205"/>
  <c r="I14" i="205"/>
  <c r="G14" i="205"/>
  <c r="F59" i="204"/>
  <c r="E41" i="204"/>
  <c r="E40" i="204"/>
  <c r="D41" i="204"/>
  <c r="D40" i="204"/>
  <c r="J15" i="204"/>
  <c r="I14" i="204"/>
  <c r="G14" i="204"/>
  <c r="F59" i="202"/>
  <c r="E41" i="202"/>
  <c r="D41" i="202"/>
  <c r="D42" i="202" s="1"/>
  <c r="E40" i="202"/>
  <c r="D40" i="202"/>
  <c r="H28" i="202"/>
  <c r="J15" i="202"/>
  <c r="I14" i="202"/>
  <c r="G14" i="202"/>
  <c r="B108" i="137"/>
  <c r="H106" i="137"/>
  <c r="B37" i="137"/>
  <c r="C73" i="137"/>
  <c r="C21" i="233"/>
  <c r="C69" i="137"/>
  <c r="C17" i="233" s="1"/>
  <c r="C61" i="137"/>
  <c r="C9" i="233"/>
  <c r="C65" i="137"/>
  <c r="C13" i="233" s="1"/>
  <c r="C59" i="137"/>
  <c r="C7" i="233"/>
  <c r="E77" i="137"/>
  <c r="F59" i="201"/>
  <c r="J15" i="201"/>
  <c r="I14" i="201"/>
  <c r="G14" i="201"/>
  <c r="E60" i="137"/>
  <c r="E62" i="137"/>
  <c r="E63" i="137"/>
  <c r="E64" i="137"/>
  <c r="E65" i="137"/>
  <c r="E66" i="137"/>
  <c r="E67" i="137"/>
  <c r="E68" i="137"/>
  <c r="E69" i="137"/>
  <c r="E70" i="137"/>
  <c r="E71" i="137"/>
  <c r="E72" i="137"/>
  <c r="E73" i="137"/>
  <c r="E74" i="137"/>
  <c r="E75" i="137"/>
  <c r="C60" i="137"/>
  <c r="C8" i="233" s="1"/>
  <c r="C62" i="137"/>
  <c r="C10" i="233"/>
  <c r="C63" i="137"/>
  <c r="C11" i="233" s="1"/>
  <c r="C64" i="137"/>
  <c r="C12" i="233"/>
  <c r="C66" i="137"/>
  <c r="C14" i="233" s="1"/>
  <c r="C67" i="137"/>
  <c r="C15" i="233"/>
  <c r="C68" i="137"/>
  <c r="C16" i="233" s="1"/>
  <c r="C70" i="137"/>
  <c r="C18" i="233"/>
  <c r="C71" i="137"/>
  <c r="C19" i="233" s="1"/>
  <c r="C72" i="137"/>
  <c r="C20" i="233"/>
  <c r="C74" i="137"/>
  <c r="C22" i="233" s="1"/>
  <c r="C75" i="137"/>
  <c r="C23" i="233"/>
  <c r="A22" i="137"/>
  <c r="E24" i="137"/>
  <c r="D4" i="204"/>
  <c r="D4" i="205"/>
  <c r="D4" i="206"/>
  <c r="D4" i="207"/>
  <c r="F4" i="206"/>
  <c r="A4" i="206"/>
  <c r="F4" i="205"/>
  <c r="A4" i="205"/>
  <c r="A4" i="204"/>
  <c r="H108" i="137"/>
  <c r="D16" i="137"/>
  <c r="D10" i="137"/>
  <c r="D7" i="137"/>
  <c r="L3" i="137"/>
  <c r="L54" i="137" s="1"/>
  <c r="AC41" i="132"/>
  <c r="AC38" i="132"/>
  <c r="C16" i="215"/>
  <c r="AC35" i="132"/>
  <c r="C16" i="212"/>
  <c r="AC32" i="132"/>
  <c r="AC29" i="132"/>
  <c r="C16" i="205"/>
  <c r="H4" i="202"/>
  <c r="H4" i="201"/>
  <c r="O39" i="257"/>
  <c r="G65" i="254" s="1"/>
  <c r="Q21" i="257"/>
  <c r="K63" i="254" s="1"/>
  <c r="P12" i="257"/>
  <c r="I62" i="254" s="1"/>
  <c r="I21" i="257"/>
  <c r="G59" i="254" s="1"/>
  <c r="K39" i="257"/>
  <c r="K61" i="254" s="1"/>
  <c r="D39" i="257"/>
  <c r="I57" i="254"/>
  <c r="C30" i="257"/>
  <c r="G56" i="254" s="1"/>
  <c r="O38" i="257"/>
  <c r="H65" i="254" s="1"/>
  <c r="Q20" i="257"/>
  <c r="L63" i="254" s="1"/>
  <c r="P11" i="257"/>
  <c r="J62" i="254" s="1"/>
  <c r="I20" i="257"/>
  <c r="H59" i="254" s="1"/>
  <c r="K38" i="257"/>
  <c r="L61" i="254" s="1"/>
  <c r="D38" i="257"/>
  <c r="J57" i="254"/>
  <c r="C29" i="257"/>
  <c r="H56" i="254" s="1"/>
  <c r="C11" i="257"/>
  <c r="H54" i="254" s="1"/>
  <c r="Q30" i="257"/>
  <c r="K64" i="254" s="1"/>
  <c r="P21" i="257"/>
  <c r="I63" i="254" s="1"/>
  <c r="O12" i="257"/>
  <c r="G62" i="254" s="1"/>
  <c r="I30" i="257"/>
  <c r="G60" i="254" s="1"/>
  <c r="J39" i="257"/>
  <c r="I61" i="254" s="1"/>
  <c r="C39" i="257"/>
  <c r="G57" i="254" s="1"/>
  <c r="E21" i="257"/>
  <c r="K55" i="254" s="1"/>
  <c r="Q29" i="257"/>
  <c r="L64" i="254" s="1"/>
  <c r="P20" i="257"/>
  <c r="J63" i="254" s="1"/>
  <c r="O11" i="257"/>
  <c r="H62" i="254" s="1"/>
  <c r="I29" i="257"/>
  <c r="H60" i="254" s="1"/>
  <c r="J38" i="257"/>
  <c r="J61" i="254"/>
  <c r="C38" i="257"/>
  <c r="H57" i="254" s="1"/>
  <c r="D21" i="257"/>
  <c r="I55" i="254" s="1"/>
  <c r="Q39" i="257"/>
  <c r="K65" i="254" s="1"/>
  <c r="P30" i="257"/>
  <c r="I64" i="254"/>
  <c r="O21" i="257"/>
  <c r="G63" i="254" s="1"/>
  <c r="K21" i="257"/>
  <c r="K59" i="254"/>
  <c r="J30" i="257"/>
  <c r="I60" i="254" s="1"/>
  <c r="I39" i="257"/>
  <c r="G61" i="254" s="1"/>
  <c r="E30" i="257"/>
  <c r="K56" i="254" s="1"/>
  <c r="C21" i="257"/>
  <c r="G55" i="254" s="1"/>
  <c r="Q38" i="257"/>
  <c r="L65" i="254" s="1"/>
  <c r="P29" i="257"/>
  <c r="J64" i="254"/>
  <c r="O20" i="257"/>
  <c r="H63" i="254" s="1"/>
  <c r="K20" i="257"/>
  <c r="L59" i="254" s="1"/>
  <c r="J29" i="257"/>
  <c r="J60" i="254" s="1"/>
  <c r="I38" i="257"/>
  <c r="H61" i="254" s="1"/>
  <c r="E29" i="257"/>
  <c r="L56" i="254" s="1"/>
  <c r="E20" i="257"/>
  <c r="L55" i="254" s="1"/>
  <c r="O29" i="257"/>
  <c r="H64" i="254" s="1"/>
  <c r="D29" i="257"/>
  <c r="J56" i="254" s="1"/>
  <c r="P39" i="257"/>
  <c r="I65" i="254" s="1"/>
  <c r="O30" i="257"/>
  <c r="G64" i="254" s="1"/>
  <c r="Q12" i="257"/>
  <c r="K62" i="254" s="1"/>
  <c r="J21" i="257"/>
  <c r="I59" i="254" s="1"/>
  <c r="K30" i="257"/>
  <c r="K60" i="254" s="1"/>
  <c r="E39" i="257"/>
  <c r="K57" i="254" s="1"/>
  <c r="D30" i="257"/>
  <c r="I56" i="254" s="1"/>
  <c r="D20" i="257"/>
  <c r="J55" i="254" s="1"/>
  <c r="P38" i="257"/>
  <c r="J65" i="254" s="1"/>
  <c r="Q11" i="257"/>
  <c r="L62" i="254" s="1"/>
  <c r="J20" i="257"/>
  <c r="J59" i="254" s="1"/>
  <c r="K29" i="257"/>
  <c r="L60" i="254" s="1"/>
  <c r="E38" i="257"/>
  <c r="L57" i="254"/>
  <c r="C20" i="257"/>
  <c r="H55" i="254"/>
  <c r="C16" i="208"/>
  <c r="C16" i="221"/>
  <c r="B4" i="201"/>
  <c r="F4" i="202"/>
  <c r="F4" i="201"/>
  <c r="G4" i="201"/>
  <c r="D4" i="202"/>
  <c r="I65" i="137"/>
  <c r="G65" i="137"/>
  <c r="L60" i="137"/>
  <c r="C11" i="231"/>
  <c r="J75" i="137"/>
  <c r="L63" i="137"/>
  <c r="H68" i="137"/>
  <c r="I12" i="257"/>
  <c r="G58" i="254" s="1"/>
  <c r="K12" i="257"/>
  <c r="K58" i="254" s="1"/>
  <c r="I11" i="257"/>
  <c r="H58" i="254" s="1"/>
  <c r="D12" i="257"/>
  <c r="I54" i="254" s="1"/>
  <c r="E12" i="257"/>
  <c r="K54" i="254" s="1"/>
  <c r="E11" i="257"/>
  <c r="L54" i="254" s="1"/>
  <c r="K11" i="257"/>
  <c r="L58" i="254" s="1"/>
  <c r="C12" i="257"/>
  <c r="G54" i="254" s="1"/>
  <c r="J11" i="257"/>
  <c r="J58" i="254" s="1"/>
  <c r="J12" i="257"/>
  <c r="I58" i="254"/>
  <c r="D11" i="257"/>
  <c r="J54" i="254" s="1"/>
  <c r="I19" i="220"/>
  <c r="I19" i="252"/>
  <c r="B19" i="249"/>
  <c r="B19" i="246"/>
  <c r="D19" i="243"/>
  <c r="I19" i="217"/>
  <c r="B19" i="219"/>
  <c r="D19" i="211"/>
  <c r="I19" i="214"/>
  <c r="B19" i="208"/>
  <c r="D19" i="205"/>
  <c r="B19" i="221"/>
  <c r="B19" i="244"/>
  <c r="D19" i="256"/>
  <c r="D19" i="249"/>
  <c r="B19" i="241"/>
  <c r="B19" i="256"/>
  <c r="D19" i="220"/>
  <c r="D19" i="252"/>
  <c r="I19" i="248"/>
  <c r="I19" i="245"/>
  <c r="B19" i="243"/>
  <c r="D19" i="217"/>
  <c r="I19" i="216"/>
  <c r="B19" i="211"/>
  <c r="D19" i="214"/>
  <c r="I19" i="221"/>
  <c r="B19" i="205"/>
  <c r="I19" i="207"/>
  <c r="I19" i="219"/>
  <c r="D19" i="240"/>
  <c r="I19" i="243"/>
  <c r="I19" i="211"/>
  <c r="I19" i="205"/>
  <c r="B19" i="220"/>
  <c r="B19" i="252"/>
  <c r="D19" i="248"/>
  <c r="D19" i="245"/>
  <c r="I19" i="242"/>
  <c r="B19" i="217"/>
  <c r="D19" i="216"/>
  <c r="I19" i="212"/>
  <c r="B19" i="214"/>
  <c r="D19" i="221"/>
  <c r="I19" i="206"/>
  <c r="D19" i="212"/>
  <c r="B19" i="215"/>
  <c r="D19" i="246"/>
  <c r="D19" i="219"/>
  <c r="B19" i="240"/>
  <c r="B19" i="202"/>
  <c r="I19" i="222"/>
  <c r="I19" i="251"/>
  <c r="B19" i="248"/>
  <c r="I19" i="247"/>
  <c r="B19" i="245"/>
  <c r="D19" i="242"/>
  <c r="I19" i="218"/>
  <c r="B19" i="216"/>
  <c r="D19" i="206"/>
  <c r="B19" i="204"/>
  <c r="D19" i="223"/>
  <c r="D19" i="208"/>
  <c r="D19" i="222"/>
  <c r="D19" i="251"/>
  <c r="D19" i="247"/>
  <c r="I19" i="244"/>
  <c r="B19" i="242"/>
  <c r="D19" i="218"/>
  <c r="I19" i="215"/>
  <c r="B19" i="212"/>
  <c r="D19" i="207"/>
  <c r="I19" i="204"/>
  <c r="B19" i="206"/>
  <c r="B19" i="218"/>
  <c r="I19" i="213"/>
  <c r="I19" i="240"/>
  <c r="I19" i="202"/>
  <c r="I19" i="223"/>
  <c r="I19" i="246"/>
  <c r="D19" i="213"/>
  <c r="D19" i="202"/>
  <c r="B19" i="222"/>
  <c r="B19" i="251"/>
  <c r="B19" i="247"/>
  <c r="D19" i="244"/>
  <c r="I19" i="241"/>
  <c r="D19" i="215"/>
  <c r="B19" i="207"/>
  <c r="D19" i="204"/>
  <c r="I19" i="256"/>
  <c r="I19" i="249"/>
  <c r="D19" i="241"/>
  <c r="I19" i="208"/>
  <c r="B19" i="213"/>
  <c r="B19" i="223"/>
  <c r="D19" i="224"/>
  <c r="I19" i="224"/>
  <c r="B19" i="224"/>
  <c r="I19" i="201"/>
  <c r="D19" i="201"/>
  <c r="B19" i="201"/>
  <c r="F19" i="256"/>
  <c r="F19" i="213"/>
  <c r="F19" i="214"/>
  <c r="F19" i="252"/>
  <c r="F19" i="224"/>
  <c r="F19" i="216"/>
  <c r="F19" i="248"/>
  <c r="F19" i="222"/>
  <c r="F19" i="207"/>
  <c r="F19" i="205"/>
  <c r="F19" i="249"/>
  <c r="F19" i="201"/>
  <c r="F19" i="212"/>
  <c r="F19" i="206"/>
  <c r="F19" i="202"/>
  <c r="F19" i="221"/>
  <c r="F19" i="240"/>
  <c r="F19" i="204"/>
  <c r="F19" i="223"/>
  <c r="F19" i="247"/>
  <c r="F19" i="220"/>
  <c r="F19" i="241"/>
  <c r="F19" i="211"/>
  <c r="F19" i="215"/>
  <c r="F19" i="246"/>
  <c r="F19" i="219"/>
  <c r="F19" i="217"/>
  <c r="F19" i="245"/>
  <c r="F19" i="242"/>
  <c r="F19" i="218"/>
  <c r="F19" i="208"/>
  <c r="F19" i="243"/>
  <c r="F19" i="251"/>
  <c r="F19" i="244"/>
  <c r="G20" i="222"/>
  <c r="I20" i="222"/>
  <c r="D20" i="222"/>
  <c r="I20" i="223"/>
  <c r="D20" i="223"/>
  <c r="G20" i="223"/>
  <c r="D20" i="224"/>
  <c r="G20" i="224"/>
  <c r="I20" i="224"/>
  <c r="F4" i="208"/>
  <c r="F4" i="211"/>
  <c r="G4" i="208"/>
  <c r="A4" i="211"/>
  <c r="A4" i="208"/>
  <c r="F4" i="221"/>
  <c r="A4" i="221"/>
  <c r="F4" i="247"/>
  <c r="F4" i="246"/>
  <c r="C4" i="252"/>
  <c r="H4" i="241"/>
  <c r="B4" i="243"/>
  <c r="G4" i="244"/>
  <c r="H4" i="245"/>
  <c r="B4" i="247"/>
  <c r="G4" i="248"/>
  <c r="H4" i="249"/>
  <c r="B4" i="252"/>
  <c r="D4" i="246"/>
  <c r="F4" i="252"/>
  <c r="D4" i="245"/>
  <c r="F4" i="243"/>
  <c r="A4" i="251"/>
  <c r="B4" i="242"/>
  <c r="B4" i="251"/>
  <c r="F4" i="242"/>
  <c r="C4" i="247"/>
  <c r="F4" i="251"/>
  <c r="A4" i="241"/>
  <c r="G4" i="242"/>
  <c r="H4" i="243"/>
  <c r="B4" i="245"/>
  <c r="G4" i="246"/>
  <c r="H4" i="247"/>
  <c r="B4" i="249"/>
  <c r="G4" i="251"/>
  <c r="D4" i="251"/>
  <c r="D4" i="242"/>
  <c r="A4" i="242"/>
  <c r="G4" i="243"/>
  <c r="G4" i="252"/>
  <c r="A4" i="245"/>
  <c r="F4" i="241"/>
  <c r="A4" i="244"/>
  <c r="F4" i="245"/>
  <c r="C4" i="246"/>
  <c r="A4" i="248"/>
  <c r="F4" i="249"/>
  <c r="C4" i="251"/>
  <c r="D4" i="249"/>
  <c r="D4" i="241"/>
  <c r="B4" i="246"/>
  <c r="C4" i="243"/>
  <c r="G4" i="241"/>
  <c r="H4" i="242"/>
  <c r="B4" i="244"/>
  <c r="G4" i="245"/>
  <c r="H4" i="246"/>
  <c r="B4" i="248"/>
  <c r="G4" i="249"/>
  <c r="H4" i="251"/>
  <c r="A4" i="246"/>
  <c r="G4" i="247"/>
  <c r="A4" i="249"/>
  <c r="C4" i="241"/>
  <c r="A4" i="243"/>
  <c r="F4" i="244"/>
  <c r="C4" i="245"/>
  <c r="A4" i="247"/>
  <c r="F4" i="248"/>
  <c r="C4" i="249"/>
  <c r="A4" i="252"/>
  <c r="D4" i="247"/>
  <c r="H63" i="137"/>
  <c r="K59" i="234"/>
  <c r="I72" i="137"/>
  <c r="I7" i="246"/>
  <c r="G7" i="241"/>
  <c r="V9" i="255"/>
  <c r="V18" i="255"/>
  <c r="U18" i="255"/>
  <c r="B13" i="233"/>
  <c r="H9" i="207"/>
  <c r="V11" i="255"/>
  <c r="H4" i="223"/>
  <c r="I7" i="201"/>
  <c r="T13" i="255"/>
  <c r="H11" i="224"/>
  <c r="C64" i="224" s="1"/>
  <c r="G7" i="224"/>
  <c r="C4" i="208"/>
  <c r="C4" i="211"/>
  <c r="H9" i="223"/>
  <c r="K76" i="137"/>
  <c r="G8" i="248"/>
  <c r="I7" i="248"/>
  <c r="I8" i="213"/>
  <c r="I8" i="211"/>
  <c r="I8" i="207"/>
  <c r="B9" i="233"/>
  <c r="I11" i="255"/>
  <c r="I8" i="255"/>
  <c r="H9" i="213"/>
  <c r="I8" i="223"/>
  <c r="G8" i="213"/>
  <c r="G7" i="240"/>
  <c r="I7" i="240"/>
  <c r="H9" i="240"/>
  <c r="G7" i="223"/>
  <c r="I7" i="223"/>
  <c r="B16" i="233"/>
  <c r="B8" i="233"/>
  <c r="B21" i="233"/>
  <c r="B20" i="233"/>
  <c r="G8" i="217"/>
  <c r="I8" i="215"/>
  <c r="B12" i="233"/>
  <c r="J73" i="132"/>
  <c r="J66" i="132"/>
  <c r="J63" i="132"/>
  <c r="J72" i="132"/>
  <c r="J57" i="132"/>
  <c r="J50" i="132"/>
  <c r="J51" i="132"/>
  <c r="J79" i="132"/>
  <c r="J53" i="132"/>
  <c r="J56" i="132"/>
  <c r="J65" i="132"/>
  <c r="J58" i="132"/>
  <c r="J78" i="132"/>
  <c r="J67" i="132"/>
  <c r="J76" i="132"/>
  <c r="J68" i="132"/>
  <c r="J52" i="132"/>
  <c r="J69" i="132"/>
  <c r="J54" i="132"/>
  <c r="J70" i="132"/>
  <c r="J55" i="132"/>
  <c r="J71" i="132"/>
  <c r="J49" i="132"/>
  <c r="D42" i="244"/>
  <c r="H9" i="244"/>
  <c r="E42" i="249"/>
  <c r="I8" i="252"/>
  <c r="I7" i="252"/>
  <c r="G8" i="252"/>
  <c r="I62" i="137"/>
  <c r="J63" i="137"/>
  <c r="H9" i="208"/>
  <c r="G7" i="211"/>
  <c r="E42" i="215"/>
  <c r="E42" i="224"/>
  <c r="H61" i="137"/>
  <c r="G8" i="206"/>
  <c r="G67" i="137"/>
  <c r="I8" i="217"/>
  <c r="I8" i="219"/>
  <c r="E42" i="212"/>
  <c r="C42" i="221"/>
  <c r="D42" i="243"/>
  <c r="C42" i="243"/>
  <c r="H9" i="251"/>
  <c r="G7" i="249"/>
  <c r="G8" i="249"/>
  <c r="H9" i="249"/>
  <c r="D54" i="247"/>
  <c r="D54" i="245"/>
  <c r="B75" i="240"/>
  <c r="B76" i="240" s="1"/>
  <c r="L32" i="137"/>
  <c r="L39" i="254"/>
  <c r="D54" i="251"/>
  <c r="I8" i="251"/>
  <c r="G7" i="251"/>
  <c r="G8" i="251"/>
  <c r="I7" i="251"/>
  <c r="C42" i="248"/>
  <c r="D54" i="248"/>
  <c r="C42" i="247"/>
  <c r="D42" i="246"/>
  <c r="G8" i="246"/>
  <c r="H9" i="246"/>
  <c r="G7" i="246"/>
  <c r="E42" i="241"/>
  <c r="B75" i="241"/>
  <c r="B76" i="241"/>
  <c r="C42" i="252"/>
  <c r="C43" i="252" s="1"/>
  <c r="B54" i="252" s="1"/>
  <c r="D54" i="252"/>
  <c r="I7" i="205"/>
  <c r="G8" i="205"/>
  <c r="G7" i="206"/>
  <c r="I8" i="206"/>
  <c r="I7" i="206"/>
  <c r="H9" i="206"/>
  <c r="C42" i="207"/>
  <c r="D42" i="208"/>
  <c r="C42" i="208"/>
  <c r="C44" i="208" s="1"/>
  <c r="C59" i="208" s="1"/>
  <c r="G64" i="137"/>
  <c r="I7" i="208"/>
  <c r="G8" i="208"/>
  <c r="I8" i="208"/>
  <c r="K65" i="137"/>
  <c r="I7" i="211"/>
  <c r="H9" i="211"/>
  <c r="G7" i="213"/>
  <c r="G8" i="214"/>
  <c r="K74" i="137"/>
  <c r="G8" i="219"/>
  <c r="H9" i="219"/>
  <c r="I58" i="236"/>
  <c r="H9" i="224"/>
  <c r="I7" i="224"/>
  <c r="D42" i="223"/>
  <c r="G8" i="223"/>
  <c r="E42" i="220"/>
  <c r="C42" i="213"/>
  <c r="C43" i="213" s="1"/>
  <c r="B54" i="213" s="1"/>
  <c r="C42" i="206"/>
  <c r="C43" i="206" s="1"/>
  <c r="B54" i="206" s="1"/>
  <c r="G8" i="204"/>
  <c r="G7" i="204"/>
  <c r="J61" i="137"/>
  <c r="G7" i="205"/>
  <c r="I8" i="205"/>
  <c r="G62" i="137"/>
  <c r="G8" i="207"/>
  <c r="H66" i="137"/>
  <c r="J66" i="137"/>
  <c r="G7" i="212"/>
  <c r="H9" i="212"/>
  <c r="I7" i="212"/>
  <c r="G8" i="212"/>
  <c r="G7" i="214"/>
  <c r="I8" i="214"/>
  <c r="H9" i="214"/>
  <c r="I7" i="215"/>
  <c r="H9" i="215"/>
  <c r="G7" i="215"/>
  <c r="L72" i="137"/>
  <c r="I58" i="235"/>
  <c r="C42" i="202"/>
  <c r="C43" i="202" s="1"/>
  <c r="B54" i="202" s="1"/>
  <c r="G59" i="137"/>
  <c r="H9" i="202"/>
  <c r="G7" i="202"/>
  <c r="G8" i="202"/>
  <c r="I8" i="202"/>
  <c r="I7" i="202"/>
  <c r="D54" i="243"/>
  <c r="I8" i="243"/>
  <c r="H9" i="243"/>
  <c r="G7" i="243"/>
  <c r="I8" i="246"/>
  <c r="B75" i="247"/>
  <c r="B76" i="247" s="1"/>
  <c r="G8" i="247"/>
  <c r="I8" i="247"/>
  <c r="B75" i="251"/>
  <c r="B76" i="251" s="1"/>
  <c r="G7" i="252"/>
  <c r="C75" i="248"/>
  <c r="H9" i="248"/>
  <c r="E42" i="251"/>
  <c r="C42" i="249"/>
  <c r="D54" i="244"/>
  <c r="C75" i="244"/>
  <c r="F19" i="234"/>
  <c r="F19" i="137"/>
  <c r="I8" i="222"/>
  <c r="G7" i="222"/>
  <c r="H11" i="222"/>
  <c r="C64" i="222" s="1"/>
  <c r="G8" i="222"/>
  <c r="H9" i="222"/>
  <c r="G7" i="242"/>
  <c r="H9" i="242"/>
  <c r="I8" i="242"/>
  <c r="I7" i="242"/>
  <c r="H69" i="137"/>
  <c r="G8" i="218"/>
  <c r="G7" i="218"/>
  <c r="H9" i="218"/>
  <c r="I8" i="218"/>
  <c r="I7" i="218"/>
  <c r="K64" i="137"/>
  <c r="F19" i="236"/>
  <c r="V15" i="255"/>
  <c r="T15" i="255"/>
  <c r="U15" i="255"/>
  <c r="I7" i="241"/>
  <c r="H9" i="241"/>
  <c r="I8" i="241"/>
  <c r="G8" i="241"/>
  <c r="V16" i="255"/>
  <c r="G58" i="235"/>
  <c r="G77" i="137"/>
  <c r="C75" i="242"/>
  <c r="C76" i="242"/>
  <c r="D54" i="242"/>
  <c r="F19" i="254"/>
  <c r="F19" i="235"/>
  <c r="G8" i="242"/>
  <c r="C42" i="246"/>
  <c r="G7" i="217"/>
  <c r="H9" i="217"/>
  <c r="I8" i="204"/>
  <c r="H9" i="204"/>
  <c r="H58" i="236"/>
  <c r="G8" i="244"/>
  <c r="L61" i="137"/>
  <c r="I8" i="244"/>
  <c r="J69" i="137"/>
  <c r="I8" i="240"/>
  <c r="H9" i="247"/>
  <c r="G7" i="219"/>
  <c r="U10" i="255"/>
  <c r="V10" i="255"/>
  <c r="T10" i="255"/>
  <c r="G8" i="245"/>
  <c r="G7" i="245"/>
  <c r="I8" i="245"/>
  <c r="K67" i="137"/>
  <c r="C75" i="252"/>
  <c r="C76" i="252" s="1"/>
  <c r="D54" i="249"/>
  <c r="B75" i="249"/>
  <c r="B76" i="249" s="1"/>
  <c r="H9" i="221"/>
  <c r="U8" i="255"/>
  <c r="T8" i="255"/>
  <c r="I8" i="201"/>
  <c r="G8" i="201"/>
  <c r="H9" i="201"/>
  <c r="I59" i="234"/>
  <c r="I7" i="217"/>
  <c r="AC11" i="231"/>
  <c r="AC30" i="231"/>
  <c r="AC20" i="231"/>
  <c r="AC39" i="231"/>
  <c r="AC29" i="231"/>
  <c r="L77" i="258" s="1"/>
  <c r="AC38" i="231"/>
  <c r="U38" i="231"/>
  <c r="AA21" i="231"/>
  <c r="G8" i="256"/>
  <c r="Q11" i="231"/>
  <c r="Q30" i="231"/>
  <c r="K69" i="258" s="1"/>
  <c r="V30" i="231"/>
  <c r="AA11" i="231"/>
  <c r="Q20" i="231"/>
  <c r="Q39" i="231"/>
  <c r="V20" i="231"/>
  <c r="V39" i="231"/>
  <c r="AA20" i="231"/>
  <c r="AA39" i="231"/>
  <c r="AB12" i="231"/>
  <c r="D54" i="201"/>
  <c r="D54" i="214"/>
  <c r="D54" i="206"/>
  <c r="D54" i="207"/>
  <c r="D54" i="216"/>
  <c r="D54" i="219"/>
  <c r="B76" i="205"/>
  <c r="B76" i="221"/>
  <c r="B76" i="206"/>
  <c r="D54" i="204"/>
  <c r="C75" i="206"/>
  <c r="C76" i="206" s="1"/>
  <c r="D54" i="208"/>
  <c r="D54" i="213"/>
  <c r="C75" i="215"/>
  <c r="C76" i="215" s="1"/>
  <c r="D54" i="217"/>
  <c r="C75" i="219"/>
  <c r="C76" i="219"/>
  <c r="D54" i="221"/>
  <c r="D54" i="218"/>
  <c r="C44" i="202"/>
  <c r="C59" i="202" s="1"/>
  <c r="L59" i="234"/>
  <c r="C43" i="246"/>
  <c r="B54" i="246" s="1"/>
  <c r="C44" i="246"/>
  <c r="C59" i="246" s="1"/>
  <c r="G8" i="216"/>
  <c r="I7" i="216"/>
  <c r="H9" i="216"/>
  <c r="D54" i="220"/>
  <c r="I7" i="220"/>
  <c r="L73" i="137"/>
  <c r="J73" i="137"/>
  <c r="Y27" i="231"/>
  <c r="C42" i="214"/>
  <c r="C43" i="214" s="1"/>
  <c r="B54" i="214" s="1"/>
  <c r="K69" i="137"/>
  <c r="J60" i="137"/>
  <c r="H60" i="137"/>
  <c r="C44" i="214"/>
  <c r="C59" i="214" s="1"/>
  <c r="L68" i="137" l="1"/>
  <c r="L68" i="258"/>
  <c r="K10" i="137"/>
  <c r="K10" i="258"/>
  <c r="K62" i="137"/>
  <c r="K62" i="258"/>
  <c r="G74" i="258"/>
  <c r="G74" i="137"/>
  <c r="I76" i="137"/>
  <c r="I76" i="258"/>
  <c r="H77" i="137"/>
  <c r="H77" i="258"/>
  <c r="L74" i="137"/>
  <c r="L74" i="258"/>
  <c r="F9" i="255"/>
  <c r="I9" i="255"/>
  <c r="H59" i="234"/>
  <c r="H76" i="258"/>
  <c r="L78" i="137"/>
  <c r="L78" i="258"/>
  <c r="C75" i="240"/>
  <c r="C76" i="240" s="1"/>
  <c r="G7" i="256"/>
  <c r="E42" i="252"/>
  <c r="I7" i="255"/>
  <c r="B75" i="246"/>
  <c r="B76" i="246" s="1"/>
  <c r="G72" i="137"/>
  <c r="G72" i="258"/>
  <c r="I78" i="137"/>
  <c r="I78" i="258"/>
  <c r="H78" i="137"/>
  <c r="H78" i="258"/>
  <c r="H75" i="137"/>
  <c r="H75" i="258"/>
  <c r="E42" i="204"/>
  <c r="E42" i="214"/>
  <c r="D42" i="215"/>
  <c r="H76" i="137"/>
  <c r="I75" i="137"/>
  <c r="I75" i="258"/>
  <c r="J72" i="137"/>
  <c r="J72" i="258"/>
  <c r="I73" i="137"/>
  <c r="I73" i="258"/>
  <c r="G59" i="234"/>
  <c r="G76" i="258"/>
  <c r="K78" i="137"/>
  <c r="K78" i="258"/>
  <c r="U16" i="255"/>
  <c r="L70" i="137"/>
  <c r="T9" i="255"/>
  <c r="D42" i="207"/>
  <c r="E42" i="211"/>
  <c r="D42" i="217"/>
  <c r="E42" i="218"/>
  <c r="E42" i="219"/>
  <c r="E42" i="221"/>
  <c r="B75" i="256"/>
  <c r="B76" i="256" s="1"/>
  <c r="D42" i="251"/>
  <c r="G70" i="137"/>
  <c r="G70" i="258"/>
  <c r="T12" i="233"/>
  <c r="Z12" i="233" s="1"/>
  <c r="U12" i="233"/>
  <c r="AA12" i="233" s="1"/>
  <c r="T8" i="233"/>
  <c r="Z8" i="233" s="1"/>
  <c r="U8" i="233"/>
  <c r="AA8" i="233" s="1"/>
  <c r="W8" i="233"/>
  <c r="L67" i="137"/>
  <c r="L67" i="258"/>
  <c r="K77" i="137"/>
  <c r="K77" i="258"/>
  <c r="I74" i="137"/>
  <c r="I74" i="258"/>
  <c r="L75" i="137"/>
  <c r="L75" i="258"/>
  <c r="D42" i="212"/>
  <c r="G78" i="137"/>
  <c r="G78" i="258"/>
  <c r="K70" i="137"/>
  <c r="K70" i="258"/>
  <c r="H74" i="137"/>
  <c r="H74" i="258"/>
  <c r="L76" i="137"/>
  <c r="L76" i="258"/>
  <c r="K10" i="254"/>
  <c r="G7" i="220"/>
  <c r="E42" i="202"/>
  <c r="E42" i="205"/>
  <c r="D42" i="206"/>
  <c r="I8" i="256"/>
  <c r="C42" i="241"/>
  <c r="E42" i="242"/>
  <c r="E42" i="246"/>
  <c r="H9" i="256"/>
  <c r="J59" i="137"/>
  <c r="J59" i="258"/>
  <c r="I67" i="137"/>
  <c r="I67" i="258"/>
  <c r="H71" i="137"/>
  <c r="H71" i="258"/>
  <c r="G73" i="137"/>
  <c r="G73" i="258"/>
  <c r="I77" i="137"/>
  <c r="I77" i="258"/>
  <c r="F17" i="255"/>
  <c r="I17" i="255"/>
  <c r="T20" i="233"/>
  <c r="Z20" i="233" s="1"/>
  <c r="U20" i="233"/>
  <c r="AA20" i="233" s="1"/>
  <c r="T16" i="233"/>
  <c r="Z16" i="233" s="1"/>
  <c r="U16" i="233"/>
  <c r="AA16" i="233" s="1"/>
  <c r="C75" i="224"/>
  <c r="C76" i="224" s="1"/>
  <c r="D54" i="224"/>
  <c r="C42" i="240"/>
  <c r="E42" i="240"/>
  <c r="G7" i="208"/>
  <c r="H11" i="207"/>
  <c r="C64" i="207" s="1"/>
  <c r="E12" i="231"/>
  <c r="E50" i="202"/>
  <c r="C21" i="231"/>
  <c r="E21" i="231"/>
  <c r="C50" i="204"/>
  <c r="C42" i="204"/>
  <c r="D30" i="231"/>
  <c r="C42" i="205"/>
  <c r="C38" i="231"/>
  <c r="E38" i="231"/>
  <c r="E50" i="206"/>
  <c r="I12" i="231"/>
  <c r="K12" i="231"/>
  <c r="D50" i="207"/>
  <c r="I48" i="207" s="1"/>
  <c r="F54" i="207" s="1"/>
  <c r="I20" i="231"/>
  <c r="K20" i="231"/>
  <c r="E50" i="208"/>
  <c r="I48" i="208" s="1"/>
  <c r="J29" i="231"/>
  <c r="I39" i="231"/>
  <c r="K39" i="231"/>
  <c r="D50" i="211"/>
  <c r="I48" i="211" s="1"/>
  <c r="P11" i="231"/>
  <c r="D50" i="212"/>
  <c r="P21" i="231"/>
  <c r="D50" i="213"/>
  <c r="I48" i="213" s="1"/>
  <c r="P30" i="231"/>
  <c r="C50" i="214"/>
  <c r="O38" i="231"/>
  <c r="V12" i="231"/>
  <c r="C50" i="216"/>
  <c r="U20" i="231"/>
  <c r="C50" i="217"/>
  <c r="C42" i="217"/>
  <c r="U29" i="231"/>
  <c r="D50" i="218"/>
  <c r="V38" i="231"/>
  <c r="C50" i="219"/>
  <c r="C42" i="219"/>
  <c r="C43" i="219" s="1"/>
  <c r="B54" i="219" s="1"/>
  <c r="AC12" i="231"/>
  <c r="E50" i="220"/>
  <c r="AB20" i="231"/>
  <c r="E50" i="222"/>
  <c r="AB29" i="231"/>
  <c r="AB38" i="231"/>
  <c r="J78" i="258" s="1"/>
  <c r="V11" i="231"/>
  <c r="C42" i="224"/>
  <c r="C44" i="224" s="1"/>
  <c r="C59" i="224" s="1"/>
  <c r="T19" i="233"/>
  <c r="Z19" i="233" s="1"/>
  <c r="T15" i="233"/>
  <c r="Z15" i="233" s="1"/>
  <c r="T11" i="233"/>
  <c r="Z11" i="233" s="1"/>
  <c r="D54" i="222"/>
  <c r="D54" i="215"/>
  <c r="E42" i="201"/>
  <c r="C42" i="201"/>
  <c r="I7" i="214"/>
  <c r="H10" i="207"/>
  <c r="H59" i="137"/>
  <c r="H59" i="258"/>
  <c r="G59" i="258"/>
  <c r="L59" i="137"/>
  <c r="L59" i="258"/>
  <c r="I64" i="137"/>
  <c r="I64" i="258"/>
  <c r="L66" i="137"/>
  <c r="L66" i="258"/>
  <c r="J68" i="137"/>
  <c r="J68" i="258"/>
  <c r="I70" i="137"/>
  <c r="I70" i="258"/>
  <c r="K71" i="137"/>
  <c r="K71" i="258"/>
  <c r="C42" i="256"/>
  <c r="E42" i="244"/>
  <c r="H10" i="224"/>
  <c r="D12" i="231"/>
  <c r="C50" i="202"/>
  <c r="D21" i="231"/>
  <c r="E50" i="204"/>
  <c r="C30" i="231"/>
  <c r="E30" i="231"/>
  <c r="D50" i="205"/>
  <c r="D38" i="231"/>
  <c r="C50" i="206"/>
  <c r="J12" i="231"/>
  <c r="I7" i="207"/>
  <c r="J20" i="231"/>
  <c r="C50" i="208"/>
  <c r="I29" i="231"/>
  <c r="K29" i="231"/>
  <c r="D50" i="221"/>
  <c r="J39" i="231"/>
  <c r="O11" i="231"/>
  <c r="O21" i="231"/>
  <c r="Q21" i="231"/>
  <c r="O30" i="231"/>
  <c r="Q29" i="231"/>
  <c r="E50" i="214"/>
  <c r="P38" i="231"/>
  <c r="D50" i="215"/>
  <c r="U12" i="231"/>
  <c r="W11" i="231"/>
  <c r="E50" i="216"/>
  <c r="W21" i="231"/>
  <c r="E50" i="217"/>
  <c r="W30" i="231"/>
  <c r="E50" i="219"/>
  <c r="AA12" i="231"/>
  <c r="C50" i="220"/>
  <c r="C42" i="220"/>
  <c r="C50" i="222"/>
  <c r="I48" i="222" s="1"/>
  <c r="C42" i="222"/>
  <c r="C43" i="222" s="1"/>
  <c r="B54" i="222" s="1"/>
  <c r="D50" i="223"/>
  <c r="D50" i="224"/>
  <c r="V14" i="233"/>
  <c r="AB14" i="233" s="1"/>
  <c r="D42" i="224"/>
  <c r="G58" i="236"/>
  <c r="E42" i="223"/>
  <c r="C75" i="223"/>
  <c r="C76" i="223" s="1"/>
  <c r="D42" i="222"/>
  <c r="L58" i="236"/>
  <c r="K58" i="236"/>
  <c r="K58" i="235"/>
  <c r="H58" i="235"/>
  <c r="G76" i="137"/>
  <c r="D42" i="220"/>
  <c r="H9" i="220"/>
  <c r="I8" i="220"/>
  <c r="H11" i="220"/>
  <c r="C64" i="220" s="1"/>
  <c r="H10" i="220"/>
  <c r="D42" i="218"/>
  <c r="I48" i="218"/>
  <c r="I49" i="218" s="1"/>
  <c r="C63" i="218" s="1"/>
  <c r="C66" i="218" s="1"/>
  <c r="I48" i="217"/>
  <c r="C42" i="216"/>
  <c r="C43" i="216" s="1"/>
  <c r="B54" i="216" s="1"/>
  <c r="D42" i="216"/>
  <c r="I48" i="215"/>
  <c r="B75" i="215"/>
  <c r="B76" i="215" s="1"/>
  <c r="D42" i="213"/>
  <c r="C43" i="212"/>
  <c r="B54" i="212" s="1"/>
  <c r="D54" i="212"/>
  <c r="B75" i="211"/>
  <c r="B76" i="211" s="1"/>
  <c r="I48" i="221"/>
  <c r="G7" i="221"/>
  <c r="H11" i="221"/>
  <c r="C64" i="221" s="1"/>
  <c r="G8" i="221"/>
  <c r="H10" i="221"/>
  <c r="E42" i="208"/>
  <c r="C43" i="208" s="1"/>
  <c r="B54" i="208" s="1"/>
  <c r="C44" i="206"/>
  <c r="C59" i="206" s="1"/>
  <c r="H11" i="206"/>
  <c r="C64" i="206" s="1"/>
  <c r="I48" i="205"/>
  <c r="D42" i="204"/>
  <c r="I48" i="204"/>
  <c r="H11" i="256"/>
  <c r="C64" i="256" s="1"/>
  <c r="C44" i="252"/>
  <c r="C59" i="252" s="1"/>
  <c r="I48" i="251"/>
  <c r="D42" i="249"/>
  <c r="E42" i="248"/>
  <c r="C62" i="248"/>
  <c r="D42" i="245"/>
  <c r="C44" i="245" s="1"/>
  <c r="C59" i="245" s="1"/>
  <c r="C42" i="244"/>
  <c r="C62" i="244"/>
  <c r="D42" i="240"/>
  <c r="D42" i="241"/>
  <c r="I48" i="242"/>
  <c r="F54" i="242" s="1"/>
  <c r="D54" i="241"/>
  <c r="H10" i="240"/>
  <c r="L67" i="235"/>
  <c r="L40" i="235"/>
  <c r="Y9" i="231"/>
  <c r="C62" i="218"/>
  <c r="D8" i="234"/>
  <c r="A4" i="222"/>
  <c r="B76" i="204"/>
  <c r="C44" i="216"/>
  <c r="C59" i="216" s="1"/>
  <c r="J78" i="137"/>
  <c r="J58" i="236"/>
  <c r="F11" i="233"/>
  <c r="K10" i="236"/>
  <c r="C43" i="218"/>
  <c r="B54" i="218" s="1"/>
  <c r="C44" i="218"/>
  <c r="C59" i="218" s="1"/>
  <c r="H68" i="218" s="1"/>
  <c r="C44" i="251"/>
  <c r="C59" i="251" s="1"/>
  <c r="C43" i="251"/>
  <c r="B54" i="251" s="1"/>
  <c r="C43" i="211"/>
  <c r="B54" i="211" s="1"/>
  <c r="C44" i="211"/>
  <c r="C59" i="211" s="1"/>
  <c r="F12" i="255"/>
  <c r="I12" i="255"/>
  <c r="C44" i="241"/>
  <c r="C59" i="241" s="1"/>
  <c r="C43" i="241"/>
  <c r="B54" i="241" s="1"/>
  <c r="C4" i="202"/>
  <c r="C4" i="201"/>
  <c r="D6" i="235"/>
  <c r="F4" i="223"/>
  <c r="C44" i="219"/>
  <c r="C59" i="219" s="1"/>
  <c r="C43" i="215"/>
  <c r="B54" i="215" s="1"/>
  <c r="C44" i="215"/>
  <c r="C59" i="215" s="1"/>
  <c r="L77" i="137"/>
  <c r="L58" i="235"/>
  <c r="C76" i="248"/>
  <c r="C43" i="207"/>
  <c r="B54" i="207" s="1"/>
  <c r="C44" i="207"/>
  <c r="C59" i="207" s="1"/>
  <c r="C43" i="221"/>
  <c r="B54" i="221" s="1"/>
  <c r="C44" i="221"/>
  <c r="C59" i="221" s="1"/>
  <c r="C76" i="244"/>
  <c r="C44" i="248"/>
  <c r="C59" i="248" s="1"/>
  <c r="C43" i="248"/>
  <c r="B54" i="248" s="1"/>
  <c r="C44" i="213"/>
  <c r="C59" i="213" s="1"/>
  <c r="C44" i="220"/>
  <c r="C59" i="220" s="1"/>
  <c r="C43" i="220"/>
  <c r="B54" i="220" s="1"/>
  <c r="C44" i="222"/>
  <c r="C59" i="222" s="1"/>
  <c r="K10" i="234"/>
  <c r="Y18" i="231"/>
  <c r="C15" i="208"/>
  <c r="C15" i="221"/>
  <c r="A4" i="224"/>
  <c r="D8" i="236"/>
  <c r="D15" i="234"/>
  <c r="I7" i="222"/>
  <c r="C44" i="243"/>
  <c r="C59" i="243" s="1"/>
  <c r="C43" i="243"/>
  <c r="B54" i="243" s="1"/>
  <c r="D42" i="242"/>
  <c r="E42" i="247"/>
  <c r="C43" i="249"/>
  <c r="B54" i="249" s="1"/>
  <c r="C44" i="249"/>
  <c r="C59" i="249" s="1"/>
  <c r="C44" i="256"/>
  <c r="C59" i="256" s="1"/>
  <c r="C43" i="256"/>
  <c r="B54" i="256" s="1"/>
  <c r="C44" i="240"/>
  <c r="C59" i="240" s="1"/>
  <c r="C43" i="240"/>
  <c r="B54" i="240" s="1"/>
  <c r="L40" i="236"/>
  <c r="L67" i="236"/>
  <c r="L68" i="234"/>
  <c r="L40" i="234"/>
  <c r="E24" i="235"/>
  <c r="C4" i="221"/>
  <c r="D16" i="236"/>
  <c r="G8" i="224"/>
  <c r="C43" i="204"/>
  <c r="B54" i="204" s="1"/>
  <c r="C44" i="204"/>
  <c r="C59" i="204" s="1"/>
  <c r="C43" i="245"/>
  <c r="B54" i="245" s="1"/>
  <c r="U13" i="255"/>
  <c r="V13" i="255"/>
  <c r="C44" i="205"/>
  <c r="C59" i="205" s="1"/>
  <c r="C43" i="205"/>
  <c r="B54" i="205" s="1"/>
  <c r="I48" i="241"/>
  <c r="I48" i="249"/>
  <c r="I48" i="256"/>
  <c r="I48" i="202"/>
  <c r="C42" i="223"/>
  <c r="I48" i="243"/>
  <c r="I48" i="248"/>
  <c r="I48" i="252"/>
  <c r="I48" i="246"/>
  <c r="C15" i="223"/>
  <c r="C61" i="251"/>
  <c r="C61" i="249"/>
  <c r="C61" i="246"/>
  <c r="C61" i="245"/>
  <c r="C61" i="242"/>
  <c r="C61" i="241"/>
  <c r="C61" i="208"/>
  <c r="C61" i="221"/>
  <c r="I48" i="212"/>
  <c r="I48" i="214"/>
  <c r="I48" i="216"/>
  <c r="I48" i="219"/>
  <c r="I48" i="244"/>
  <c r="I48" i="245"/>
  <c r="I48" i="247"/>
  <c r="F54" i="205"/>
  <c r="I48" i="223"/>
  <c r="I48" i="224"/>
  <c r="I48" i="206"/>
  <c r="I48" i="220"/>
  <c r="C61" i="204"/>
  <c r="C61" i="205"/>
  <c r="G20" i="256"/>
  <c r="I20" i="240"/>
  <c r="G20" i="241"/>
  <c r="I20" i="242"/>
  <c r="G20" i="243"/>
  <c r="I20" i="244"/>
  <c r="G20" i="245"/>
  <c r="I20" i="246"/>
  <c r="G20" i="247"/>
  <c r="I20" i="248"/>
  <c r="G20" i="249"/>
  <c r="I20" i="256"/>
  <c r="D20" i="240"/>
  <c r="D20" i="242"/>
  <c r="D20" i="244"/>
  <c r="D20" i="246"/>
  <c r="D20" i="248"/>
  <c r="D20" i="251"/>
  <c r="D20" i="202"/>
  <c r="D20" i="256"/>
  <c r="G20" i="240"/>
  <c r="I20" i="241"/>
  <c r="G20" i="242"/>
  <c r="I20" i="243"/>
  <c r="G20" i="244"/>
  <c r="I20" i="245"/>
  <c r="G20" i="246"/>
  <c r="I20" i="247"/>
  <c r="G20" i="248"/>
  <c r="D20" i="241"/>
  <c r="G20" i="220"/>
  <c r="D50" i="201"/>
  <c r="D20" i="201"/>
  <c r="G20" i="204"/>
  <c r="I20" i="205"/>
  <c r="G20" i="206"/>
  <c r="I20" i="207"/>
  <c r="G20" i="208"/>
  <c r="D20" i="243"/>
  <c r="I20" i="249"/>
  <c r="I20" i="252"/>
  <c r="I20" i="202"/>
  <c r="C50" i="201"/>
  <c r="G20" i="201"/>
  <c r="D20" i="205"/>
  <c r="D20" i="207"/>
  <c r="D20" i="221"/>
  <c r="D20" i="245"/>
  <c r="D20" i="249"/>
  <c r="I20" i="251"/>
  <c r="D20" i="252"/>
  <c r="G20" i="202"/>
  <c r="I20" i="220"/>
  <c r="I20" i="204"/>
  <c r="G20" i="205"/>
  <c r="I20" i="206"/>
  <c r="G20" i="207"/>
  <c r="I20" i="208"/>
  <c r="G20" i="221"/>
  <c r="D20" i="211"/>
  <c r="D20" i="213"/>
  <c r="D20" i="215"/>
  <c r="D20" i="217"/>
  <c r="D20" i="247"/>
  <c r="I20" i="201"/>
  <c r="D20" i="212"/>
  <c r="D20" i="214"/>
  <c r="D20" i="216"/>
  <c r="D20" i="219"/>
  <c r="C62" i="219"/>
  <c r="C62" i="216"/>
  <c r="C62" i="215"/>
  <c r="C62" i="213"/>
  <c r="C62" i="212"/>
  <c r="C62" i="211"/>
  <c r="G20" i="251"/>
  <c r="H11" i="246"/>
  <c r="C64" i="246" s="1"/>
  <c r="C62" i="256"/>
  <c r="C15" i="214"/>
  <c r="C15" i="213"/>
  <c r="W7" i="233"/>
  <c r="W17" i="233"/>
  <c r="W13" i="233"/>
  <c r="W9" i="233"/>
  <c r="V7" i="233"/>
  <c r="AB7" i="233" s="1"/>
  <c r="U17" i="233"/>
  <c r="AA17" i="233" s="1"/>
  <c r="U13" i="233"/>
  <c r="AA13" i="233" s="1"/>
  <c r="U9" i="233"/>
  <c r="AA9" i="233" s="1"/>
  <c r="I20" i="221"/>
  <c r="C62" i="208"/>
  <c r="C62" i="206"/>
  <c r="C15" i="205"/>
  <c r="C62" i="204"/>
  <c r="D20" i="220"/>
  <c r="H10" i="251"/>
  <c r="W20" i="233"/>
  <c r="W16" i="233"/>
  <c r="W12" i="233"/>
  <c r="V20" i="233"/>
  <c r="AB20" i="233" s="1"/>
  <c r="V16" i="233"/>
  <c r="AB16" i="233" s="1"/>
  <c r="V12" i="233"/>
  <c r="AB12" i="233" s="1"/>
  <c r="V8" i="233"/>
  <c r="AB8" i="233" s="1"/>
  <c r="G20" i="219"/>
  <c r="H10" i="219"/>
  <c r="H11" i="219"/>
  <c r="C64" i="219" s="1"/>
  <c r="G20" i="217"/>
  <c r="H11" i="217"/>
  <c r="C64" i="217" s="1"/>
  <c r="H10" i="217"/>
  <c r="F54" i="217" s="1"/>
  <c r="G20" i="216"/>
  <c r="H10" i="216"/>
  <c r="H11" i="216"/>
  <c r="C64" i="216" s="1"/>
  <c r="G20" i="215"/>
  <c r="H11" i="215"/>
  <c r="C64" i="215" s="1"/>
  <c r="H10" i="215"/>
  <c r="G20" i="214"/>
  <c r="H10" i="214"/>
  <c r="H11" i="214"/>
  <c r="C64" i="214" s="1"/>
  <c r="G20" i="213"/>
  <c r="H11" i="213"/>
  <c r="C64" i="213" s="1"/>
  <c r="H10" i="213"/>
  <c r="G20" i="212"/>
  <c r="H10" i="212"/>
  <c r="H11" i="212"/>
  <c r="C64" i="212" s="1"/>
  <c r="G20" i="211"/>
  <c r="D20" i="208"/>
  <c r="D20" i="206"/>
  <c r="D20" i="204"/>
  <c r="E50" i="201"/>
  <c r="C62" i="252"/>
  <c r="T7" i="233"/>
  <c r="Z7" i="233" s="1"/>
  <c r="V17" i="233"/>
  <c r="AB17" i="233" s="1"/>
  <c r="V13" i="233"/>
  <c r="AB13" i="233" s="1"/>
  <c r="V9" i="233"/>
  <c r="AB9" i="233" s="1"/>
  <c r="I20" i="219"/>
  <c r="I20" i="217"/>
  <c r="I20" i="216"/>
  <c r="I20" i="215"/>
  <c r="I20" i="214"/>
  <c r="C61" i="214"/>
  <c r="I20" i="213"/>
  <c r="I20" i="212"/>
  <c r="I20" i="211"/>
  <c r="H10" i="208"/>
  <c r="H10" i="206"/>
  <c r="H10" i="204"/>
  <c r="H10" i="202"/>
  <c r="D54" i="202"/>
  <c r="B75" i="202"/>
  <c r="G20" i="252"/>
  <c r="H10" i="211"/>
  <c r="C62" i="201"/>
  <c r="C62" i="220"/>
  <c r="C62" i="241"/>
  <c r="E50" i="240"/>
  <c r="I48" i="240" s="1"/>
  <c r="H10" i="201"/>
  <c r="H11" i="201"/>
  <c r="C64" i="201" s="1"/>
  <c r="C62" i="202"/>
  <c r="C62" i="249"/>
  <c r="H10" i="243"/>
  <c r="H10" i="249"/>
  <c r="C62" i="247"/>
  <c r="H11" i="244"/>
  <c r="C64" i="244" s="1"/>
  <c r="H10" i="241"/>
  <c r="H10" i="252"/>
  <c r="H11" i="251"/>
  <c r="C64" i="251" s="1"/>
  <c r="H10" i="247"/>
  <c r="H11" i="242"/>
  <c r="C64" i="242" s="1"/>
  <c r="H11" i="202"/>
  <c r="C64" i="202" s="1"/>
  <c r="H11" i="248"/>
  <c r="C64" i="248" s="1"/>
  <c r="H10" i="245"/>
  <c r="C62" i="243"/>
  <c r="C62" i="240"/>
  <c r="I49" i="207" l="1"/>
  <c r="C63" i="207" s="1"/>
  <c r="H54" i="207"/>
  <c r="D75" i="207" s="1"/>
  <c r="G75" i="258"/>
  <c r="G75" i="137"/>
  <c r="K72" i="258"/>
  <c r="K72" i="137"/>
  <c r="G69" i="258"/>
  <c r="G69" i="137"/>
  <c r="I66" i="137"/>
  <c r="I66" i="258"/>
  <c r="G61" i="258"/>
  <c r="G61" i="137"/>
  <c r="I59" i="258"/>
  <c r="I59" i="137"/>
  <c r="H73" i="258"/>
  <c r="H73" i="137"/>
  <c r="I69" i="258"/>
  <c r="I69" i="137"/>
  <c r="J67" i="137"/>
  <c r="J67" i="258"/>
  <c r="J65" i="258"/>
  <c r="J65" i="137"/>
  <c r="L62" i="137"/>
  <c r="L62" i="258"/>
  <c r="K63" i="258"/>
  <c r="K63" i="137"/>
  <c r="H62" i="137"/>
  <c r="H62" i="258"/>
  <c r="K59" i="258"/>
  <c r="K59" i="137"/>
  <c r="I49" i="208"/>
  <c r="C63" i="208" s="1"/>
  <c r="K68" i="137"/>
  <c r="K68" i="258"/>
  <c r="J64" i="258"/>
  <c r="J64" i="137"/>
  <c r="C44" i="201"/>
  <c r="C59" i="201" s="1"/>
  <c r="C43" i="201"/>
  <c r="B54" i="201" s="1"/>
  <c r="J76" i="137"/>
  <c r="J76" i="258"/>
  <c r="J59" i="234"/>
  <c r="C44" i="217"/>
  <c r="C59" i="217" s="1"/>
  <c r="C43" i="217"/>
  <c r="B54" i="217" s="1"/>
  <c r="H54" i="217"/>
  <c r="D75" i="217" s="1"/>
  <c r="C43" i="224"/>
  <c r="B54" i="224" s="1"/>
  <c r="K73" i="137"/>
  <c r="K73" i="258"/>
  <c r="L71" i="137"/>
  <c r="L71" i="258"/>
  <c r="G68" i="137"/>
  <c r="G68" i="258"/>
  <c r="L65" i="258"/>
  <c r="L65" i="137"/>
  <c r="I60" i="137"/>
  <c r="I60" i="258"/>
  <c r="J74" i="137"/>
  <c r="J74" i="258"/>
  <c r="H70" i="137"/>
  <c r="H70" i="258"/>
  <c r="I68" i="137"/>
  <c r="I68" i="258"/>
  <c r="K66" i="258"/>
  <c r="K66" i="137"/>
  <c r="L64" i="258"/>
  <c r="L64" i="137"/>
  <c r="G63" i="258"/>
  <c r="G63" i="137"/>
  <c r="K60" i="258"/>
  <c r="K60" i="137"/>
  <c r="F54" i="211"/>
  <c r="I49" i="211"/>
  <c r="C63" i="211" s="1"/>
  <c r="I49" i="215"/>
  <c r="C63" i="215" s="1"/>
  <c r="J70" i="137"/>
  <c r="J70" i="258"/>
  <c r="J62" i="258"/>
  <c r="J62" i="137"/>
  <c r="J71" i="137"/>
  <c r="J71" i="258"/>
  <c r="I71" i="137"/>
  <c r="I71" i="258"/>
  <c r="F54" i="208"/>
  <c r="H54" i="208" s="1"/>
  <c r="D75" i="208" s="1"/>
  <c r="D76" i="208" s="1"/>
  <c r="E76" i="208" s="1"/>
  <c r="G71" i="258"/>
  <c r="G71" i="137"/>
  <c r="L69" i="258"/>
  <c r="L69" i="137"/>
  <c r="H67" i="258"/>
  <c r="H67" i="137"/>
  <c r="H65" i="258"/>
  <c r="H65" i="137"/>
  <c r="I63" i="258"/>
  <c r="I63" i="137"/>
  <c r="K61" i="258"/>
  <c r="K61" i="137"/>
  <c r="J77" i="258"/>
  <c r="J58" i="235"/>
  <c r="J77" i="137"/>
  <c r="K75" i="258"/>
  <c r="K75" i="137"/>
  <c r="H72" i="137"/>
  <c r="H72" i="258"/>
  <c r="G66" i="258"/>
  <c r="G66" i="137"/>
  <c r="H64" i="258"/>
  <c r="H64" i="137"/>
  <c r="I61" i="137"/>
  <c r="I61" i="258"/>
  <c r="G60" i="258"/>
  <c r="G60" i="137"/>
  <c r="F54" i="218"/>
  <c r="H54" i="218" s="1"/>
  <c r="D75" i="218" s="1"/>
  <c r="H66" i="218"/>
  <c r="I49" i="217"/>
  <c r="C63" i="217" s="1"/>
  <c r="C66" i="215"/>
  <c r="H67" i="215" s="1"/>
  <c r="F54" i="221"/>
  <c r="H54" i="221" s="1"/>
  <c r="D75" i="221" s="1"/>
  <c r="D76" i="221" s="1"/>
  <c r="E76" i="221" s="1"/>
  <c r="I49" i="221"/>
  <c r="C63" i="221" s="1"/>
  <c r="C66" i="221" s="1"/>
  <c r="I49" i="205"/>
  <c r="C63" i="205" s="1"/>
  <c r="C66" i="205" s="1"/>
  <c r="F54" i="204"/>
  <c r="I49" i="204"/>
  <c r="C63" i="204" s="1"/>
  <c r="C66" i="204" s="1"/>
  <c r="H62" i="204" s="1"/>
  <c r="F54" i="251"/>
  <c r="H54" i="251" s="1"/>
  <c r="D75" i="251" s="1"/>
  <c r="I49" i="251"/>
  <c r="C63" i="251" s="1"/>
  <c r="C66" i="251" s="1"/>
  <c r="H67" i="251" s="1"/>
  <c r="C44" i="244"/>
  <c r="C59" i="244" s="1"/>
  <c r="C43" i="244"/>
  <c r="B54" i="244" s="1"/>
  <c r="I49" i="242"/>
  <c r="C63" i="242" s="1"/>
  <c r="C66" i="242" s="1"/>
  <c r="H54" i="205"/>
  <c r="D75" i="205" s="1"/>
  <c r="D76" i="205" s="1"/>
  <c r="E76" i="205" s="1"/>
  <c r="H54" i="211"/>
  <c r="D75" i="211" s="1"/>
  <c r="D76" i="211" s="1"/>
  <c r="E76" i="211" s="1"/>
  <c r="C66" i="208"/>
  <c r="H62" i="208" s="1"/>
  <c r="D76" i="217"/>
  <c r="E76" i="217" s="1"/>
  <c r="E75" i="217"/>
  <c r="F75" i="217" s="1"/>
  <c r="D72" i="258" s="1"/>
  <c r="M72" i="258" s="1"/>
  <c r="C62" i="205"/>
  <c r="G70" i="205" s="1"/>
  <c r="I49" i="243"/>
  <c r="C63" i="243" s="1"/>
  <c r="F54" i="243"/>
  <c r="I49" i="256"/>
  <c r="C63" i="256" s="1"/>
  <c r="F54" i="256"/>
  <c r="H54" i="256" s="1"/>
  <c r="D75" i="256" s="1"/>
  <c r="F54" i="223"/>
  <c r="I49" i="223"/>
  <c r="C63" i="223" s="1"/>
  <c r="I49" i="244"/>
  <c r="C63" i="244" s="1"/>
  <c r="F54" i="244"/>
  <c r="I49" i="214"/>
  <c r="C63" i="214" s="1"/>
  <c r="F54" i="214"/>
  <c r="H54" i="214" s="1"/>
  <c r="D75" i="214" s="1"/>
  <c r="C62" i="246"/>
  <c r="I49" i="246"/>
  <c r="C63" i="246" s="1"/>
  <c r="F54" i="246"/>
  <c r="H54" i="246" s="1"/>
  <c r="D75" i="246" s="1"/>
  <c r="I49" i="213"/>
  <c r="C63" i="213" s="1"/>
  <c r="F54" i="213"/>
  <c r="H54" i="213" s="1"/>
  <c r="D75" i="213" s="1"/>
  <c r="I49" i="249"/>
  <c r="C63" i="249" s="1"/>
  <c r="F54" i="249"/>
  <c r="H54" i="249" s="1"/>
  <c r="D75" i="249" s="1"/>
  <c r="H59" i="208"/>
  <c r="F54" i="215"/>
  <c r="H54" i="215" s="1"/>
  <c r="D75" i="215" s="1"/>
  <c r="I49" i="240"/>
  <c r="C63" i="240" s="1"/>
  <c r="F54" i="240"/>
  <c r="H54" i="240" s="1"/>
  <c r="D75" i="240" s="1"/>
  <c r="F54" i="224"/>
  <c r="I49" i="224"/>
  <c r="C63" i="224" s="1"/>
  <c r="I49" i="245"/>
  <c r="C63" i="245" s="1"/>
  <c r="C66" i="245" s="1"/>
  <c r="F54" i="245"/>
  <c r="H54" i="245" s="1"/>
  <c r="D75" i="245" s="1"/>
  <c r="C62" i="221"/>
  <c r="H67" i="221" s="1"/>
  <c r="E75" i="207"/>
  <c r="F75" i="207" s="1"/>
  <c r="D63" i="258" s="1"/>
  <c r="M63" i="258" s="1"/>
  <c r="D76" i="207"/>
  <c r="E76" i="207" s="1"/>
  <c r="H62" i="218"/>
  <c r="C62" i="245"/>
  <c r="I48" i="201"/>
  <c r="C66" i="211"/>
  <c r="H62" i="211" s="1"/>
  <c r="I49" i="220"/>
  <c r="C63" i="220" s="1"/>
  <c r="F54" i="220"/>
  <c r="H54" i="220" s="1"/>
  <c r="D75" i="220" s="1"/>
  <c r="I49" i="212"/>
  <c r="C63" i="212" s="1"/>
  <c r="F54" i="212"/>
  <c r="H54" i="212" s="1"/>
  <c r="D75" i="212" s="1"/>
  <c r="I49" i="252"/>
  <c r="C63" i="252" s="1"/>
  <c r="F54" i="252"/>
  <c r="H54" i="252" s="1"/>
  <c r="D75" i="252" s="1"/>
  <c r="I49" i="202"/>
  <c r="C63" i="202" s="1"/>
  <c r="C66" i="202" s="1"/>
  <c r="G70" i="202" s="1"/>
  <c r="F54" i="202"/>
  <c r="H54" i="202" s="1"/>
  <c r="D75" i="202" s="1"/>
  <c r="D76" i="202" s="1"/>
  <c r="I49" i="241"/>
  <c r="C63" i="241" s="1"/>
  <c r="F54" i="241"/>
  <c r="H54" i="241" s="1"/>
  <c r="D75" i="241" s="1"/>
  <c r="C43" i="242"/>
  <c r="B54" i="242" s="1"/>
  <c r="H54" i="242" s="1"/>
  <c r="D75" i="242" s="1"/>
  <c r="C44" i="242"/>
  <c r="C59" i="242" s="1"/>
  <c r="H67" i="208"/>
  <c r="B76" i="202"/>
  <c r="I49" i="216"/>
  <c r="C63" i="216" s="1"/>
  <c r="F54" i="216"/>
  <c r="H54" i="216" s="1"/>
  <c r="D75" i="216" s="1"/>
  <c r="F54" i="222"/>
  <c r="H54" i="222" s="1"/>
  <c r="D75" i="222" s="1"/>
  <c r="I49" i="222"/>
  <c r="C63" i="222" s="1"/>
  <c r="H54" i="204"/>
  <c r="D75" i="204" s="1"/>
  <c r="H68" i="215"/>
  <c r="C66" i="217"/>
  <c r="C62" i="214"/>
  <c r="I49" i="206"/>
  <c r="C63" i="206" s="1"/>
  <c r="F54" i="206"/>
  <c r="H54" i="206" s="1"/>
  <c r="D75" i="206" s="1"/>
  <c r="I49" i="247"/>
  <c r="C63" i="247" s="1"/>
  <c r="C66" i="247" s="1"/>
  <c r="F54" i="247"/>
  <c r="I49" i="219"/>
  <c r="C63" i="219" s="1"/>
  <c r="F54" i="219"/>
  <c r="H54" i="219" s="1"/>
  <c r="D75" i="219" s="1"/>
  <c r="C62" i="242"/>
  <c r="C62" i="251"/>
  <c r="I49" i="248"/>
  <c r="C63" i="248" s="1"/>
  <c r="F54" i="248"/>
  <c r="H54" i="248" s="1"/>
  <c r="D75" i="248" s="1"/>
  <c r="C44" i="223"/>
  <c r="C59" i="223" s="1"/>
  <c r="C43" i="223"/>
  <c r="B54" i="223" s="1"/>
  <c r="C66" i="207"/>
  <c r="H67" i="207" s="1"/>
  <c r="G70" i="204"/>
  <c r="H59" i="204"/>
  <c r="H68" i="204"/>
  <c r="C43" i="247"/>
  <c r="B54" i="247" s="1"/>
  <c r="C44" i="247"/>
  <c r="C59" i="247" s="1"/>
  <c r="H54" i="243"/>
  <c r="D75" i="243" s="1"/>
  <c r="H67" i="218"/>
  <c r="G70" i="218"/>
  <c r="G62" i="218" s="1"/>
  <c r="H59" i="218"/>
  <c r="H68" i="202"/>
  <c r="H54" i="244" l="1"/>
  <c r="D75" i="244" s="1"/>
  <c r="E75" i="208"/>
  <c r="F75" i="208" s="1"/>
  <c r="D64" i="258" s="1"/>
  <c r="M64" i="258" s="1"/>
  <c r="H54" i="224"/>
  <c r="E75" i="224" s="1"/>
  <c r="H54" i="223"/>
  <c r="D75" i="223" s="1"/>
  <c r="D76" i="223" s="1"/>
  <c r="E76" i="223" s="1"/>
  <c r="D76" i="218"/>
  <c r="E76" i="218" s="1"/>
  <c r="E75" i="218"/>
  <c r="F75" i="218" s="1"/>
  <c r="D73" i="258" s="1"/>
  <c r="M73" i="258" s="1"/>
  <c r="G70" i="215"/>
  <c r="H60" i="215" s="1"/>
  <c r="H62" i="215"/>
  <c r="H59" i="215"/>
  <c r="J61" i="215" s="1"/>
  <c r="K61" i="215" s="1"/>
  <c r="H66" i="215"/>
  <c r="E75" i="211"/>
  <c r="F75" i="211" s="1"/>
  <c r="D66" i="258" s="1"/>
  <c r="M66" i="258" s="1"/>
  <c r="H59" i="211"/>
  <c r="H67" i="211"/>
  <c r="G70" i="211"/>
  <c r="J68" i="211" s="1"/>
  <c r="K68" i="211" s="1"/>
  <c r="L68" i="211" s="1"/>
  <c r="H68" i="211"/>
  <c r="E75" i="221"/>
  <c r="F75" i="221" s="1"/>
  <c r="D65" i="258" s="1"/>
  <c r="M65" i="258" s="1"/>
  <c r="H68" i="208"/>
  <c r="G70" i="208"/>
  <c r="H60" i="208" s="1"/>
  <c r="H63" i="205"/>
  <c r="E75" i="205"/>
  <c r="F75" i="205" s="1"/>
  <c r="H68" i="205"/>
  <c r="H63" i="204"/>
  <c r="H67" i="204"/>
  <c r="H67" i="202"/>
  <c r="H54" i="247"/>
  <c r="D75" i="247" s="1"/>
  <c r="E75" i="247" s="1"/>
  <c r="F75" i="247" s="1"/>
  <c r="E76" i="202"/>
  <c r="H59" i="207"/>
  <c r="H62" i="207"/>
  <c r="H67" i="205"/>
  <c r="G59" i="218"/>
  <c r="G70" i="207"/>
  <c r="J68" i="207" s="1"/>
  <c r="K68" i="207" s="1"/>
  <c r="L68" i="207" s="1"/>
  <c r="H59" i="205"/>
  <c r="H61" i="204"/>
  <c r="G62" i="208"/>
  <c r="G62" i="204"/>
  <c r="H66" i="245"/>
  <c r="D76" i="248"/>
  <c r="E76" i="248" s="1"/>
  <c r="E75" i="248"/>
  <c r="F75" i="248" s="1"/>
  <c r="D76" i="219"/>
  <c r="E76" i="219" s="1"/>
  <c r="E75" i="219"/>
  <c r="F75" i="219" s="1"/>
  <c r="D74" i="258" s="1"/>
  <c r="M74" i="258" s="1"/>
  <c r="D76" i="222"/>
  <c r="E76" i="222" s="1"/>
  <c r="E75" i="222"/>
  <c r="F75" i="222" s="1"/>
  <c r="D76" i="258" s="1"/>
  <c r="M76" i="258" s="1"/>
  <c r="J68" i="202"/>
  <c r="K68" i="202" s="1"/>
  <c r="L68" i="202" s="1"/>
  <c r="H60" i="202"/>
  <c r="G67" i="202"/>
  <c r="H65" i="202"/>
  <c r="H61" i="202"/>
  <c r="G68" i="202"/>
  <c r="G59" i="202"/>
  <c r="G62" i="202"/>
  <c r="H64" i="202"/>
  <c r="H66" i="247"/>
  <c r="H62" i="247"/>
  <c r="D76" i="220"/>
  <c r="E76" i="220" s="1"/>
  <c r="E75" i="220"/>
  <c r="F75" i="220" s="1"/>
  <c r="F76" i="220" s="1"/>
  <c r="E75" i="245"/>
  <c r="F75" i="245" s="1"/>
  <c r="D76" i="245"/>
  <c r="E76" i="245" s="1"/>
  <c r="D76" i="206"/>
  <c r="E76" i="206" s="1"/>
  <c r="E75" i="206"/>
  <c r="F75" i="206" s="1"/>
  <c r="D62" i="258" s="1"/>
  <c r="M62" i="258" s="1"/>
  <c r="D76" i="204"/>
  <c r="E76" i="204" s="1"/>
  <c r="E75" i="204"/>
  <c r="F75" i="204" s="1"/>
  <c r="D60" i="258" s="1"/>
  <c r="M60" i="258" s="1"/>
  <c r="E75" i="212"/>
  <c r="F75" i="212" s="1"/>
  <c r="D67" i="258" s="1"/>
  <c r="M67" i="258" s="1"/>
  <c r="D76" i="212"/>
  <c r="E76" i="212" s="1"/>
  <c r="C66" i="224"/>
  <c r="H66" i="242"/>
  <c r="C66" i="213"/>
  <c r="D76" i="256"/>
  <c r="E76" i="256" s="1"/>
  <c r="E75" i="256"/>
  <c r="F75" i="256" s="1"/>
  <c r="F76" i="256" s="1"/>
  <c r="H62" i="251"/>
  <c r="C66" i="219"/>
  <c r="C66" i="222"/>
  <c r="H68" i="251"/>
  <c r="G70" i="251"/>
  <c r="G62" i="251" s="1"/>
  <c r="D76" i="242"/>
  <c r="E76" i="242" s="1"/>
  <c r="E75" i="242"/>
  <c r="F75" i="242" s="1"/>
  <c r="C66" i="241"/>
  <c r="C66" i="212"/>
  <c r="H66" i="211"/>
  <c r="H62" i="202"/>
  <c r="H62" i="221"/>
  <c r="H68" i="221"/>
  <c r="G70" i="221"/>
  <c r="G62" i="221" s="1"/>
  <c r="G59" i="205"/>
  <c r="D76" i="246"/>
  <c r="E76" i="246" s="1"/>
  <c r="E75" i="246"/>
  <c r="F75" i="246" s="1"/>
  <c r="C66" i="244"/>
  <c r="D64" i="137"/>
  <c r="F76" i="208"/>
  <c r="H62" i="205"/>
  <c r="G62" i="205"/>
  <c r="C66" i="206"/>
  <c r="E75" i="241"/>
  <c r="F75" i="241" s="1"/>
  <c r="D76" i="241"/>
  <c r="E76" i="241" s="1"/>
  <c r="G70" i="242"/>
  <c r="G62" i="242" s="1"/>
  <c r="H67" i="242"/>
  <c r="H68" i="242"/>
  <c r="H59" i="242"/>
  <c r="D76" i="216"/>
  <c r="E76" i="216" s="1"/>
  <c r="E75" i="216"/>
  <c r="F75" i="216" s="1"/>
  <c r="D71" i="258" s="1"/>
  <c r="M71" i="258" s="1"/>
  <c r="C66" i="240"/>
  <c r="D76" i="244"/>
  <c r="E76" i="244" s="1"/>
  <c r="E75" i="244"/>
  <c r="F75" i="244" s="1"/>
  <c r="C66" i="256"/>
  <c r="H61" i="205"/>
  <c r="H66" i="202"/>
  <c r="G66" i="202"/>
  <c r="H59" i="202"/>
  <c r="J68" i="208"/>
  <c r="K68" i="208" s="1"/>
  <c r="L68" i="208" s="1"/>
  <c r="G68" i="208"/>
  <c r="J68" i="204"/>
  <c r="K68" i="204" s="1"/>
  <c r="L68" i="204" s="1"/>
  <c r="H60" i="204"/>
  <c r="G68" i="204"/>
  <c r="G67" i="204"/>
  <c r="G71" i="204"/>
  <c r="H64" i="204"/>
  <c r="H65" i="204"/>
  <c r="H66" i="251"/>
  <c r="D76" i="249"/>
  <c r="E76" i="249" s="1"/>
  <c r="E75" i="249"/>
  <c r="F75" i="249" s="1"/>
  <c r="I49" i="201"/>
  <c r="C63" i="201" s="1"/>
  <c r="F54" i="201"/>
  <c r="H54" i="201" s="1"/>
  <c r="D75" i="201" s="1"/>
  <c r="D66" i="137"/>
  <c r="F76" i="211"/>
  <c r="F76" i="207"/>
  <c r="D63" i="137"/>
  <c r="D76" i="251"/>
  <c r="E76" i="251" s="1"/>
  <c r="E75" i="251"/>
  <c r="F75" i="251" s="1"/>
  <c r="C66" i="249"/>
  <c r="C66" i="246"/>
  <c r="H62" i="246" s="1"/>
  <c r="E75" i="214"/>
  <c r="F75" i="214" s="1"/>
  <c r="D69" i="258" s="1"/>
  <c r="M69" i="258" s="1"/>
  <c r="D76" i="214"/>
  <c r="E76" i="214" s="1"/>
  <c r="C66" i="223"/>
  <c r="H67" i="223" s="1"/>
  <c r="F76" i="217"/>
  <c r="D72" i="137"/>
  <c r="C66" i="252"/>
  <c r="H66" i="208"/>
  <c r="J61" i="208" s="1"/>
  <c r="K61" i="208" s="1"/>
  <c r="G66" i="208"/>
  <c r="D76" i="247"/>
  <c r="E76" i="247" s="1"/>
  <c r="C66" i="216"/>
  <c r="D76" i="252"/>
  <c r="E76" i="252" s="1"/>
  <c r="E75" i="252"/>
  <c r="F75" i="252" s="1"/>
  <c r="H62" i="245"/>
  <c r="H59" i="245"/>
  <c r="G70" i="245"/>
  <c r="G66" i="245" s="1"/>
  <c r="H68" i="245"/>
  <c r="H67" i="245"/>
  <c r="E75" i="215"/>
  <c r="F75" i="215" s="1"/>
  <c r="D70" i="258" s="1"/>
  <c r="M70" i="258" s="1"/>
  <c r="D76" i="215"/>
  <c r="E76" i="215" s="1"/>
  <c r="J68" i="205"/>
  <c r="K68" i="205" s="1"/>
  <c r="L68" i="205" s="1"/>
  <c r="H60" i="205"/>
  <c r="G68" i="205"/>
  <c r="G71" i="205"/>
  <c r="G67" i="205"/>
  <c r="H65" i="205"/>
  <c r="H64" i="205"/>
  <c r="F75" i="224"/>
  <c r="G75" i="224" s="1"/>
  <c r="G76" i="224" s="1"/>
  <c r="D78" i="258" s="1"/>
  <c r="M78" i="258" s="1"/>
  <c r="E76" i="224"/>
  <c r="F76" i="224" s="1"/>
  <c r="H66" i="221"/>
  <c r="J61" i="218"/>
  <c r="K61" i="218" s="1"/>
  <c r="G59" i="211"/>
  <c r="D76" i="243"/>
  <c r="E76" i="243" s="1"/>
  <c r="E75" i="243"/>
  <c r="F75" i="243" s="1"/>
  <c r="H65" i="218"/>
  <c r="G67" i="218"/>
  <c r="H63" i="218"/>
  <c r="H64" i="218"/>
  <c r="G71" i="218"/>
  <c r="I75" i="218" s="1"/>
  <c r="G66" i="218"/>
  <c r="J68" i="218"/>
  <c r="K68" i="218" s="1"/>
  <c r="L68" i="218" s="1"/>
  <c r="H61" i="218"/>
  <c r="G68" i="218"/>
  <c r="H60" i="218"/>
  <c r="G70" i="247"/>
  <c r="H63" i="247" s="1"/>
  <c r="H59" i="247"/>
  <c r="H67" i="247"/>
  <c r="H68" i="247"/>
  <c r="G59" i="204"/>
  <c r="H66" i="207"/>
  <c r="C66" i="248"/>
  <c r="H62" i="242"/>
  <c r="H59" i="217"/>
  <c r="H68" i="217"/>
  <c r="H66" i="217"/>
  <c r="H67" i="217"/>
  <c r="G70" i="217"/>
  <c r="H62" i="217"/>
  <c r="E75" i="240"/>
  <c r="F75" i="240" s="1"/>
  <c r="D76" i="240"/>
  <c r="E76" i="240" s="1"/>
  <c r="E75" i="202"/>
  <c r="F75" i="202" s="1"/>
  <c r="D59" i="258" s="1"/>
  <c r="M59" i="258" s="1"/>
  <c r="F76" i="218"/>
  <c r="D73" i="137"/>
  <c r="H59" i="251"/>
  <c r="F76" i="221"/>
  <c r="H63" i="202"/>
  <c r="C66" i="220"/>
  <c r="G62" i="211"/>
  <c r="H59" i="221"/>
  <c r="D76" i="213"/>
  <c r="E76" i="213" s="1"/>
  <c r="E75" i="213"/>
  <c r="F75" i="213" s="1"/>
  <c r="D68" i="258" s="1"/>
  <c r="M68" i="258" s="1"/>
  <c r="C66" i="214"/>
  <c r="H68" i="214" s="1"/>
  <c r="H66" i="205"/>
  <c r="G66" i="205"/>
  <c r="H68" i="207"/>
  <c r="H63" i="211"/>
  <c r="C66" i="243"/>
  <c r="H66" i="204"/>
  <c r="J61" i="204" s="1"/>
  <c r="K61" i="204" s="1"/>
  <c r="G66" i="204"/>
  <c r="D61" i="137" l="1"/>
  <c r="D61" i="258"/>
  <c r="M61" i="258" s="1"/>
  <c r="D65" i="137"/>
  <c r="D75" i="137"/>
  <c r="D23" i="233" s="1"/>
  <c r="L23" i="233" s="1"/>
  <c r="D75" i="258"/>
  <c r="M75" i="258" s="1"/>
  <c r="E75" i="223"/>
  <c r="F75" i="223" s="1"/>
  <c r="F76" i="223" s="1"/>
  <c r="D77" i="258" s="1"/>
  <c r="M77" i="258" s="1"/>
  <c r="J61" i="211"/>
  <c r="K61" i="211" s="1"/>
  <c r="G62" i="215"/>
  <c r="H61" i="215"/>
  <c r="H64" i="215"/>
  <c r="G59" i="215"/>
  <c r="G69" i="215" s="1"/>
  <c r="G68" i="215"/>
  <c r="J68" i="215"/>
  <c r="K68" i="215" s="1"/>
  <c r="L68" i="215" s="1"/>
  <c r="H63" i="215"/>
  <c r="H65" i="215"/>
  <c r="G67" i="215"/>
  <c r="G66" i="215"/>
  <c r="G71" i="215"/>
  <c r="G71" i="211"/>
  <c r="G67" i="211"/>
  <c r="H64" i="211"/>
  <c r="G68" i="211"/>
  <c r="H61" i="211"/>
  <c r="H65" i="211"/>
  <c r="G66" i="211"/>
  <c r="H60" i="211"/>
  <c r="H63" i="208"/>
  <c r="G59" i="208"/>
  <c r="G69" i="208" s="1"/>
  <c r="G67" i="208"/>
  <c r="G71" i="208"/>
  <c r="H64" i="208"/>
  <c r="H61" i="208"/>
  <c r="H65" i="208"/>
  <c r="H64" i="207"/>
  <c r="G67" i="207"/>
  <c r="F76" i="205"/>
  <c r="J61" i="205"/>
  <c r="K61" i="205" s="1"/>
  <c r="G66" i="251"/>
  <c r="H63" i="245"/>
  <c r="G59" i="242"/>
  <c r="H65" i="207"/>
  <c r="H60" i="207"/>
  <c r="G66" i="207"/>
  <c r="G59" i="207"/>
  <c r="G69" i="207" s="1"/>
  <c r="H61" i="207"/>
  <c r="H63" i="207"/>
  <c r="G62" i="207"/>
  <c r="H59" i="246"/>
  <c r="G68" i="207"/>
  <c r="G71" i="207"/>
  <c r="J61" i="202"/>
  <c r="K61" i="202" s="1"/>
  <c r="G69" i="218"/>
  <c r="H67" i="214"/>
  <c r="H62" i="214"/>
  <c r="J61" i="207"/>
  <c r="K61" i="207" s="1"/>
  <c r="G70" i="214"/>
  <c r="G71" i="214" s="1"/>
  <c r="I75" i="205"/>
  <c r="E9" i="233" s="1"/>
  <c r="N9" i="233" s="1"/>
  <c r="I75" i="204"/>
  <c r="E8" i="233" s="1"/>
  <c r="N8" i="233" s="1"/>
  <c r="I75" i="208"/>
  <c r="H66" i="243"/>
  <c r="H59" i="243"/>
  <c r="G70" i="243"/>
  <c r="H68" i="243"/>
  <c r="H62" i="243"/>
  <c r="H67" i="243"/>
  <c r="D21" i="233"/>
  <c r="L21" i="233" s="1"/>
  <c r="M73" i="137"/>
  <c r="D54" i="254"/>
  <c r="F76" i="240"/>
  <c r="J68" i="247"/>
  <c r="K68" i="247" s="1"/>
  <c r="L68" i="247" s="1"/>
  <c r="H61" i="247"/>
  <c r="H65" i="247"/>
  <c r="G67" i="247"/>
  <c r="G71" i="247"/>
  <c r="H60" i="247"/>
  <c r="H64" i="247"/>
  <c r="G68" i="247"/>
  <c r="G62" i="247"/>
  <c r="D58" i="254"/>
  <c r="F76" i="244"/>
  <c r="D71" i="137"/>
  <c r="F76" i="216"/>
  <c r="H66" i="206"/>
  <c r="H62" i="206"/>
  <c r="H68" i="206"/>
  <c r="H59" i="206"/>
  <c r="H67" i="206"/>
  <c r="G70" i="206"/>
  <c r="G66" i="206" s="1"/>
  <c r="M64" i="137"/>
  <c r="D12" i="233"/>
  <c r="L12" i="233" s="1"/>
  <c r="F76" i="246"/>
  <c r="D60" i="254"/>
  <c r="H66" i="219"/>
  <c r="G70" i="219"/>
  <c r="G66" i="219" s="1"/>
  <c r="H67" i="219"/>
  <c r="H68" i="219"/>
  <c r="H62" i="219"/>
  <c r="H59" i="219"/>
  <c r="H68" i="223"/>
  <c r="F76" i="206"/>
  <c r="D62" i="137"/>
  <c r="I75" i="207"/>
  <c r="M75" i="137"/>
  <c r="G66" i="247"/>
  <c r="D59" i="234"/>
  <c r="F76" i="222"/>
  <c r="D76" i="137"/>
  <c r="M76" i="137" s="1"/>
  <c r="F76" i="248"/>
  <c r="D62" i="254"/>
  <c r="H66" i="252"/>
  <c r="H59" i="252"/>
  <c r="G70" i="252"/>
  <c r="G66" i="252" s="1"/>
  <c r="H67" i="252"/>
  <c r="H62" i="252"/>
  <c r="H68" i="252"/>
  <c r="H66" i="246"/>
  <c r="M63" i="137"/>
  <c r="D11" i="233"/>
  <c r="L11" i="233" s="1"/>
  <c r="F76" i="213"/>
  <c r="D68" i="137"/>
  <c r="M65" i="137"/>
  <c r="D13" i="233"/>
  <c r="L13" i="233" s="1"/>
  <c r="H66" i="220"/>
  <c r="H68" i="220"/>
  <c r="H62" i="220"/>
  <c r="H59" i="220"/>
  <c r="G70" i="220"/>
  <c r="H67" i="220"/>
  <c r="D59" i="137"/>
  <c r="F76" i="202"/>
  <c r="J68" i="217"/>
  <c r="K68" i="217" s="1"/>
  <c r="L68" i="217" s="1"/>
  <c r="G71" i="217"/>
  <c r="G68" i="217"/>
  <c r="H61" i="217"/>
  <c r="H60" i="217"/>
  <c r="G67" i="217"/>
  <c r="G59" i="217"/>
  <c r="H65" i="217"/>
  <c r="G62" i="217"/>
  <c r="H63" i="217"/>
  <c r="H64" i="217"/>
  <c r="E21" i="233"/>
  <c r="N21" i="233" s="1"/>
  <c r="I76" i="218"/>
  <c r="D58" i="236"/>
  <c r="D78" i="137"/>
  <c r="M78" i="137" s="1"/>
  <c r="H68" i="246"/>
  <c r="F76" i="215"/>
  <c r="D70" i="137"/>
  <c r="J61" i="245"/>
  <c r="K61" i="245" s="1"/>
  <c r="H66" i="249"/>
  <c r="H67" i="249"/>
  <c r="H62" i="249"/>
  <c r="G70" i="249"/>
  <c r="G66" i="249" s="1"/>
  <c r="H59" i="249"/>
  <c r="H68" i="249"/>
  <c r="D64" i="254"/>
  <c r="F76" i="251"/>
  <c r="D63" i="254"/>
  <c r="F76" i="249"/>
  <c r="H66" i="214"/>
  <c r="J61" i="221"/>
  <c r="K61" i="221" s="1"/>
  <c r="J61" i="251"/>
  <c r="K61" i="251" s="1"/>
  <c r="G66" i="217"/>
  <c r="J61" i="217"/>
  <c r="K61" i="217" s="1"/>
  <c r="H66" i="248"/>
  <c r="H62" i="248"/>
  <c r="H59" i="248"/>
  <c r="H68" i="248"/>
  <c r="G70" i="248"/>
  <c r="G66" i="248" s="1"/>
  <c r="H67" i="248"/>
  <c r="G69" i="204"/>
  <c r="J61" i="247"/>
  <c r="K61" i="247" s="1"/>
  <c r="H59" i="214"/>
  <c r="G66" i="221"/>
  <c r="H67" i="246"/>
  <c r="G62" i="245"/>
  <c r="H66" i="216"/>
  <c r="H68" i="216"/>
  <c r="H59" i="216"/>
  <c r="H62" i="216"/>
  <c r="G70" i="216"/>
  <c r="H67" i="216"/>
  <c r="M61" i="137"/>
  <c r="D9" i="233"/>
  <c r="L9" i="233" s="1"/>
  <c r="F76" i="214"/>
  <c r="D69" i="137"/>
  <c r="D14" i="233"/>
  <c r="L14" i="233" s="1"/>
  <c r="M66" i="137"/>
  <c r="I75" i="211"/>
  <c r="H67" i="244"/>
  <c r="H66" i="244"/>
  <c r="H59" i="244"/>
  <c r="H62" i="244"/>
  <c r="H68" i="244"/>
  <c r="G70" i="244"/>
  <c r="G66" i="244" s="1"/>
  <c r="H66" i="241"/>
  <c r="G70" i="241"/>
  <c r="G66" i="241" s="1"/>
  <c r="H67" i="241"/>
  <c r="H59" i="241"/>
  <c r="H62" i="241"/>
  <c r="H68" i="241"/>
  <c r="J68" i="251"/>
  <c r="K68" i="251" s="1"/>
  <c r="L68" i="251" s="1"/>
  <c r="H65" i="251"/>
  <c r="G71" i="251"/>
  <c r="G67" i="251"/>
  <c r="H60" i="251"/>
  <c r="G68" i="251"/>
  <c r="H63" i="251"/>
  <c r="H64" i="251"/>
  <c r="G59" i="251"/>
  <c r="H61" i="251"/>
  <c r="H66" i="222"/>
  <c r="G70" i="222"/>
  <c r="H68" i="222"/>
  <c r="H67" i="222"/>
  <c r="H62" i="222"/>
  <c r="H59" i="222"/>
  <c r="H62" i="223"/>
  <c r="G70" i="223"/>
  <c r="G66" i="223" s="1"/>
  <c r="F76" i="212"/>
  <c r="D67" i="137"/>
  <c r="G71" i="202"/>
  <c r="J68" i="242"/>
  <c r="K68" i="242" s="1"/>
  <c r="L68" i="242" s="1"/>
  <c r="H60" i="242"/>
  <c r="G68" i="242"/>
  <c r="H65" i="242"/>
  <c r="G67" i="242"/>
  <c r="G71" i="242"/>
  <c r="H61" i="242"/>
  <c r="H63" i="242"/>
  <c r="H64" i="242"/>
  <c r="D55" i="254"/>
  <c r="F76" i="241"/>
  <c r="G69" i="205"/>
  <c r="H66" i="212"/>
  <c r="H67" i="212"/>
  <c r="G70" i="212"/>
  <c r="H62" i="212"/>
  <c r="H59" i="212"/>
  <c r="H68" i="212"/>
  <c r="H66" i="213"/>
  <c r="H68" i="213"/>
  <c r="G70" i="213"/>
  <c r="G66" i="213" s="1"/>
  <c r="H62" i="213"/>
  <c r="H59" i="213"/>
  <c r="H67" i="213"/>
  <c r="F76" i="204"/>
  <c r="D60" i="137"/>
  <c r="F76" i="219"/>
  <c r="D74" i="137"/>
  <c r="G69" i="211"/>
  <c r="D61" i="254"/>
  <c r="F76" i="247"/>
  <c r="H66" i="223"/>
  <c r="D76" i="201"/>
  <c r="E76" i="201" s="1"/>
  <c r="E75" i="201"/>
  <c r="F75" i="201" s="1"/>
  <c r="F76" i="201" s="1"/>
  <c r="G59" i="247"/>
  <c r="F76" i="243"/>
  <c r="D57" i="254"/>
  <c r="G70" i="246"/>
  <c r="J68" i="245"/>
  <c r="K68" i="245" s="1"/>
  <c r="L68" i="245" s="1"/>
  <c r="G67" i="245"/>
  <c r="H65" i="245"/>
  <c r="G71" i="245"/>
  <c r="H60" i="245"/>
  <c r="G68" i="245"/>
  <c r="H64" i="245"/>
  <c r="G59" i="245"/>
  <c r="H61" i="245"/>
  <c r="D65" i="254"/>
  <c r="F76" i="252"/>
  <c r="M72" i="137"/>
  <c r="D20" i="233"/>
  <c r="L20" i="233" s="1"/>
  <c r="C66" i="201"/>
  <c r="H66" i="256"/>
  <c r="H62" i="256"/>
  <c r="G70" i="256"/>
  <c r="G66" i="256" s="1"/>
  <c r="H68" i="256"/>
  <c r="H59" i="256"/>
  <c r="H67" i="256"/>
  <c r="H66" i="240"/>
  <c r="H68" i="240"/>
  <c r="H59" i="240"/>
  <c r="G70" i="240"/>
  <c r="H67" i="240"/>
  <c r="H62" i="240"/>
  <c r="J61" i="242"/>
  <c r="K61" i="242" s="1"/>
  <c r="D58" i="235"/>
  <c r="D77" i="137"/>
  <c r="M77" i="137" s="1"/>
  <c r="J68" i="221"/>
  <c r="K68" i="221" s="1"/>
  <c r="L68" i="221" s="1"/>
  <c r="G68" i="221"/>
  <c r="H64" i="221"/>
  <c r="H60" i="221"/>
  <c r="H65" i="221"/>
  <c r="G67" i="221"/>
  <c r="G71" i="221"/>
  <c r="H61" i="221"/>
  <c r="G59" i="221"/>
  <c r="H63" i="221"/>
  <c r="F76" i="242"/>
  <c r="D56" i="254"/>
  <c r="H59" i="223"/>
  <c r="J61" i="223" s="1"/>
  <c r="K61" i="223" s="1"/>
  <c r="G66" i="242"/>
  <c r="H66" i="224"/>
  <c r="G70" i="224"/>
  <c r="H67" i="224"/>
  <c r="H59" i="224"/>
  <c r="H68" i="224"/>
  <c r="H62" i="224"/>
  <c r="F76" i="245"/>
  <c r="D59" i="254"/>
  <c r="G69" i="202"/>
  <c r="I75" i="202"/>
  <c r="H64" i="214" l="1"/>
  <c r="G68" i="214"/>
  <c r="J68" i="214"/>
  <c r="K68" i="214" s="1"/>
  <c r="L68" i="214" s="1"/>
  <c r="I75" i="215"/>
  <c r="I76" i="215" s="1"/>
  <c r="I76" i="205"/>
  <c r="M9" i="233"/>
  <c r="J9" i="233" s="1"/>
  <c r="I76" i="204"/>
  <c r="H61" i="214"/>
  <c r="H65" i="214"/>
  <c r="G66" i="214"/>
  <c r="G59" i="214"/>
  <c r="G69" i="214" s="1"/>
  <c r="G67" i="214"/>
  <c r="H60" i="214"/>
  <c r="J61" i="256"/>
  <c r="K61" i="256" s="1"/>
  <c r="G69" i="245"/>
  <c r="I75" i="214"/>
  <c r="I76" i="214" s="1"/>
  <c r="M21" i="233"/>
  <c r="J21" i="233" s="1"/>
  <c r="K21" i="233" s="1"/>
  <c r="O21" i="233" s="1"/>
  <c r="J61" i="246"/>
  <c r="K61" i="246" s="1"/>
  <c r="J61" i="248"/>
  <c r="K61" i="248" s="1"/>
  <c r="J61" i="249"/>
  <c r="K61" i="249" s="1"/>
  <c r="G62" i="214"/>
  <c r="H63" i="214"/>
  <c r="G69" i="221"/>
  <c r="G69" i="242"/>
  <c r="I75" i="242"/>
  <c r="I76" i="242" s="1"/>
  <c r="J61" i="214"/>
  <c r="K61" i="214" s="1"/>
  <c r="D12" i="255"/>
  <c r="L12" i="255" s="1"/>
  <c r="M59" i="254"/>
  <c r="M56" i="254"/>
  <c r="D9" i="255"/>
  <c r="L9" i="255" s="1"/>
  <c r="D8" i="233"/>
  <c r="L8" i="233" s="1"/>
  <c r="M8" i="233" s="1"/>
  <c r="J8" i="233" s="1"/>
  <c r="M60" i="137"/>
  <c r="J68" i="212"/>
  <c r="K68" i="212" s="1"/>
  <c r="L68" i="212" s="1"/>
  <c r="H61" i="212"/>
  <c r="G67" i="212"/>
  <c r="G71" i="212"/>
  <c r="H65" i="212"/>
  <c r="H60" i="212"/>
  <c r="G68" i="212"/>
  <c r="G59" i="212"/>
  <c r="H64" i="212"/>
  <c r="G62" i="212"/>
  <c r="H63" i="212"/>
  <c r="D17" i="233"/>
  <c r="L17" i="233" s="1"/>
  <c r="M69" i="137"/>
  <c r="D16" i="255"/>
  <c r="L16" i="255" s="1"/>
  <c r="M63" i="254"/>
  <c r="D15" i="255"/>
  <c r="L15" i="255" s="1"/>
  <c r="M62" i="254"/>
  <c r="J68" i="243"/>
  <c r="K68" i="243" s="1"/>
  <c r="L68" i="243" s="1"/>
  <c r="G71" i="243"/>
  <c r="H60" i="243"/>
  <c r="H61" i="243"/>
  <c r="G67" i="243"/>
  <c r="H65" i="243"/>
  <c r="H64" i="243"/>
  <c r="G68" i="243"/>
  <c r="G59" i="243"/>
  <c r="G62" i="243"/>
  <c r="H63" i="243"/>
  <c r="J61" i="224"/>
  <c r="K61" i="224" s="1"/>
  <c r="D18" i="255"/>
  <c r="L18" i="255" s="1"/>
  <c r="M65" i="254"/>
  <c r="M57" i="254"/>
  <c r="D10" i="255"/>
  <c r="L10" i="255" s="1"/>
  <c r="D14" i="255"/>
  <c r="L14" i="255" s="1"/>
  <c r="M61" i="254"/>
  <c r="J68" i="213"/>
  <c r="K68" i="213" s="1"/>
  <c r="L68" i="213" s="1"/>
  <c r="G67" i="213"/>
  <c r="G71" i="213"/>
  <c r="H65" i="213"/>
  <c r="H61" i="213"/>
  <c r="H60" i="213"/>
  <c r="G68" i="213"/>
  <c r="G59" i="213"/>
  <c r="G62" i="213"/>
  <c r="H64" i="213"/>
  <c r="H63" i="213"/>
  <c r="M67" i="137"/>
  <c r="D15" i="233"/>
  <c r="L15" i="233" s="1"/>
  <c r="J61" i="222"/>
  <c r="K61" i="222" s="1"/>
  <c r="G68" i="222"/>
  <c r="G71" i="222"/>
  <c r="I75" i="222" s="1"/>
  <c r="G62" i="222"/>
  <c r="J68" i="222"/>
  <c r="K68" i="222" s="1"/>
  <c r="L68" i="222" s="1"/>
  <c r="H61" i="222"/>
  <c r="G67" i="222"/>
  <c r="H64" i="222"/>
  <c r="H60" i="222"/>
  <c r="H65" i="222"/>
  <c r="G59" i="222"/>
  <c r="H63" i="222"/>
  <c r="G69" i="251"/>
  <c r="J61" i="241"/>
  <c r="K61" i="241" s="1"/>
  <c r="I76" i="211"/>
  <c r="E14" i="233"/>
  <c r="N14" i="233" s="1"/>
  <c r="J68" i="216"/>
  <c r="K68" i="216" s="1"/>
  <c r="L68" i="216" s="1"/>
  <c r="G67" i="216"/>
  <c r="H65" i="216"/>
  <c r="H60" i="216"/>
  <c r="H61" i="216"/>
  <c r="G71" i="216"/>
  <c r="G68" i="216"/>
  <c r="H64" i="216"/>
  <c r="G62" i="216"/>
  <c r="G59" i="216"/>
  <c r="H63" i="216"/>
  <c r="G66" i="216"/>
  <c r="J68" i="249"/>
  <c r="K68" i="249" s="1"/>
  <c r="L68" i="249" s="1"/>
  <c r="G67" i="249"/>
  <c r="H64" i="249"/>
  <c r="G71" i="249"/>
  <c r="H60" i="249"/>
  <c r="G68" i="249"/>
  <c r="H65" i="249"/>
  <c r="G59" i="249"/>
  <c r="H61" i="249"/>
  <c r="G62" i="249"/>
  <c r="H63" i="249"/>
  <c r="I75" i="217"/>
  <c r="J68" i="220"/>
  <c r="K68" i="220" s="1"/>
  <c r="L68" i="220" s="1"/>
  <c r="H61" i="220"/>
  <c r="G68" i="220"/>
  <c r="G67" i="220"/>
  <c r="G71" i="220"/>
  <c r="H60" i="220"/>
  <c r="H65" i="220"/>
  <c r="H64" i="220"/>
  <c r="G59" i="220"/>
  <c r="G62" i="220"/>
  <c r="H63" i="220"/>
  <c r="G66" i="220"/>
  <c r="M68" i="137"/>
  <c r="D16" i="233"/>
  <c r="L16" i="233" s="1"/>
  <c r="D10" i="233"/>
  <c r="L10" i="233" s="1"/>
  <c r="M62" i="137"/>
  <c r="J61" i="219"/>
  <c r="K61" i="219" s="1"/>
  <c r="J68" i="219"/>
  <c r="K68" i="219" s="1"/>
  <c r="L68" i="219" s="1"/>
  <c r="G67" i="219"/>
  <c r="G68" i="219"/>
  <c r="H61" i="219"/>
  <c r="H65" i="219"/>
  <c r="H60" i="219"/>
  <c r="G71" i="219"/>
  <c r="H64" i="219"/>
  <c r="G62" i="219"/>
  <c r="G59" i="219"/>
  <c r="H63" i="219"/>
  <c r="J61" i="243"/>
  <c r="K61" i="243" s="1"/>
  <c r="G62" i="224"/>
  <c r="G68" i="224"/>
  <c r="G71" i="224"/>
  <c r="J75" i="224" s="1"/>
  <c r="J76" i="224" s="1"/>
  <c r="E26" i="233" s="1"/>
  <c r="N26" i="233" s="1"/>
  <c r="H60" i="224"/>
  <c r="H65" i="224"/>
  <c r="J68" i="224"/>
  <c r="K68" i="224" s="1"/>
  <c r="L68" i="224" s="1"/>
  <c r="G67" i="224"/>
  <c r="H64" i="224"/>
  <c r="H61" i="224"/>
  <c r="G59" i="224"/>
  <c r="H63" i="224"/>
  <c r="G66" i="224"/>
  <c r="I75" i="221"/>
  <c r="J68" i="246"/>
  <c r="K68" i="246" s="1"/>
  <c r="L68" i="246" s="1"/>
  <c r="H60" i="246"/>
  <c r="H65" i="246"/>
  <c r="G68" i="246"/>
  <c r="G59" i="246"/>
  <c r="G71" i="246"/>
  <c r="G67" i="246"/>
  <c r="H61" i="246"/>
  <c r="H64" i="246"/>
  <c r="H63" i="246"/>
  <c r="G62" i="246"/>
  <c r="M59" i="234"/>
  <c r="D24" i="233"/>
  <c r="L24" i="233" s="1"/>
  <c r="E11" i="233"/>
  <c r="N11" i="233" s="1"/>
  <c r="I76" i="207"/>
  <c r="D13" i="255"/>
  <c r="L13" i="255" s="1"/>
  <c r="M60" i="254"/>
  <c r="J68" i="206"/>
  <c r="K68" i="206" s="1"/>
  <c r="L68" i="206" s="1"/>
  <c r="G67" i="206"/>
  <c r="H64" i="206"/>
  <c r="G59" i="206"/>
  <c r="G68" i="206"/>
  <c r="H60" i="206"/>
  <c r="H65" i="206"/>
  <c r="H61" i="206"/>
  <c r="G71" i="206"/>
  <c r="G62" i="206"/>
  <c r="H63" i="206"/>
  <c r="D19" i="233"/>
  <c r="L19" i="233" s="1"/>
  <c r="M71" i="137"/>
  <c r="E7" i="233"/>
  <c r="N7" i="233" s="1"/>
  <c r="I76" i="202"/>
  <c r="E18" i="233"/>
  <c r="N18" i="233" s="1"/>
  <c r="M58" i="235"/>
  <c r="D25" i="233"/>
  <c r="L25" i="233" s="1"/>
  <c r="J68" i="240"/>
  <c r="K68" i="240" s="1"/>
  <c r="L68" i="240" s="1"/>
  <c r="H64" i="240"/>
  <c r="H60" i="240"/>
  <c r="G68" i="240"/>
  <c r="H61" i="240"/>
  <c r="H65" i="240"/>
  <c r="G67" i="240"/>
  <c r="G71" i="240"/>
  <c r="G62" i="240"/>
  <c r="G59" i="240"/>
  <c r="H63" i="240"/>
  <c r="G66" i="240"/>
  <c r="J68" i="256"/>
  <c r="K68" i="256" s="1"/>
  <c r="L68" i="256" s="1"/>
  <c r="G71" i="256"/>
  <c r="H65" i="256"/>
  <c r="G67" i="256"/>
  <c r="H60" i="256"/>
  <c r="H64" i="256"/>
  <c r="H61" i="256"/>
  <c r="G68" i="256"/>
  <c r="G59" i="256"/>
  <c r="G62" i="256"/>
  <c r="H63" i="256"/>
  <c r="I76" i="208"/>
  <c r="E12" i="233"/>
  <c r="N12" i="233" s="1"/>
  <c r="I75" i="245"/>
  <c r="D22" i="233"/>
  <c r="L22" i="233" s="1"/>
  <c r="M74" i="137"/>
  <c r="J61" i="212"/>
  <c r="K61" i="212" s="1"/>
  <c r="G66" i="212"/>
  <c r="D8" i="255"/>
  <c r="L8" i="255" s="1"/>
  <c r="M55" i="254"/>
  <c r="I75" i="251"/>
  <c r="J68" i="244"/>
  <c r="K68" i="244" s="1"/>
  <c r="L68" i="244" s="1"/>
  <c r="H60" i="244"/>
  <c r="G71" i="244"/>
  <c r="G62" i="244"/>
  <c r="G68" i="244"/>
  <c r="G67" i="244"/>
  <c r="H61" i="244"/>
  <c r="H65" i="244"/>
  <c r="G59" i="244"/>
  <c r="H64" i="244"/>
  <c r="H63" i="244"/>
  <c r="J61" i="244"/>
  <c r="K61" i="244" s="1"/>
  <c r="K9" i="233"/>
  <c r="O9" i="233" s="1"/>
  <c r="J68" i="248"/>
  <c r="K68" i="248" s="1"/>
  <c r="L68" i="248" s="1"/>
  <c r="H60" i="248"/>
  <c r="H65" i="248"/>
  <c r="G62" i="248"/>
  <c r="G71" i="248"/>
  <c r="H61" i="248"/>
  <c r="G67" i="248"/>
  <c r="G68" i="248"/>
  <c r="H64" i="248"/>
  <c r="G59" i="248"/>
  <c r="H63" i="248"/>
  <c r="D17" i="255"/>
  <c r="L17" i="255" s="1"/>
  <c r="M64" i="254"/>
  <c r="G69" i="217"/>
  <c r="J61" i="220"/>
  <c r="K61" i="220" s="1"/>
  <c r="G66" i="246"/>
  <c r="J68" i="252"/>
  <c r="K68" i="252" s="1"/>
  <c r="L68" i="252" s="1"/>
  <c r="G67" i="252"/>
  <c r="H60" i="252"/>
  <c r="H65" i="252"/>
  <c r="G71" i="252"/>
  <c r="G59" i="252"/>
  <c r="H64" i="252"/>
  <c r="H61" i="252"/>
  <c r="G68" i="252"/>
  <c r="G62" i="252"/>
  <c r="H63" i="252"/>
  <c r="J61" i="206"/>
  <c r="K61" i="206" s="1"/>
  <c r="M58" i="254"/>
  <c r="D11" i="255"/>
  <c r="L11" i="255" s="1"/>
  <c r="D7" i="255"/>
  <c r="L7" i="255" s="1"/>
  <c r="M54" i="254"/>
  <c r="G66" i="243"/>
  <c r="J61" i="240"/>
  <c r="K61" i="240" s="1"/>
  <c r="H66" i="201"/>
  <c r="H59" i="201"/>
  <c r="H67" i="201"/>
  <c r="G70" i="201"/>
  <c r="H68" i="201"/>
  <c r="H62" i="201"/>
  <c r="G69" i="247"/>
  <c r="J61" i="213"/>
  <c r="K61" i="213" s="1"/>
  <c r="G62" i="223"/>
  <c r="H60" i="223"/>
  <c r="H65" i="223"/>
  <c r="G71" i="223"/>
  <c r="I75" i="223" s="1"/>
  <c r="I76" i="223" s="1"/>
  <c r="E25" i="233" s="1"/>
  <c r="N25" i="233" s="1"/>
  <c r="H64" i="223"/>
  <c r="H61" i="223"/>
  <c r="J68" i="223"/>
  <c r="K68" i="223" s="1"/>
  <c r="L68" i="223" s="1"/>
  <c r="G68" i="223"/>
  <c r="G67" i="223"/>
  <c r="H63" i="223"/>
  <c r="G59" i="223"/>
  <c r="G66" i="222"/>
  <c r="J68" i="241"/>
  <c r="K68" i="241" s="1"/>
  <c r="L68" i="241" s="1"/>
  <c r="G71" i="241"/>
  <c r="G68" i="241"/>
  <c r="H60" i="241"/>
  <c r="H65" i="241"/>
  <c r="G67" i="241"/>
  <c r="H64" i="241"/>
  <c r="G62" i="241"/>
  <c r="H61" i="241"/>
  <c r="G59" i="241"/>
  <c r="H63" i="241"/>
  <c r="J61" i="216"/>
  <c r="K61" i="216" s="1"/>
  <c r="D18" i="233"/>
  <c r="L18" i="233" s="1"/>
  <c r="M70" i="137"/>
  <c r="M58" i="236"/>
  <c r="D26" i="233"/>
  <c r="L26" i="233" s="1"/>
  <c r="M59" i="137"/>
  <c r="D7" i="233"/>
  <c r="L7" i="233" s="1"/>
  <c r="M7" i="233" s="1"/>
  <c r="J7" i="233" s="1"/>
  <c r="J61" i="252"/>
  <c r="K61" i="252" s="1"/>
  <c r="I75" i="247"/>
  <c r="E17" i="233" l="1"/>
  <c r="N17" i="233" s="1"/>
  <c r="M14" i="233"/>
  <c r="J14" i="233" s="1"/>
  <c r="K14" i="233" s="1"/>
  <c r="O14" i="233" s="1"/>
  <c r="E9" i="255"/>
  <c r="N9" i="255" s="1"/>
  <c r="I75" i="248"/>
  <c r="E15" i="255" s="1"/>
  <c r="N15" i="255" s="1"/>
  <c r="I75" i="240"/>
  <c r="E7" i="255" s="1"/>
  <c r="N7" i="255" s="1"/>
  <c r="M18" i="233"/>
  <c r="J18" i="233" s="1"/>
  <c r="K18" i="233" s="1"/>
  <c r="O18" i="233" s="1"/>
  <c r="I75" i="244"/>
  <c r="I76" i="244" s="1"/>
  <c r="G69" i="206"/>
  <c r="M12" i="233"/>
  <c r="J12" i="233" s="1"/>
  <c r="K12" i="233" s="1"/>
  <c r="O12" i="233" s="1"/>
  <c r="G69" i="220"/>
  <c r="I75" i="220"/>
  <c r="I76" i="220" s="1"/>
  <c r="E23" i="233" s="1"/>
  <c r="G69" i="243"/>
  <c r="I75" i="243"/>
  <c r="E10" i="255" s="1"/>
  <c r="N10" i="255" s="1"/>
  <c r="J68" i="201"/>
  <c r="K68" i="201" s="1"/>
  <c r="L68" i="201" s="1"/>
  <c r="G67" i="201"/>
  <c r="H60" i="201"/>
  <c r="H65" i="201"/>
  <c r="G71" i="201"/>
  <c r="H61" i="201"/>
  <c r="G59" i="201"/>
  <c r="G68" i="201"/>
  <c r="H64" i="201"/>
  <c r="G62" i="201"/>
  <c r="H63" i="201"/>
  <c r="G69" i="241"/>
  <c r="G69" i="223"/>
  <c r="M11" i="233"/>
  <c r="J11" i="233" s="1"/>
  <c r="M26" i="233"/>
  <c r="J26" i="233" s="1"/>
  <c r="I75" i="241"/>
  <c r="J61" i="201"/>
  <c r="K61" i="201" s="1"/>
  <c r="G69" i="252"/>
  <c r="G69" i="256"/>
  <c r="I75" i="256"/>
  <c r="I76" i="256" s="1"/>
  <c r="G69" i="240"/>
  <c r="I75" i="246"/>
  <c r="G69" i="224"/>
  <c r="G69" i="219"/>
  <c r="I75" i="249"/>
  <c r="G69" i="216"/>
  <c r="G69" i="222"/>
  <c r="I76" i="222"/>
  <c r="E24" i="233"/>
  <c r="N24" i="233" s="1"/>
  <c r="G69" i="213"/>
  <c r="I75" i="213"/>
  <c r="M17" i="233"/>
  <c r="J17" i="233" s="1"/>
  <c r="K8" i="233"/>
  <c r="O8" i="233" s="1"/>
  <c r="I76" i="251"/>
  <c r="E17" i="255"/>
  <c r="N17" i="255" s="1"/>
  <c r="E12" i="255"/>
  <c r="N12" i="255" s="1"/>
  <c r="I76" i="245"/>
  <c r="M25" i="233"/>
  <c r="J25" i="233" s="1"/>
  <c r="G69" i="246"/>
  <c r="E14" i="255"/>
  <c r="N14" i="255" s="1"/>
  <c r="I76" i="247"/>
  <c r="G66" i="201"/>
  <c r="I75" i="252"/>
  <c r="G69" i="248"/>
  <c r="G69" i="244"/>
  <c r="I75" i="206"/>
  <c r="I76" i="221"/>
  <c r="E13" i="233"/>
  <c r="I75" i="219"/>
  <c r="I76" i="217"/>
  <c r="E20" i="233"/>
  <c r="G69" i="249"/>
  <c r="I75" i="216"/>
  <c r="I75" i="212"/>
  <c r="K7" i="233"/>
  <c r="O7" i="233" s="1"/>
  <c r="G69" i="212"/>
  <c r="I76" i="248" l="1"/>
  <c r="E11" i="255"/>
  <c r="N11" i="255" s="1"/>
  <c r="I76" i="243"/>
  <c r="M9" i="255"/>
  <c r="J9" i="255" s="1"/>
  <c r="K9" i="255" s="1"/>
  <c r="O9" i="255" s="1"/>
  <c r="I76" i="240"/>
  <c r="M15" i="255"/>
  <c r="J15" i="255" s="1"/>
  <c r="K15" i="255" s="1"/>
  <c r="O15" i="255" s="1"/>
  <c r="N23" i="233"/>
  <c r="M23" i="233"/>
  <c r="J23" i="233" s="1"/>
  <c r="K23" i="233" s="1"/>
  <c r="O23" i="233" s="1"/>
  <c r="M14" i="255"/>
  <c r="J14" i="255" s="1"/>
  <c r="K14" i="255" s="1"/>
  <c r="O14" i="255" s="1"/>
  <c r="M10" i="255"/>
  <c r="J10" i="255" s="1"/>
  <c r="K10" i="255" s="1"/>
  <c r="O10" i="255" s="1"/>
  <c r="M17" i="255"/>
  <c r="J17" i="255" s="1"/>
  <c r="K17" i="255" s="1"/>
  <c r="O17" i="255" s="1"/>
  <c r="M7" i="255"/>
  <c r="J7" i="255" s="1"/>
  <c r="I76" i="216"/>
  <c r="E19" i="233"/>
  <c r="I76" i="206"/>
  <c r="E10" i="233"/>
  <c r="M24" i="233"/>
  <c r="J24" i="233" s="1"/>
  <c r="E16" i="233"/>
  <c r="I76" i="213"/>
  <c r="E8" i="255"/>
  <c r="I76" i="241"/>
  <c r="I75" i="201"/>
  <c r="I76" i="201" s="1"/>
  <c r="M12" i="255"/>
  <c r="J12" i="255" s="1"/>
  <c r="I76" i="219"/>
  <c r="E22" i="233"/>
  <c r="E18" i="255"/>
  <c r="I76" i="252"/>
  <c r="K25" i="233"/>
  <c r="O25" i="233" s="1"/>
  <c r="I76" i="246"/>
  <c r="E13" i="255"/>
  <c r="K26" i="233"/>
  <c r="O26" i="233" s="1"/>
  <c r="G69" i="201"/>
  <c r="I76" i="212"/>
  <c r="E15" i="233"/>
  <c r="N20" i="233"/>
  <c r="M20" i="233"/>
  <c r="J20" i="233" s="1"/>
  <c r="N13" i="233"/>
  <c r="M13" i="233"/>
  <c r="J13" i="233" s="1"/>
  <c r="K17" i="233"/>
  <c r="O17" i="233" s="1"/>
  <c r="I76" i="249"/>
  <c r="E16" i="255"/>
  <c r="K11" i="233"/>
  <c r="O11" i="233" s="1"/>
  <c r="M11" i="255" l="1"/>
  <c r="J11" i="255" s="1"/>
  <c r="K11" i="255" s="1"/>
  <c r="O11" i="255" s="1"/>
  <c r="K12" i="255"/>
  <c r="O12" i="255" s="1"/>
  <c r="N16" i="255"/>
  <c r="M16" i="255"/>
  <c r="J16" i="255" s="1"/>
  <c r="K20" i="233"/>
  <c r="O20" i="233" s="1"/>
  <c r="N15" i="233"/>
  <c r="M15" i="233"/>
  <c r="J15" i="233" s="1"/>
  <c r="N16" i="233"/>
  <c r="M16" i="233"/>
  <c r="J16" i="233" s="1"/>
  <c r="N19" i="233"/>
  <c r="M19" i="233"/>
  <c r="J19" i="233" s="1"/>
  <c r="N22" i="233"/>
  <c r="M22" i="233"/>
  <c r="J22" i="233" s="1"/>
  <c r="N13" i="255"/>
  <c r="M13" i="255"/>
  <c r="J13" i="255" s="1"/>
  <c r="K24" i="233"/>
  <c r="O24" i="233" s="1"/>
  <c r="K13" i="233"/>
  <c r="O13" i="233" s="1"/>
  <c r="N18" i="255"/>
  <c r="M18" i="255"/>
  <c r="J18" i="255" s="1"/>
  <c r="N8" i="255"/>
  <c r="M8" i="255"/>
  <c r="J8" i="255" s="1"/>
  <c r="N10" i="233"/>
  <c r="M10" i="233"/>
  <c r="J10" i="233" s="1"/>
  <c r="K7" i="255"/>
  <c r="O7" i="255" s="1"/>
  <c r="K15" i="233" l="1"/>
  <c r="O15" i="233" s="1"/>
  <c r="K13" i="255"/>
  <c r="O13" i="255" s="1"/>
  <c r="K16" i="255"/>
  <c r="O16" i="255" s="1"/>
  <c r="K10" i="233"/>
  <c r="O10" i="233" s="1"/>
  <c r="K18" i="255"/>
  <c r="O18" i="255" s="1"/>
  <c r="K22" i="233"/>
  <c r="O22" i="233" s="1"/>
  <c r="K16" i="233"/>
  <c r="O16" i="233" s="1"/>
  <c r="K8" i="255"/>
  <c r="O8" i="255" s="1"/>
  <c r="K19" i="233"/>
  <c r="O19" i="2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C00-000001000000}">
      <text>
        <r>
          <rPr>
            <b/>
            <sz val="9"/>
            <color indexed="81"/>
            <rFont val="Tahoma"/>
            <family val="2"/>
          </rPr>
          <t>Ecuación (E.3-1) NTC 1848:2007</t>
        </r>
        <r>
          <rPr>
            <sz val="9"/>
            <color indexed="81"/>
            <rFont val="Tahoma"/>
            <family val="2"/>
          </rPr>
          <t xml:space="preserve">
</t>
        </r>
      </text>
    </comment>
    <comment ref="I49" authorId="0" shapeId="0" xr:uid="{00000000-0006-0000-0C00-000002000000}">
      <text>
        <r>
          <rPr>
            <b/>
            <sz val="9"/>
            <color indexed="81"/>
            <rFont val="Tahoma"/>
            <family val="2"/>
          </rPr>
          <t>Ecuación (C.6.3-3) NTC 1848:2007</t>
        </r>
        <r>
          <rPr>
            <sz val="9"/>
            <color indexed="81"/>
            <rFont val="Tahoma"/>
            <family val="2"/>
          </rPr>
          <t xml:space="preserve">
</t>
        </r>
      </text>
    </comment>
    <comment ref="F53" authorId="0" shapeId="0" xr:uid="{00000000-0006-0000-0C00-000003000000}">
      <text>
        <r>
          <rPr>
            <b/>
            <sz val="9"/>
            <color indexed="81"/>
            <rFont val="Tahoma"/>
            <family val="2"/>
          </rPr>
          <t>Ecuación (C.5.1-3) NTC 1848:2007</t>
        </r>
      </text>
    </comment>
    <comment ref="A66" authorId="0" shapeId="0" xr:uid="{00000000-0006-0000-0C00-000004000000}">
      <text>
        <r>
          <rPr>
            <b/>
            <sz val="9"/>
            <color indexed="81"/>
            <rFont val="Tahoma"/>
            <family val="2"/>
          </rPr>
          <t>Ecuación (C.6.3-1) NTC 1848:2007</t>
        </r>
      </text>
    </comment>
    <comment ref="A67" authorId="0" shapeId="0" xr:uid="{00000000-0006-0000-0C00-000005000000}">
      <text>
        <r>
          <rPr>
            <b/>
            <sz val="9"/>
            <color indexed="81"/>
            <rFont val="Tahoma"/>
            <family val="2"/>
          </rPr>
          <t>Ecuación (C.6.4-2) NTC 1848:2007</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D00-000001000000}">
      <text>
        <r>
          <rPr>
            <b/>
            <sz val="9"/>
            <color indexed="81"/>
            <rFont val="Tahoma"/>
            <family val="2"/>
          </rPr>
          <t>Ecuación (E.3-1) NTC 1848:2007</t>
        </r>
        <r>
          <rPr>
            <sz val="9"/>
            <color indexed="81"/>
            <rFont val="Tahoma"/>
            <family val="2"/>
          </rPr>
          <t xml:space="preserve">
</t>
        </r>
      </text>
    </comment>
    <comment ref="I49" authorId="0" shapeId="0" xr:uid="{00000000-0006-0000-0D00-000002000000}">
      <text>
        <r>
          <rPr>
            <b/>
            <sz val="9"/>
            <color indexed="81"/>
            <rFont val="Tahoma"/>
            <family val="2"/>
          </rPr>
          <t>Ecuación (C.6.3-3) NTC 1848:2007</t>
        </r>
        <r>
          <rPr>
            <sz val="9"/>
            <color indexed="81"/>
            <rFont val="Tahoma"/>
            <family val="2"/>
          </rPr>
          <t xml:space="preserve">
</t>
        </r>
      </text>
    </comment>
    <comment ref="F53" authorId="0" shapeId="0" xr:uid="{00000000-0006-0000-0D00-000003000000}">
      <text>
        <r>
          <rPr>
            <b/>
            <sz val="9"/>
            <color indexed="81"/>
            <rFont val="Tahoma"/>
            <family val="2"/>
          </rPr>
          <t>Ecuación (C.5.1-3) NTC 1848:2007</t>
        </r>
      </text>
    </comment>
    <comment ref="A66" authorId="0" shapeId="0" xr:uid="{00000000-0006-0000-0D00-000004000000}">
      <text>
        <r>
          <rPr>
            <b/>
            <sz val="9"/>
            <color indexed="81"/>
            <rFont val="Tahoma"/>
            <family val="2"/>
          </rPr>
          <t>Ecuación (C.6.3-1) NTC 1848:2007</t>
        </r>
      </text>
    </comment>
    <comment ref="A67" authorId="0" shapeId="0" xr:uid="{00000000-0006-0000-0D00-000005000000}">
      <text>
        <r>
          <rPr>
            <b/>
            <sz val="9"/>
            <color indexed="81"/>
            <rFont val="Tahoma"/>
            <family val="2"/>
          </rPr>
          <t>Ecuación (C.6.4-2) NTC 1848:2007</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tc={B16603F9-1199-4E9B-8D9A-6CDDA89A56E2}</author>
    <author>tc={72CAB778-1D1B-495D-B56A-2C449DE085AD}</author>
  </authors>
  <commentList>
    <comment ref="F45" authorId="0" shapeId="0" xr:uid="{00000000-0006-0000-2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valor nominal, unidad, clase,marcación del fabricante y marcación adicional. ejemplo: (5 kg * M LVF TR)</t>
      </text>
    </comment>
    <comment ref="H140" authorId="1" shapeId="0" xr:uid="{00000000-0006-0000-2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List>
</comments>
</file>

<file path=xl/sharedStrings.xml><?xml version="1.0" encoding="utf-8"?>
<sst xmlns="http://schemas.openxmlformats.org/spreadsheetml/2006/main" count="7410" uniqueCount="604">
  <si>
    <t>HOJA DE CÁLCULO PARA CALIBRACIÓN DE PESAS</t>
  </si>
  <si>
    <t>Ciudad</t>
  </si>
  <si>
    <t>Fecha de Recepción</t>
  </si>
  <si>
    <t>Código interno</t>
  </si>
  <si>
    <t>Lugar de Calibración</t>
  </si>
  <si>
    <t>Fecha de calibración</t>
  </si>
  <si>
    <t>Solicitante</t>
  </si>
  <si>
    <t>Dirección del Solicitante</t>
  </si>
  <si>
    <t>Certificado N°</t>
  </si>
  <si>
    <t>DATOS DE LA PESA DE REFERENCIA</t>
  </si>
  <si>
    <t>DATOS DE LA PESA DE PRUEBA</t>
  </si>
  <si>
    <t>Clase</t>
  </si>
  <si>
    <t>Fabricante</t>
  </si>
  <si>
    <t>Serial</t>
  </si>
  <si>
    <t>Marcación</t>
  </si>
  <si>
    <t>Fecha de Calibración</t>
  </si>
  <si>
    <r>
      <t xml:space="preserve">Valor Nominal </t>
    </r>
    <r>
      <rPr>
        <b/>
        <i/>
        <sz val="10"/>
        <color theme="1"/>
        <rFont val="Arial"/>
        <family val="2"/>
      </rPr>
      <t>m</t>
    </r>
    <r>
      <rPr>
        <b/>
        <i/>
        <vertAlign val="subscript"/>
        <sz val="10"/>
        <color theme="1"/>
        <rFont val="Arial"/>
        <family val="2"/>
      </rPr>
      <t>Nt</t>
    </r>
  </si>
  <si>
    <t>g</t>
  </si>
  <si>
    <r>
      <t xml:space="preserve">Valor Nominal </t>
    </r>
    <r>
      <rPr>
        <b/>
        <i/>
        <sz val="10"/>
        <color theme="1"/>
        <rFont val="Arial"/>
        <family val="2"/>
      </rPr>
      <t>m</t>
    </r>
    <r>
      <rPr>
        <b/>
        <i/>
        <vertAlign val="subscript"/>
        <sz val="10"/>
        <color theme="1"/>
        <rFont val="Arial"/>
        <family val="2"/>
      </rPr>
      <t>Nr</t>
    </r>
  </si>
  <si>
    <r>
      <t xml:space="preserve">Densidad </t>
    </r>
    <r>
      <rPr>
        <b/>
        <i/>
        <sz val="10"/>
        <color theme="1"/>
        <rFont val="Arial"/>
        <family val="2"/>
      </rPr>
      <t>ρ</t>
    </r>
    <r>
      <rPr>
        <b/>
        <i/>
        <vertAlign val="subscript"/>
        <sz val="10"/>
        <color theme="1"/>
        <rFont val="Arial"/>
        <family val="2"/>
      </rPr>
      <t>t</t>
    </r>
  </si>
  <si>
    <r>
      <t>kg/m</t>
    </r>
    <r>
      <rPr>
        <vertAlign val="superscript"/>
        <sz val="11"/>
        <color theme="1"/>
        <rFont val="Times New Roman"/>
        <family val="1"/>
      </rPr>
      <t>3</t>
    </r>
  </si>
  <si>
    <r>
      <t xml:space="preserve">Error </t>
    </r>
    <r>
      <rPr>
        <b/>
        <i/>
        <sz val="10"/>
        <color theme="1"/>
        <rFont val="Arial"/>
        <family val="2"/>
      </rPr>
      <t>e</t>
    </r>
    <r>
      <rPr>
        <b/>
        <i/>
        <vertAlign val="subscript"/>
        <sz val="10"/>
        <color theme="1"/>
        <rFont val="Arial"/>
        <family val="2"/>
      </rPr>
      <t>r</t>
    </r>
  </si>
  <si>
    <t>mg</t>
  </si>
  <si>
    <r>
      <t>Incertidumbre de densidad U</t>
    </r>
    <r>
      <rPr>
        <b/>
        <i/>
        <sz val="10"/>
        <color theme="1"/>
        <rFont val="Arial"/>
        <family val="2"/>
      </rPr>
      <t>(ρ</t>
    </r>
    <r>
      <rPr>
        <b/>
        <i/>
        <vertAlign val="subscript"/>
        <sz val="10"/>
        <color theme="1"/>
        <rFont val="Arial"/>
        <family val="2"/>
      </rPr>
      <t>t</t>
    </r>
    <r>
      <rPr>
        <b/>
        <i/>
        <sz val="10"/>
        <color theme="1"/>
        <rFont val="Arial"/>
        <family val="2"/>
      </rPr>
      <t>)</t>
    </r>
  </si>
  <si>
    <r>
      <t xml:space="preserve">Incertidumbre de calibración </t>
    </r>
    <r>
      <rPr>
        <b/>
        <i/>
        <sz val="10"/>
        <color theme="1"/>
        <rFont val="Arial"/>
        <family val="2"/>
      </rPr>
      <t>U(m</t>
    </r>
    <r>
      <rPr>
        <b/>
        <i/>
        <vertAlign val="subscript"/>
        <sz val="10"/>
        <color theme="1"/>
        <rFont val="Arial"/>
        <family val="2"/>
      </rPr>
      <t>cr</t>
    </r>
    <r>
      <rPr>
        <b/>
        <i/>
        <sz val="10"/>
        <color theme="1"/>
        <rFont val="Arial"/>
        <family val="2"/>
      </rPr>
      <t>)</t>
    </r>
    <r>
      <rPr>
        <b/>
        <sz val="10"/>
        <color theme="1"/>
        <rFont val="Arial"/>
        <family val="2"/>
      </rPr>
      <t xml:space="preserve"> (k=2)</t>
    </r>
  </si>
  <si>
    <r>
      <t xml:space="preserve">Densidad </t>
    </r>
    <r>
      <rPr>
        <b/>
        <i/>
        <sz val="10"/>
        <color theme="1"/>
        <rFont val="Arial"/>
        <family val="2"/>
      </rPr>
      <t>ρ</t>
    </r>
    <r>
      <rPr>
        <b/>
        <i/>
        <vertAlign val="subscript"/>
        <sz val="10"/>
        <color theme="1"/>
        <rFont val="Arial"/>
        <family val="2"/>
      </rPr>
      <t>r</t>
    </r>
  </si>
  <si>
    <r>
      <t>kg/m</t>
    </r>
    <r>
      <rPr>
        <vertAlign val="superscript"/>
        <sz val="10"/>
        <color theme="1"/>
        <rFont val="Arial"/>
        <family val="2"/>
      </rPr>
      <t>3</t>
    </r>
  </si>
  <si>
    <t>DATOS DEL INSTRUMENTO DE PESAJE DE FUNCIONAMIENTO NO AUTOMÁTICO-IPFNA</t>
  </si>
  <si>
    <r>
      <t xml:space="preserve">Incertidumbre de densidad </t>
    </r>
    <r>
      <rPr>
        <b/>
        <i/>
        <sz val="10"/>
        <color theme="1"/>
        <rFont val="Arial"/>
        <family val="2"/>
      </rPr>
      <t>u(ρ</t>
    </r>
    <r>
      <rPr>
        <b/>
        <i/>
        <vertAlign val="subscript"/>
        <sz val="10"/>
        <color theme="1"/>
        <rFont val="Arial"/>
        <family val="2"/>
      </rPr>
      <t>r</t>
    </r>
    <r>
      <rPr>
        <b/>
        <i/>
        <sz val="10"/>
        <color theme="1"/>
        <rFont val="Arial"/>
        <family val="2"/>
      </rPr>
      <t xml:space="preserve">) </t>
    </r>
  </si>
  <si>
    <r>
      <t>Densidad Aire en calibración</t>
    </r>
    <r>
      <rPr>
        <i/>
        <sz val="10"/>
        <color theme="1"/>
        <rFont val="Arial"/>
        <family val="2"/>
      </rPr>
      <t xml:space="preserve"> ρ</t>
    </r>
    <r>
      <rPr>
        <i/>
        <vertAlign val="subscript"/>
        <sz val="10"/>
        <color theme="1"/>
        <rFont val="Arial"/>
        <family val="2"/>
      </rPr>
      <t>a1</t>
    </r>
  </si>
  <si>
    <r>
      <t xml:space="preserve">Resolución </t>
    </r>
    <r>
      <rPr>
        <i/>
        <sz val="10"/>
        <color theme="1"/>
        <rFont val="Arial"/>
        <family val="2"/>
      </rPr>
      <t>d</t>
    </r>
  </si>
  <si>
    <t>Código Interno</t>
  </si>
  <si>
    <t>DATOS TERMOHIGRÓMETRO - BARÓMETRO</t>
  </si>
  <si>
    <t>Serie</t>
  </si>
  <si>
    <t>Fecha Certificado</t>
  </si>
  <si>
    <r>
      <t xml:space="preserve">Incertidumbre </t>
    </r>
    <r>
      <rPr>
        <b/>
        <sz val="10"/>
        <color theme="0"/>
        <rFont val="Calibri"/>
        <family val="2"/>
      </rPr>
      <t>±</t>
    </r>
    <r>
      <rPr>
        <b/>
        <sz val="10"/>
        <color theme="0"/>
        <rFont val="Arial"/>
        <family val="2"/>
      </rPr>
      <t xml:space="preserve">  U (k=2)</t>
    </r>
  </si>
  <si>
    <t>Temperatura (°C)</t>
  </si>
  <si>
    <t>Humedad relativa (% hr)</t>
  </si>
  <si>
    <t>Presión (hPa)</t>
  </si>
  <si>
    <t>CICLOS DE PESAJE</t>
  </si>
  <si>
    <t>Hora inicial</t>
  </si>
  <si>
    <r>
      <t xml:space="preserve">N° de Ciclos </t>
    </r>
    <r>
      <rPr>
        <b/>
        <sz val="14"/>
        <color theme="1"/>
        <rFont val="Arial"/>
        <family val="2"/>
      </rPr>
      <t>n</t>
    </r>
  </si>
  <si>
    <t>INDICACIONES (g)</t>
  </si>
  <si>
    <t>Ciclo</t>
  </si>
  <si>
    <t>Nombre del Metrólogo</t>
  </si>
  <si>
    <t>Carga</t>
  </si>
  <si>
    <t>A</t>
  </si>
  <si>
    <t>B</t>
  </si>
  <si>
    <t>Hora final</t>
  </si>
  <si>
    <t>ANÁLISIS DE DATOS</t>
  </si>
  <si>
    <t>PROMEDIOS (g)</t>
  </si>
  <si>
    <t>OBSERVACIONES</t>
  </si>
  <si>
    <t>Promedio</t>
  </si>
  <si>
    <r>
      <t xml:space="preserve">Desviación
</t>
    </r>
    <r>
      <rPr>
        <b/>
        <i/>
        <sz val="11"/>
        <color theme="0"/>
        <rFont val="Arial"/>
        <family val="2"/>
      </rPr>
      <t>s</t>
    </r>
  </si>
  <si>
    <t>CÁLCULO DENSIDAD DEL AIRE</t>
  </si>
  <si>
    <t>Condiciones ambientales durante la calibración</t>
  </si>
  <si>
    <t>Magnitud</t>
  </si>
  <si>
    <r>
      <t xml:space="preserve">Densidad aire </t>
    </r>
    <r>
      <rPr>
        <b/>
        <i/>
        <sz val="11"/>
        <color theme="0"/>
        <rFont val="Arial"/>
        <family val="2"/>
      </rPr>
      <t>ρ</t>
    </r>
    <r>
      <rPr>
        <b/>
        <i/>
        <vertAlign val="subscript"/>
        <sz val="11"/>
        <color theme="0"/>
        <rFont val="Arial"/>
        <family val="2"/>
      </rPr>
      <t>a</t>
    </r>
  </si>
  <si>
    <r>
      <t>kg.m</t>
    </r>
    <r>
      <rPr>
        <b/>
        <vertAlign val="superscript"/>
        <sz val="11"/>
        <color theme="1"/>
        <rFont val="Arial"/>
        <family val="2"/>
      </rPr>
      <t>-3</t>
    </r>
  </si>
  <si>
    <t>Promedios</t>
  </si>
  <si>
    <r>
      <t xml:space="preserve">Incertidumbre densidad aire </t>
    </r>
    <r>
      <rPr>
        <b/>
        <i/>
        <sz val="11"/>
        <color theme="0"/>
        <rFont val="Arial"/>
        <family val="2"/>
      </rPr>
      <t>u(ρ</t>
    </r>
    <r>
      <rPr>
        <b/>
        <i/>
        <vertAlign val="subscript"/>
        <sz val="11"/>
        <color theme="0"/>
        <rFont val="Arial"/>
        <family val="2"/>
      </rPr>
      <t>a</t>
    </r>
    <r>
      <rPr>
        <b/>
        <i/>
        <sz val="11"/>
        <color theme="0"/>
        <rFont val="Arial"/>
        <family val="2"/>
      </rPr>
      <t>)</t>
    </r>
  </si>
  <si>
    <t xml:space="preserve">Promedios Corregidos </t>
  </si>
  <si>
    <r>
      <t>Densidad aire convencional</t>
    </r>
    <r>
      <rPr>
        <b/>
        <sz val="14"/>
        <color theme="0"/>
        <rFont val="Arial"/>
        <family val="2"/>
      </rPr>
      <t xml:space="preserve"> </t>
    </r>
    <r>
      <rPr>
        <i/>
        <sz val="14"/>
        <color theme="0"/>
        <rFont val="Arial"/>
        <family val="2"/>
      </rPr>
      <t>ρ</t>
    </r>
    <r>
      <rPr>
        <i/>
        <vertAlign val="subscript"/>
        <sz val="14"/>
        <color theme="0"/>
        <rFont val="Arial"/>
        <family val="2"/>
      </rPr>
      <t>0</t>
    </r>
  </si>
  <si>
    <t>DIFERENCIA PROMEDIO DE LA MASA CONVENCIONAL</t>
  </si>
  <si>
    <t>Promedio Indicación</t>
  </si>
  <si>
    <r>
      <t xml:space="preserve">Masa convencional de referencia </t>
    </r>
    <r>
      <rPr>
        <i/>
        <sz val="11"/>
        <color theme="1"/>
        <rFont val="Arial"/>
        <family val="2"/>
      </rPr>
      <t>m</t>
    </r>
    <r>
      <rPr>
        <i/>
        <vertAlign val="subscript"/>
        <sz val="11"/>
        <color theme="1"/>
        <rFont val="Arial"/>
        <family val="2"/>
      </rPr>
      <t>cr</t>
    </r>
  </si>
  <si>
    <t>Corrección empuje aire</t>
  </si>
  <si>
    <t>C</t>
  </si>
  <si>
    <t>Diferencia masa convencional</t>
  </si>
  <si>
    <t>PRESUPUESTO DE INCERTIDUMBRE</t>
  </si>
  <si>
    <t>Incertidumbre típica</t>
  </si>
  <si>
    <t>Distribución</t>
  </si>
  <si>
    <t>Aporte a la Incertidumbre</t>
  </si>
  <si>
    <t>Proceso de pesaje</t>
  </si>
  <si>
    <t>Normal</t>
  </si>
  <si>
    <t>Calibración pesa referencia</t>
  </si>
  <si>
    <t>U/k</t>
  </si>
  <si>
    <t>Condicional incertidumbre dominante</t>
  </si>
  <si>
    <t>Inestabilidad pesa referencia</t>
  </si>
  <si>
    <t>Rectangular</t>
  </si>
  <si>
    <t>Incertidumbre dominante</t>
  </si>
  <si>
    <t>SI</t>
  </si>
  <si>
    <t>≤ 0,3</t>
  </si>
  <si>
    <t>k=1,65</t>
  </si>
  <si>
    <t>Pesa de referencia</t>
  </si>
  <si>
    <r>
      <rPr>
        <b/>
        <sz val="12"/>
        <rFont val="Tahoma"/>
        <family val="2"/>
      </rPr>
      <t>≥</t>
    </r>
    <r>
      <rPr>
        <b/>
        <sz val="12"/>
        <rFont val="Arial"/>
        <family val="2"/>
      </rPr>
      <t xml:space="preserve"> 0,3</t>
    </r>
  </si>
  <si>
    <t>k= 2</t>
  </si>
  <si>
    <t>Densidad  del aire</t>
  </si>
  <si>
    <t>Densidad pesa prueba</t>
  </si>
  <si>
    <t>Densidad pesa referencia</t>
  </si>
  <si>
    <t>Corrección por empuje del aire</t>
  </si>
  <si>
    <t>Resolución balanza</t>
  </si>
  <si>
    <t>Grados efectivos de libertad</t>
  </si>
  <si>
    <t>Factor de cobertura k</t>
  </si>
  <si>
    <t xml:space="preserve">Nivel de Confianza            </t>
  </si>
  <si>
    <t>Incertidumbre por repetibilidad del método</t>
  </si>
  <si>
    <t>Incertidumbre estándar combinada</t>
  </si>
  <si>
    <t>Incertidumbre 
expandida</t>
  </si>
  <si>
    <t>RESULTADOS</t>
  </si>
  <si>
    <t xml:space="preserve">Masa convencional </t>
  </si>
  <si>
    <t>Error en masa convencional (mg)</t>
  </si>
  <si>
    <t xml:space="preserve">           </t>
  </si>
  <si>
    <t>±</t>
  </si>
  <si>
    <t xml:space="preserve">Incertidumbre masa convencional           </t>
  </si>
  <si>
    <t xml:space="preserve"> </t>
  </si>
  <si>
    <r>
      <t xml:space="preserve">Valor Nominal </t>
    </r>
    <r>
      <rPr>
        <b/>
        <i/>
        <sz val="10"/>
        <rFont val="Arial"/>
        <family val="2"/>
      </rPr>
      <t>m</t>
    </r>
    <r>
      <rPr>
        <b/>
        <i/>
        <vertAlign val="subscript"/>
        <sz val="10"/>
        <rFont val="Arial"/>
        <family val="2"/>
      </rPr>
      <t>Nr</t>
    </r>
  </si>
  <si>
    <t>Grados Efectivos  de libertad</t>
  </si>
  <si>
    <t>Descargar datos del termohigrómetro utilizado en la calibración-condiciones ambientales máximas y mínimas  Incluir evidencia de condiciones ambientales (pantallazo)</t>
  </si>
  <si>
    <t>Limites para calibración</t>
  </si>
  <si>
    <t>Min °C</t>
  </si>
  <si>
    <t>Max °C</t>
  </si>
  <si>
    <t>Hora Inicio</t>
  </si>
  <si>
    <t>Hora Final</t>
  </si>
  <si>
    <t>1 mg</t>
  </si>
  <si>
    <t>Termohigrómetro</t>
  </si>
  <si>
    <t>10 mg</t>
  </si>
  <si>
    <t>100 mg</t>
  </si>
  <si>
    <t>Min %hr</t>
  </si>
  <si>
    <t>Max %hr</t>
  </si>
  <si>
    <t>Fecha</t>
  </si>
  <si>
    <t>Información</t>
  </si>
  <si>
    <t>°C</t>
  </si>
  <si>
    <t>% hr</t>
  </si>
  <si>
    <t>hPa</t>
  </si>
  <si>
    <t>Mínimo</t>
  </si>
  <si>
    <t>Min hPa</t>
  </si>
  <si>
    <t>Max hPa</t>
  </si>
  <si>
    <t>Máximo</t>
  </si>
  <si>
    <t>Mínimo Corregido</t>
  </si>
  <si>
    <t>Máximo Corregido</t>
  </si>
  <si>
    <t>2 mg</t>
  </si>
  <si>
    <t>20 mg</t>
  </si>
  <si>
    <t>200 mg</t>
  </si>
  <si>
    <t>2 mg*</t>
  </si>
  <si>
    <t>20 mg*</t>
  </si>
  <si>
    <t>200 mg*</t>
  </si>
  <si>
    <t>5 mg</t>
  </si>
  <si>
    <t>50 mg</t>
  </si>
  <si>
    <t>500 mg</t>
  </si>
  <si>
    <t>N°</t>
  </si>
  <si>
    <t>Marcación de la (s) pesa (s)</t>
  </si>
  <si>
    <t>Valor Nominal</t>
  </si>
  <si>
    <t xml:space="preserve">Error en masa convencional </t>
  </si>
  <si>
    <t>Incertidumbre de calibración</t>
  </si>
  <si>
    <t xml:space="preserve"> ±EMP </t>
  </si>
  <si>
    <t>Probabilidad de conformidad</t>
  </si>
  <si>
    <t>Probabilidad de NO conformidad</t>
  </si>
  <si>
    <t>|E|</t>
  </si>
  <si>
    <t xml:space="preserve">Z </t>
  </si>
  <si>
    <t>Error de referencia</t>
  </si>
  <si>
    <t>cumple</t>
  </si>
  <si>
    <t xml:space="preserve"> ± EMP</t>
  </si>
  <si>
    <t>Información del Cliente</t>
  </si>
  <si>
    <t xml:space="preserve">Solicitante:                    </t>
  </si>
  <si>
    <t xml:space="preserve">Dirección:                       </t>
  </si>
  <si>
    <t xml:space="preserve">Ciudad:                          </t>
  </si>
  <si>
    <t>Fecha de recepción:</t>
  </si>
  <si>
    <t>Fecha de calibración:</t>
  </si>
  <si>
    <t>1.   INFORMACIÓN DEL EQUIPO SOMETIDO A CALIBRACIÓN</t>
  </si>
  <si>
    <t>Objeto:</t>
  </si>
  <si>
    <t>Juego de pesas de 1 mg a 500 mg</t>
  </si>
  <si>
    <t>Fabricante:</t>
  </si>
  <si>
    <t>Número de serie:</t>
  </si>
  <si>
    <t>Clase de exactitud</t>
  </si>
  <si>
    <t>Número de pesas suministradas para la calibración:</t>
  </si>
  <si>
    <t xml:space="preserve">2.   LUGAR Y DIRECCIÓN DE CALIBRACIÓN </t>
  </si>
  <si>
    <t>3.  CÓDIGO INTERNO</t>
  </si>
  <si>
    <t xml:space="preserve">4.   MÉTODO DE CALIBRACIÓN  UTILIZADO   </t>
  </si>
  <si>
    <t>En la calibración se utilizó el método " ABBA " establecido en el documento normativo NTC 1848:2007 (según el alcance de acreditación).</t>
  </si>
  <si>
    <t>5.   DESCRIPCIÓN DE LA (S) PESA (S) CALIBRADA (S)</t>
  </si>
  <si>
    <t>Pesa (s)</t>
  </si>
  <si>
    <t>Forma</t>
  </si>
  <si>
    <t>Material</t>
  </si>
  <si>
    <t>Densidad</t>
  </si>
  <si>
    <t>Valor</t>
  </si>
  <si>
    <t>Incertidumbre (±)  (k=2)</t>
  </si>
  <si>
    <t>Lámina</t>
  </si>
  <si>
    <t xml:space="preserve">kg/m³   </t>
  </si>
  <si>
    <t>kg/m³</t>
  </si>
  <si>
    <t>6.    TRAZABILIDAD METROLÓGICA</t>
  </si>
  <si>
    <t>Descripción del patrón</t>
  </si>
  <si>
    <t>Certificado</t>
  </si>
  <si>
    <t>Juego de pesas de 1 mg a 5 mg</t>
  </si>
  <si>
    <t>7.   INCERTIDUMBRE DE MEDICIÓN</t>
  </si>
  <si>
    <t>8.   RESULTADOS DE LA CALIBRACIÓN</t>
  </si>
  <si>
    <t>No</t>
  </si>
  <si>
    <t>Masa convencional</t>
  </si>
  <si>
    <r>
      <t xml:space="preserve">Incertidumbre expandida de la medición    </t>
    </r>
    <r>
      <rPr>
        <b/>
        <sz val="11"/>
        <color theme="1"/>
        <rFont val="Calibri"/>
        <family val="2"/>
      </rPr>
      <t xml:space="preserve">  </t>
    </r>
    <r>
      <rPr>
        <b/>
        <sz val="11"/>
        <color theme="1"/>
        <rFont val="Arial"/>
        <family val="2"/>
      </rPr>
      <t>U (k=2)</t>
    </r>
  </si>
  <si>
    <r>
      <t>EMP Clase M</t>
    </r>
    <r>
      <rPr>
        <b/>
        <vertAlign val="subscript"/>
        <sz val="11"/>
        <color theme="1"/>
        <rFont val="Arial"/>
        <family val="2"/>
      </rPr>
      <t>1</t>
    </r>
    <r>
      <rPr>
        <b/>
        <sz val="11"/>
        <color theme="1"/>
        <rFont val="Arial"/>
        <family val="2"/>
      </rPr>
      <t xml:space="preserve"> ± </t>
    </r>
  </si>
  <si>
    <t>Temperatura (°C) corregida</t>
  </si>
  <si>
    <t>Humedad relativa
 (% hr) corregida</t>
  </si>
  <si>
    <t>Presión atmosférica (hPa) corregida</t>
  </si>
  <si>
    <t xml:space="preserve">Cumple </t>
  </si>
  <si>
    <t xml:space="preserve">Valor Nominal  </t>
  </si>
  <si>
    <t xml:space="preserve"> Error </t>
  </si>
  <si>
    <t>Máxima</t>
  </si>
  <si>
    <t>Mínima</t>
  </si>
  <si>
    <t>SI/NO</t>
  </si>
  <si>
    <t>9.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</si>
  <si>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</si>
  <si>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</si>
  <si>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</si>
  <si>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</si>
  <si>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estuche del equipo calibrado una estampilla, identificada con el número del  certificado.</t>
  </si>
  <si>
    <t>En el presente certificado, el separador decimal es la coma (,)</t>
  </si>
  <si>
    <t>Este certificado de calibración no puede ser reproducido parcialmente,  excepto  con  autorización  del  laboratorio  de la Superintendencia de Industria y Comercio.</t>
  </si>
  <si>
    <t>Las pesas se limpiaron teniendo en cuenta lo definido en el  numeral B.4, de la NTC 1848:2007.</t>
  </si>
  <si>
    <t>Los resultados de la medición son trazables al Sistema Internacional de Unidades (SI).</t>
  </si>
  <si>
    <t>El laboratorio no se responsabiliza de los resultados que puedan ser afectados por la desviación del estado en que se recibió el equipo.</t>
  </si>
  <si>
    <t>Firma Autorizada</t>
  </si>
  <si>
    <t>Calibrado por</t>
  </si>
  <si>
    <t xml:space="preserve">Fecha de elaboración:  </t>
  </si>
  <si>
    <t xml:space="preserve">Fecha de emisión:  </t>
  </si>
  <si>
    <t>………………………..FIN DE ESTE DOCUMENTO………………………..</t>
  </si>
  <si>
    <t>Información de Calibración</t>
  </si>
  <si>
    <t>Datos de las Pesas Patrón</t>
  </si>
  <si>
    <t>Ciudad de Origen</t>
  </si>
  <si>
    <t>Fecha de Recepción          Ver RT03-F09</t>
  </si>
  <si>
    <t>Lugar y dirección de calibración</t>
  </si>
  <si>
    <t>Código interno       LCP-XX-XXXXX          N° Radicado</t>
  </si>
  <si>
    <t>N °  Certificado y Estampilla 
LCP-XXX-XX</t>
  </si>
  <si>
    <t>Pesas</t>
  </si>
  <si>
    <t>Certificado Actual</t>
  </si>
  <si>
    <t>Fecha de calibración Actual</t>
  </si>
  <si>
    <t>Valor nominal (g)</t>
  </si>
  <si>
    <t>Error (mg) Anterior según certificado</t>
  </si>
  <si>
    <t>Error (mg) Actual según certificado</t>
  </si>
  <si>
    <t>Deriva (mg)</t>
  </si>
  <si>
    <t>Incertidumbre de calibración (mg)</t>
  </si>
  <si>
    <r>
      <t>Densidad kg/m</t>
    </r>
    <r>
      <rPr>
        <b/>
        <vertAlign val="superscript"/>
        <sz val="12"/>
        <rFont val="Arial"/>
        <family val="2"/>
      </rPr>
      <t>3</t>
    </r>
  </si>
  <si>
    <r>
      <t>Incertidumbre de densidad kg/m</t>
    </r>
    <r>
      <rPr>
        <b/>
        <vertAlign val="superscript"/>
        <sz val="12"/>
        <rFont val="Arial"/>
        <family val="2"/>
      </rPr>
      <t>3</t>
    </r>
  </si>
  <si>
    <r>
      <t>Densidad del aire kg/m</t>
    </r>
    <r>
      <rPr>
        <b/>
        <vertAlign val="superscript"/>
        <sz val="12"/>
        <rFont val="Arial"/>
        <family val="2"/>
      </rPr>
      <t>3</t>
    </r>
  </si>
  <si>
    <r>
      <t>E</t>
    </r>
    <r>
      <rPr>
        <vertAlign val="subscript"/>
        <sz val="12"/>
        <rFont val="Arial"/>
        <family val="2"/>
      </rPr>
      <t>2</t>
    </r>
    <r>
      <rPr>
        <sz val="12"/>
        <rFont val="Arial"/>
        <family val="2"/>
      </rPr>
      <t xml:space="preserve">   1 g  </t>
    </r>
  </si>
  <si>
    <r>
      <t>E</t>
    </r>
    <r>
      <rPr>
        <vertAlign val="subscript"/>
        <sz val="12"/>
        <rFont val="Arial"/>
        <family val="2"/>
      </rPr>
      <t xml:space="preserve"> 2</t>
    </r>
  </si>
  <si>
    <t>Sartorius</t>
  </si>
  <si>
    <t>AJS</t>
  </si>
  <si>
    <t>M-001</t>
  </si>
  <si>
    <r>
      <t>E</t>
    </r>
    <r>
      <rPr>
        <vertAlign val="subscript"/>
        <sz val="12"/>
        <rFont val="Arial"/>
        <family val="2"/>
      </rPr>
      <t xml:space="preserve">2 </t>
    </r>
    <r>
      <rPr>
        <sz val="12"/>
        <rFont val="Arial"/>
        <family val="2"/>
      </rPr>
      <t xml:space="preserve">  2 g  </t>
    </r>
  </si>
  <si>
    <t>AKI</t>
  </si>
  <si>
    <t>2 mg *</t>
  </si>
  <si>
    <r>
      <t>E</t>
    </r>
    <r>
      <rPr>
        <vertAlign val="subscript"/>
        <sz val="12"/>
        <rFont val="Arial"/>
        <family val="2"/>
      </rPr>
      <t>2</t>
    </r>
    <r>
      <rPr>
        <sz val="12"/>
        <rFont val="Arial"/>
        <family val="2"/>
      </rPr>
      <t xml:space="preserve">   2 g AKJ</t>
    </r>
  </si>
  <si>
    <t>AKJ</t>
  </si>
  <si>
    <r>
      <t>E</t>
    </r>
    <r>
      <rPr>
        <vertAlign val="subscript"/>
        <sz val="12"/>
        <rFont val="Arial"/>
        <family val="2"/>
      </rPr>
      <t>2</t>
    </r>
    <r>
      <rPr>
        <sz val="12"/>
        <rFont val="Arial"/>
        <family val="2"/>
      </rPr>
      <t xml:space="preserve">   5 g  </t>
    </r>
  </si>
  <si>
    <t>AGU</t>
  </si>
  <si>
    <r>
      <t>E</t>
    </r>
    <r>
      <rPr>
        <vertAlign val="subscript"/>
        <sz val="12"/>
        <rFont val="Arial"/>
        <family val="2"/>
      </rPr>
      <t xml:space="preserve">2 </t>
    </r>
    <r>
      <rPr>
        <sz val="12"/>
        <rFont val="Arial"/>
        <family val="2"/>
      </rPr>
      <t xml:space="preserve">  10 g  </t>
    </r>
  </si>
  <si>
    <t>AH3</t>
  </si>
  <si>
    <r>
      <t>E</t>
    </r>
    <r>
      <rPr>
        <vertAlign val="subscript"/>
        <sz val="12"/>
        <rFont val="Arial"/>
        <family val="2"/>
      </rPr>
      <t>2</t>
    </r>
    <r>
      <rPr>
        <sz val="12"/>
        <rFont val="Arial"/>
        <family val="2"/>
      </rPr>
      <t xml:space="preserve">   20 g  </t>
    </r>
  </si>
  <si>
    <t>AJ1</t>
  </si>
  <si>
    <t>20 mg *</t>
  </si>
  <si>
    <r>
      <t>E</t>
    </r>
    <r>
      <rPr>
        <vertAlign val="subscript"/>
        <sz val="12"/>
        <rFont val="Arial"/>
        <family val="2"/>
      </rPr>
      <t>2</t>
    </r>
    <r>
      <rPr>
        <sz val="12"/>
        <rFont val="Arial"/>
        <family val="2"/>
      </rPr>
      <t xml:space="preserve">   20 g AKA</t>
    </r>
  </si>
  <si>
    <t>AKA</t>
  </si>
  <si>
    <r>
      <t>E</t>
    </r>
    <r>
      <rPr>
        <vertAlign val="subscript"/>
        <sz val="12"/>
        <rFont val="Arial"/>
        <family val="2"/>
      </rPr>
      <t>2</t>
    </r>
    <r>
      <rPr>
        <sz val="12"/>
        <rFont val="Arial"/>
        <family val="2"/>
      </rPr>
      <t xml:space="preserve">   50 g  </t>
    </r>
  </si>
  <si>
    <t>AHL</t>
  </si>
  <si>
    <r>
      <t>E</t>
    </r>
    <r>
      <rPr>
        <vertAlign val="subscript"/>
        <sz val="12"/>
        <rFont val="Arial"/>
        <family val="2"/>
      </rPr>
      <t>2</t>
    </r>
    <r>
      <rPr>
        <sz val="12"/>
        <rFont val="Arial"/>
        <family val="2"/>
      </rPr>
      <t xml:space="preserve">   100 g  </t>
    </r>
  </si>
  <si>
    <t>AJG</t>
  </si>
  <si>
    <r>
      <t>E</t>
    </r>
    <r>
      <rPr>
        <vertAlign val="subscript"/>
        <sz val="12"/>
        <rFont val="Arial"/>
        <family val="2"/>
      </rPr>
      <t>2</t>
    </r>
    <r>
      <rPr>
        <sz val="12"/>
        <rFont val="Arial"/>
        <family val="2"/>
      </rPr>
      <t xml:space="preserve">   200 g  </t>
    </r>
  </si>
  <si>
    <t>ALZ</t>
  </si>
  <si>
    <t>200 mg *</t>
  </si>
  <si>
    <r>
      <t>E</t>
    </r>
    <r>
      <rPr>
        <vertAlign val="subscript"/>
        <sz val="12"/>
        <rFont val="Arial"/>
        <family val="2"/>
      </rPr>
      <t>2</t>
    </r>
    <r>
      <rPr>
        <sz val="12"/>
        <rFont val="Arial"/>
        <family val="2"/>
      </rPr>
      <t xml:space="preserve">   200 g ALW </t>
    </r>
  </si>
  <si>
    <t>ALW</t>
  </si>
  <si>
    <r>
      <t>E</t>
    </r>
    <r>
      <rPr>
        <vertAlign val="subscript"/>
        <sz val="12"/>
        <rFont val="Arial"/>
        <family val="2"/>
      </rPr>
      <t>2</t>
    </r>
    <r>
      <rPr>
        <sz val="12"/>
        <rFont val="Arial"/>
        <family val="2"/>
      </rPr>
      <t xml:space="preserve">   500 g  </t>
    </r>
  </si>
  <si>
    <t>ACT</t>
  </si>
  <si>
    <t>1 g</t>
  </si>
  <si>
    <r>
      <t>E</t>
    </r>
    <r>
      <rPr>
        <vertAlign val="subscript"/>
        <sz val="12"/>
        <rFont val="Arial"/>
        <family val="2"/>
      </rPr>
      <t>2</t>
    </r>
    <r>
      <rPr>
        <sz val="12"/>
        <rFont val="Arial"/>
        <family val="2"/>
      </rPr>
      <t xml:space="preserve">   1 000 g  </t>
    </r>
  </si>
  <si>
    <t>ABN</t>
  </si>
  <si>
    <t>2 g</t>
  </si>
  <si>
    <r>
      <t>E</t>
    </r>
    <r>
      <rPr>
        <vertAlign val="subscript"/>
        <sz val="12"/>
        <rFont val="Arial"/>
        <family val="2"/>
      </rPr>
      <t xml:space="preserve">2 </t>
    </r>
    <r>
      <rPr>
        <sz val="12"/>
        <rFont val="Arial"/>
        <family val="2"/>
      </rPr>
      <t xml:space="preserve">  2 000 g  </t>
    </r>
  </si>
  <si>
    <t>AC1</t>
  </si>
  <si>
    <t>2 g *</t>
  </si>
  <si>
    <r>
      <t>E</t>
    </r>
    <r>
      <rPr>
        <vertAlign val="subscript"/>
        <sz val="12"/>
        <rFont val="Arial"/>
        <family val="2"/>
      </rPr>
      <t>2</t>
    </r>
    <r>
      <rPr>
        <sz val="12"/>
        <rFont val="Arial"/>
        <family val="2"/>
      </rPr>
      <t xml:space="preserve">   2 000 g AC1 </t>
    </r>
  </si>
  <si>
    <t>ABY</t>
  </si>
  <si>
    <t xml:space="preserve">5 g </t>
  </si>
  <si>
    <r>
      <t>E</t>
    </r>
    <r>
      <rPr>
        <vertAlign val="subscript"/>
        <sz val="12"/>
        <rFont val="Arial"/>
        <family val="2"/>
      </rPr>
      <t>2</t>
    </r>
    <r>
      <rPr>
        <sz val="12"/>
        <rFont val="Arial"/>
        <family val="2"/>
      </rPr>
      <t xml:space="preserve">   5 000 g  </t>
    </r>
  </si>
  <si>
    <t>AB9</t>
  </si>
  <si>
    <t>10 g</t>
  </si>
  <si>
    <r>
      <t>E</t>
    </r>
    <r>
      <rPr>
        <vertAlign val="subscript"/>
        <sz val="12"/>
        <rFont val="Arial"/>
        <family val="2"/>
      </rPr>
      <t>2</t>
    </r>
    <r>
      <rPr>
        <sz val="12"/>
        <rFont val="Arial"/>
        <family val="2"/>
      </rPr>
      <t xml:space="preserve"> 10 kg</t>
    </r>
  </si>
  <si>
    <t>AAM</t>
  </si>
  <si>
    <t>20 g</t>
  </si>
  <si>
    <r>
      <t>F</t>
    </r>
    <r>
      <rPr>
        <vertAlign val="subscript"/>
        <sz val="12"/>
        <rFont val="Arial"/>
        <family val="2"/>
      </rPr>
      <t xml:space="preserve">1 </t>
    </r>
    <r>
      <rPr>
        <sz val="12"/>
        <rFont val="Arial"/>
        <family val="2"/>
      </rPr>
      <t xml:space="preserve">  10 000 g</t>
    </r>
  </si>
  <si>
    <r>
      <t xml:space="preserve">F </t>
    </r>
    <r>
      <rPr>
        <vertAlign val="subscript"/>
        <sz val="12"/>
        <rFont val="Arial"/>
        <family val="2"/>
      </rPr>
      <t>1</t>
    </r>
  </si>
  <si>
    <t>Mettler Toledo</t>
  </si>
  <si>
    <t>M-003</t>
  </si>
  <si>
    <t>20 g *</t>
  </si>
  <si>
    <r>
      <t>F</t>
    </r>
    <r>
      <rPr>
        <vertAlign val="subscript"/>
        <sz val="12"/>
        <rFont val="Arial"/>
        <family val="2"/>
      </rPr>
      <t>1</t>
    </r>
    <r>
      <rPr>
        <sz val="12"/>
        <rFont val="Arial"/>
        <family val="2"/>
      </rPr>
      <t xml:space="preserve">   20 000 g</t>
    </r>
  </si>
  <si>
    <t>M-004</t>
  </si>
  <si>
    <t>50 g</t>
  </si>
  <si>
    <r>
      <t>F</t>
    </r>
    <r>
      <rPr>
        <vertAlign val="subscript"/>
        <sz val="12"/>
        <rFont val="Arial"/>
        <family val="2"/>
      </rPr>
      <t>1</t>
    </r>
    <r>
      <rPr>
        <sz val="12"/>
        <rFont val="Arial"/>
        <family val="2"/>
      </rPr>
      <t xml:space="preserve">   1 g  </t>
    </r>
  </si>
  <si>
    <t>M-002</t>
  </si>
  <si>
    <t>100 g</t>
  </si>
  <si>
    <r>
      <t>F</t>
    </r>
    <r>
      <rPr>
        <vertAlign val="subscript"/>
        <sz val="12"/>
        <rFont val="Arial"/>
        <family val="2"/>
      </rPr>
      <t>1</t>
    </r>
    <r>
      <rPr>
        <sz val="12"/>
        <rFont val="Arial"/>
        <family val="2"/>
      </rPr>
      <t xml:space="preserve">   2 g  </t>
    </r>
  </si>
  <si>
    <t>200 g</t>
  </si>
  <si>
    <r>
      <t>F</t>
    </r>
    <r>
      <rPr>
        <vertAlign val="subscript"/>
        <sz val="12"/>
        <rFont val="Arial"/>
        <family val="2"/>
      </rPr>
      <t>1</t>
    </r>
    <r>
      <rPr>
        <sz val="12"/>
        <rFont val="Arial"/>
        <family val="2"/>
      </rPr>
      <t xml:space="preserve">   2 g punto </t>
    </r>
  </si>
  <si>
    <t>2*</t>
  </si>
  <si>
    <t>200 g *</t>
  </si>
  <si>
    <r>
      <t>F</t>
    </r>
    <r>
      <rPr>
        <vertAlign val="subscript"/>
        <sz val="12"/>
        <rFont val="Arial"/>
        <family val="2"/>
      </rPr>
      <t>1</t>
    </r>
    <r>
      <rPr>
        <sz val="12"/>
        <rFont val="Arial"/>
        <family val="2"/>
      </rPr>
      <t xml:space="preserve">   5 g  </t>
    </r>
  </si>
  <si>
    <t>500 g</t>
  </si>
  <si>
    <r>
      <t>F</t>
    </r>
    <r>
      <rPr>
        <vertAlign val="subscript"/>
        <sz val="12"/>
        <rFont val="Arial"/>
        <family val="2"/>
      </rPr>
      <t>1</t>
    </r>
    <r>
      <rPr>
        <sz val="12"/>
        <rFont val="Arial"/>
        <family val="2"/>
      </rPr>
      <t xml:space="preserve">   10 g  </t>
    </r>
  </si>
  <si>
    <t>1 kg</t>
  </si>
  <si>
    <r>
      <t>F</t>
    </r>
    <r>
      <rPr>
        <vertAlign val="subscript"/>
        <sz val="12"/>
        <rFont val="Arial"/>
        <family val="2"/>
      </rPr>
      <t>1</t>
    </r>
    <r>
      <rPr>
        <sz val="12"/>
        <rFont val="Arial"/>
        <family val="2"/>
      </rPr>
      <t xml:space="preserve">   20 g  </t>
    </r>
  </si>
  <si>
    <t>2 kg</t>
  </si>
  <si>
    <r>
      <t>F</t>
    </r>
    <r>
      <rPr>
        <vertAlign val="subscript"/>
        <sz val="12"/>
        <rFont val="Arial"/>
        <family val="2"/>
      </rPr>
      <t>1</t>
    </r>
    <r>
      <rPr>
        <sz val="12"/>
        <rFont val="Arial"/>
        <family val="2"/>
      </rPr>
      <t xml:space="preserve">   20 g punto </t>
    </r>
  </si>
  <si>
    <t>20*</t>
  </si>
  <si>
    <t>2 kg *</t>
  </si>
  <si>
    <r>
      <t>F</t>
    </r>
    <r>
      <rPr>
        <vertAlign val="subscript"/>
        <sz val="12"/>
        <rFont val="Arial"/>
        <family val="2"/>
      </rPr>
      <t>1</t>
    </r>
    <r>
      <rPr>
        <sz val="12"/>
        <rFont val="Arial"/>
        <family val="2"/>
      </rPr>
      <t xml:space="preserve">   50 g  </t>
    </r>
  </si>
  <si>
    <t>5 kg</t>
  </si>
  <si>
    <r>
      <t>F</t>
    </r>
    <r>
      <rPr>
        <vertAlign val="subscript"/>
        <sz val="12"/>
        <rFont val="Arial"/>
        <family val="2"/>
      </rPr>
      <t>1</t>
    </r>
    <r>
      <rPr>
        <sz val="12"/>
        <rFont val="Arial"/>
        <family val="2"/>
      </rPr>
      <t xml:space="preserve">   100 g  </t>
    </r>
  </si>
  <si>
    <t>10 kg</t>
  </si>
  <si>
    <r>
      <t>F</t>
    </r>
    <r>
      <rPr>
        <vertAlign val="subscript"/>
        <sz val="12"/>
        <rFont val="Arial"/>
        <family val="2"/>
      </rPr>
      <t>1</t>
    </r>
    <r>
      <rPr>
        <sz val="12"/>
        <rFont val="Arial"/>
        <family val="2"/>
      </rPr>
      <t xml:space="preserve">   200 g  </t>
    </r>
  </si>
  <si>
    <t>5 kg C</t>
  </si>
  <si>
    <r>
      <t>F</t>
    </r>
    <r>
      <rPr>
        <vertAlign val="subscript"/>
        <sz val="12"/>
        <rFont val="Arial"/>
        <family val="2"/>
      </rPr>
      <t>1</t>
    </r>
    <r>
      <rPr>
        <sz val="12"/>
        <rFont val="Arial"/>
        <family val="2"/>
      </rPr>
      <t xml:space="preserve">   200 g punto </t>
    </r>
  </si>
  <si>
    <t>200*</t>
  </si>
  <si>
    <t>10 kg C</t>
  </si>
  <si>
    <r>
      <t>F</t>
    </r>
    <r>
      <rPr>
        <vertAlign val="subscript"/>
        <sz val="12"/>
        <rFont val="Arial"/>
        <family val="2"/>
      </rPr>
      <t>1</t>
    </r>
    <r>
      <rPr>
        <sz val="12"/>
        <rFont val="Arial"/>
        <family val="2"/>
      </rPr>
      <t xml:space="preserve">   500 g  </t>
    </r>
  </si>
  <si>
    <t>20 kg C</t>
  </si>
  <si>
    <r>
      <t>F</t>
    </r>
    <r>
      <rPr>
        <vertAlign val="subscript"/>
        <sz val="12"/>
        <rFont val="Arial"/>
        <family val="2"/>
      </rPr>
      <t>1</t>
    </r>
    <r>
      <rPr>
        <sz val="12"/>
        <rFont val="Arial"/>
        <family val="2"/>
      </rPr>
      <t xml:space="preserve">   1 000 g  </t>
    </r>
  </si>
  <si>
    <r>
      <t>F</t>
    </r>
    <r>
      <rPr>
        <vertAlign val="subscript"/>
        <sz val="12"/>
        <rFont val="Arial"/>
        <family val="2"/>
      </rPr>
      <t>1</t>
    </r>
    <r>
      <rPr>
        <sz val="12"/>
        <rFont val="Arial"/>
        <family val="2"/>
      </rPr>
      <t xml:space="preserve">   2 000 g  </t>
    </r>
  </si>
  <si>
    <r>
      <t>F</t>
    </r>
    <r>
      <rPr>
        <vertAlign val="subscript"/>
        <sz val="12"/>
        <rFont val="Arial"/>
        <family val="2"/>
      </rPr>
      <t>1</t>
    </r>
    <r>
      <rPr>
        <sz val="12"/>
        <rFont val="Arial"/>
        <family val="2"/>
      </rPr>
      <t xml:space="preserve">   2 000 g punto </t>
    </r>
  </si>
  <si>
    <r>
      <t>F</t>
    </r>
    <r>
      <rPr>
        <vertAlign val="subscript"/>
        <sz val="12"/>
        <rFont val="Arial"/>
        <family val="2"/>
      </rPr>
      <t>1</t>
    </r>
    <r>
      <rPr>
        <sz val="12"/>
        <rFont val="Arial"/>
        <family val="2"/>
      </rPr>
      <t xml:space="preserve">   5 000 g  </t>
    </r>
  </si>
  <si>
    <t>Datos de las Pesas Calibradas  Laboratorio SIC</t>
  </si>
  <si>
    <r>
      <t>F</t>
    </r>
    <r>
      <rPr>
        <vertAlign val="subscript"/>
        <sz val="12"/>
        <rFont val="Arial"/>
        <family val="2"/>
      </rPr>
      <t>1</t>
    </r>
    <r>
      <rPr>
        <sz val="12"/>
        <rFont val="Arial"/>
        <family val="2"/>
      </rPr>
      <t xml:space="preserve">   1 g  Acc</t>
    </r>
  </si>
  <si>
    <t>Accurate</t>
  </si>
  <si>
    <t>M-018</t>
  </si>
  <si>
    <r>
      <t>F</t>
    </r>
    <r>
      <rPr>
        <vertAlign val="subscript"/>
        <sz val="12"/>
        <rFont val="Arial"/>
        <family val="2"/>
      </rPr>
      <t>1</t>
    </r>
    <r>
      <rPr>
        <sz val="12"/>
        <rFont val="Arial"/>
        <family val="2"/>
      </rPr>
      <t xml:space="preserve">   2 g  Acc</t>
    </r>
  </si>
  <si>
    <t xml:space="preserve">Marcación </t>
  </si>
  <si>
    <r>
      <t xml:space="preserve">Valor Nominal </t>
    </r>
    <r>
      <rPr>
        <b/>
        <i/>
        <sz val="12"/>
        <rFont val="Arial"/>
        <family val="2"/>
      </rPr>
      <t>m</t>
    </r>
    <r>
      <rPr>
        <b/>
        <i/>
        <vertAlign val="subscript"/>
        <sz val="12"/>
        <rFont val="Arial"/>
        <family val="2"/>
      </rPr>
      <t xml:space="preserve">Nt  </t>
    </r>
    <r>
      <rPr>
        <b/>
        <i/>
        <sz val="12"/>
        <rFont val="Arial"/>
        <family val="2"/>
      </rPr>
      <t>en ( g</t>
    </r>
    <r>
      <rPr>
        <b/>
        <sz val="12"/>
        <rFont val="Arial"/>
        <family val="2"/>
      </rPr>
      <t xml:space="preserve"> 0 mg )</t>
    </r>
  </si>
  <si>
    <r>
      <t xml:space="preserve">Densidad </t>
    </r>
    <r>
      <rPr>
        <b/>
        <i/>
        <sz val="12"/>
        <rFont val="Arial"/>
        <family val="2"/>
      </rPr>
      <t>ρ</t>
    </r>
    <r>
      <rPr>
        <b/>
        <i/>
        <vertAlign val="subscript"/>
        <sz val="12"/>
        <rFont val="Arial"/>
        <family val="2"/>
      </rPr>
      <t xml:space="preserve">t            </t>
    </r>
    <r>
      <rPr>
        <b/>
        <i/>
        <sz val="12"/>
        <rFont val="Arial"/>
        <family val="2"/>
      </rPr>
      <t>kg/m</t>
    </r>
    <r>
      <rPr>
        <b/>
        <i/>
        <vertAlign val="superscript"/>
        <sz val="12"/>
        <rFont val="Arial"/>
        <family val="2"/>
      </rPr>
      <t>3</t>
    </r>
  </si>
  <si>
    <r>
      <t>Incertidumbre de densidad U</t>
    </r>
    <r>
      <rPr>
        <b/>
        <i/>
        <sz val="12"/>
        <rFont val="Arial"/>
        <family val="2"/>
      </rPr>
      <t>(ρ</t>
    </r>
    <r>
      <rPr>
        <b/>
        <i/>
        <vertAlign val="subscript"/>
        <sz val="12"/>
        <rFont val="Arial"/>
        <family val="2"/>
      </rPr>
      <t>t</t>
    </r>
    <r>
      <rPr>
        <b/>
        <i/>
        <sz val="12"/>
        <rFont val="Arial"/>
        <family val="2"/>
      </rPr>
      <t>)                             kg/m3</t>
    </r>
  </si>
  <si>
    <t>Código interno       (# de Radicado)</t>
  </si>
  <si>
    <r>
      <t>F</t>
    </r>
    <r>
      <rPr>
        <vertAlign val="subscript"/>
        <sz val="12"/>
        <rFont val="Arial"/>
        <family val="2"/>
      </rPr>
      <t>1</t>
    </r>
    <r>
      <rPr>
        <sz val="12"/>
        <rFont val="Arial"/>
        <family val="2"/>
      </rPr>
      <t xml:space="preserve">   2 g punto Acc</t>
    </r>
  </si>
  <si>
    <t>2 *</t>
  </si>
  <si>
    <r>
      <t>F</t>
    </r>
    <r>
      <rPr>
        <vertAlign val="subscript"/>
        <sz val="12"/>
        <rFont val="Arial"/>
        <family val="2"/>
      </rPr>
      <t>1</t>
    </r>
    <r>
      <rPr>
        <sz val="12"/>
        <rFont val="Arial"/>
        <family val="2"/>
      </rPr>
      <t xml:space="preserve">   5 g  Acc</t>
    </r>
  </si>
  <si>
    <r>
      <t>F</t>
    </r>
    <r>
      <rPr>
        <vertAlign val="subscript"/>
        <sz val="12"/>
        <rFont val="Arial"/>
        <family val="2"/>
      </rPr>
      <t>1</t>
    </r>
    <r>
      <rPr>
        <sz val="12"/>
        <rFont val="Arial"/>
        <family val="2"/>
      </rPr>
      <t xml:space="preserve">   10 g  Acc</t>
    </r>
  </si>
  <si>
    <r>
      <t>F</t>
    </r>
    <r>
      <rPr>
        <vertAlign val="subscript"/>
        <sz val="12"/>
        <rFont val="Arial"/>
        <family val="2"/>
      </rPr>
      <t>1</t>
    </r>
    <r>
      <rPr>
        <sz val="12"/>
        <rFont val="Arial"/>
        <family val="2"/>
      </rPr>
      <t xml:space="preserve">   20 g  Acc</t>
    </r>
  </si>
  <si>
    <r>
      <t>F</t>
    </r>
    <r>
      <rPr>
        <vertAlign val="subscript"/>
        <sz val="12"/>
        <rFont val="Arial"/>
        <family val="2"/>
      </rPr>
      <t>1</t>
    </r>
    <r>
      <rPr>
        <sz val="12"/>
        <rFont val="Arial"/>
        <family val="2"/>
      </rPr>
      <t xml:space="preserve">   20 g punto Acc</t>
    </r>
  </si>
  <si>
    <t>20 *</t>
  </si>
  <si>
    <r>
      <t>F</t>
    </r>
    <r>
      <rPr>
        <vertAlign val="subscript"/>
        <sz val="12"/>
        <rFont val="Arial"/>
        <family val="2"/>
      </rPr>
      <t>1</t>
    </r>
    <r>
      <rPr>
        <sz val="12"/>
        <rFont val="Arial"/>
        <family val="2"/>
      </rPr>
      <t xml:space="preserve">   50 g  Acc</t>
    </r>
  </si>
  <si>
    <r>
      <t>F</t>
    </r>
    <r>
      <rPr>
        <vertAlign val="subscript"/>
        <sz val="12"/>
        <rFont val="Arial"/>
        <family val="2"/>
      </rPr>
      <t>1</t>
    </r>
    <r>
      <rPr>
        <sz val="12"/>
        <rFont val="Arial"/>
        <family val="2"/>
      </rPr>
      <t xml:space="preserve">   100 g  Acc</t>
    </r>
  </si>
  <si>
    <r>
      <t>F</t>
    </r>
    <r>
      <rPr>
        <vertAlign val="subscript"/>
        <sz val="12"/>
        <rFont val="Arial"/>
        <family val="2"/>
      </rPr>
      <t>1</t>
    </r>
    <r>
      <rPr>
        <sz val="12"/>
        <rFont val="Arial"/>
        <family val="2"/>
      </rPr>
      <t xml:space="preserve">   200 g  Acc</t>
    </r>
  </si>
  <si>
    <r>
      <t>F</t>
    </r>
    <r>
      <rPr>
        <vertAlign val="subscript"/>
        <sz val="12"/>
        <rFont val="Arial"/>
        <family val="2"/>
      </rPr>
      <t>1</t>
    </r>
    <r>
      <rPr>
        <sz val="12"/>
        <rFont val="Arial"/>
        <family val="2"/>
      </rPr>
      <t xml:space="preserve">   200 g punto Acc</t>
    </r>
  </si>
  <si>
    <t>200 *</t>
  </si>
  <si>
    <r>
      <t>F</t>
    </r>
    <r>
      <rPr>
        <vertAlign val="subscript"/>
        <sz val="12"/>
        <rFont val="Arial"/>
        <family val="2"/>
      </rPr>
      <t>1</t>
    </r>
    <r>
      <rPr>
        <sz val="12"/>
        <rFont val="Arial"/>
        <family val="2"/>
      </rPr>
      <t xml:space="preserve">   500 g  Acc</t>
    </r>
  </si>
  <si>
    <r>
      <t>F</t>
    </r>
    <r>
      <rPr>
        <vertAlign val="subscript"/>
        <sz val="12"/>
        <rFont val="Arial"/>
        <family val="2"/>
      </rPr>
      <t>1</t>
    </r>
    <r>
      <rPr>
        <sz val="12"/>
        <rFont val="Arial"/>
        <family val="2"/>
      </rPr>
      <t xml:space="preserve">   1 000 g  Acc</t>
    </r>
  </si>
  <si>
    <r>
      <t>F</t>
    </r>
    <r>
      <rPr>
        <vertAlign val="subscript"/>
        <sz val="12"/>
        <rFont val="Arial"/>
        <family val="2"/>
      </rPr>
      <t>1</t>
    </r>
    <r>
      <rPr>
        <sz val="12"/>
        <rFont val="Arial"/>
        <family val="2"/>
      </rPr>
      <t xml:space="preserve">   2 000 g  Acc</t>
    </r>
  </si>
  <si>
    <r>
      <t>F</t>
    </r>
    <r>
      <rPr>
        <vertAlign val="subscript"/>
        <sz val="12"/>
        <rFont val="Arial"/>
        <family val="2"/>
      </rPr>
      <t>1</t>
    </r>
    <r>
      <rPr>
        <sz val="12"/>
        <rFont val="Arial"/>
        <family val="2"/>
      </rPr>
      <t xml:space="preserve">   2 000 g punto Acc</t>
    </r>
  </si>
  <si>
    <r>
      <t>F</t>
    </r>
    <r>
      <rPr>
        <vertAlign val="subscript"/>
        <sz val="12"/>
        <rFont val="Arial"/>
        <family val="2"/>
      </rPr>
      <t>1</t>
    </r>
    <r>
      <rPr>
        <sz val="12"/>
        <rFont val="Arial"/>
        <family val="2"/>
      </rPr>
      <t xml:space="preserve">   5 000 g  Acc</t>
    </r>
  </si>
  <si>
    <r>
      <t>E</t>
    </r>
    <r>
      <rPr>
        <vertAlign val="subscript"/>
        <sz val="12"/>
        <rFont val="Arial"/>
        <family val="2"/>
      </rPr>
      <t>2</t>
    </r>
    <r>
      <rPr>
        <sz val="12"/>
        <rFont val="Arial"/>
        <family val="2"/>
      </rPr>
      <t xml:space="preserve"> 20 kg </t>
    </r>
  </si>
  <si>
    <r>
      <t>E</t>
    </r>
    <r>
      <rPr>
        <vertAlign val="subscript"/>
        <sz val="12"/>
        <rFont val="Arial"/>
        <family val="2"/>
      </rPr>
      <t>2</t>
    </r>
  </si>
  <si>
    <t>Kern</t>
  </si>
  <si>
    <t>G 1938658</t>
  </si>
  <si>
    <t>No porta</t>
  </si>
  <si>
    <t>M-019</t>
  </si>
  <si>
    <t>1</t>
  </si>
  <si>
    <r>
      <t>F</t>
    </r>
    <r>
      <rPr>
        <vertAlign val="subscript"/>
        <sz val="12"/>
        <rFont val="Arial"/>
        <family val="2"/>
      </rPr>
      <t>1</t>
    </r>
    <r>
      <rPr>
        <sz val="12"/>
        <rFont val="Arial"/>
        <family val="2"/>
      </rPr>
      <t xml:space="preserve"> 20 kg</t>
    </r>
  </si>
  <si>
    <t>G 1934093</t>
  </si>
  <si>
    <t>M-020</t>
  </si>
  <si>
    <t>2</t>
  </si>
  <si>
    <r>
      <t>F</t>
    </r>
    <r>
      <rPr>
        <vertAlign val="subscript"/>
        <sz val="12"/>
        <rFont val="Arial"/>
        <family val="2"/>
      </rPr>
      <t>1</t>
    </r>
    <r>
      <rPr>
        <sz val="12"/>
        <rFont val="Arial"/>
        <family val="2"/>
      </rPr>
      <t xml:space="preserve"> 20 kg A</t>
    </r>
  </si>
  <si>
    <t>G 1934095</t>
  </si>
  <si>
    <t>20 A</t>
  </si>
  <si>
    <t>M-021</t>
  </si>
  <si>
    <r>
      <t>F</t>
    </r>
    <r>
      <rPr>
        <vertAlign val="subscript"/>
        <sz val="12"/>
        <rFont val="Arial"/>
        <family val="2"/>
      </rPr>
      <t>1</t>
    </r>
    <r>
      <rPr>
        <sz val="12"/>
        <rFont val="Arial"/>
        <family val="2"/>
      </rPr>
      <t xml:space="preserve"> 20 kg B</t>
    </r>
  </si>
  <si>
    <t>G 1934094</t>
  </si>
  <si>
    <t>20 B</t>
  </si>
  <si>
    <t>M-022</t>
  </si>
  <si>
    <t>5 g</t>
  </si>
  <si>
    <r>
      <t>F</t>
    </r>
    <r>
      <rPr>
        <vertAlign val="subscript"/>
        <sz val="12"/>
        <rFont val="Arial"/>
        <family val="2"/>
      </rPr>
      <t>1</t>
    </r>
    <r>
      <rPr>
        <sz val="12"/>
        <rFont val="Arial"/>
        <family val="2"/>
      </rPr>
      <t xml:space="preserve"> 10 kg C</t>
    </r>
  </si>
  <si>
    <t>10 C</t>
  </si>
  <si>
    <t>M-023</t>
  </si>
  <si>
    <r>
      <t>F</t>
    </r>
    <r>
      <rPr>
        <vertAlign val="subscript"/>
        <sz val="12"/>
        <rFont val="Arial"/>
        <family val="2"/>
      </rPr>
      <t>1</t>
    </r>
    <r>
      <rPr>
        <sz val="12"/>
        <rFont val="Arial"/>
        <family val="2"/>
      </rPr>
      <t xml:space="preserve"> 10 kg D</t>
    </r>
  </si>
  <si>
    <t>10 D</t>
  </si>
  <si>
    <t>M-024</t>
  </si>
  <si>
    <r>
      <t>F</t>
    </r>
    <r>
      <rPr>
        <vertAlign val="subscript"/>
        <sz val="12"/>
        <rFont val="Arial"/>
        <family val="2"/>
      </rPr>
      <t>1</t>
    </r>
    <r>
      <rPr>
        <sz val="12"/>
        <rFont val="Arial"/>
        <family val="2"/>
      </rPr>
      <t xml:space="preserve"> 5 kg E</t>
    </r>
  </si>
  <si>
    <t>5 E</t>
  </si>
  <si>
    <t>M-025</t>
  </si>
  <si>
    <t xml:space="preserve">20 g* </t>
  </si>
  <si>
    <t xml:space="preserve">V 2 RL.  1 g  </t>
  </si>
  <si>
    <t>Rice Lake</t>
  </si>
  <si>
    <t>No identificado</t>
  </si>
  <si>
    <t>M-016</t>
  </si>
  <si>
    <t xml:space="preserve">V 2 RL. 2 g  </t>
  </si>
  <si>
    <t>100 g M LMS R</t>
  </si>
  <si>
    <t xml:space="preserve">V 2 RL.  2 g punto </t>
  </si>
  <si>
    <t>punto</t>
  </si>
  <si>
    <t>200 g M LMS R</t>
  </si>
  <si>
    <t xml:space="preserve">V 2 RL.  5 g  </t>
  </si>
  <si>
    <t>200 g* M LMS R</t>
  </si>
  <si>
    <t xml:space="preserve">V 2 RL.  10 g  </t>
  </si>
  <si>
    <t>500 g M LMS R</t>
  </si>
  <si>
    <t xml:space="preserve">V 2 RL.  20 g  </t>
  </si>
  <si>
    <t>1 kg M LMS R</t>
  </si>
  <si>
    <t xml:space="preserve">V 2 RL. 20 g punto </t>
  </si>
  <si>
    <t>2 kg M LMS R</t>
  </si>
  <si>
    <t xml:space="preserve">V 2 RL. 50 g  </t>
  </si>
  <si>
    <t>2 kg* M LMS R</t>
  </si>
  <si>
    <t xml:space="preserve">V 2 RL.  100 g  </t>
  </si>
  <si>
    <t>5 kg M LMS R</t>
  </si>
  <si>
    <t xml:space="preserve">V 2 RL.  200 g  </t>
  </si>
  <si>
    <t>10 kg M LMS &amp;</t>
  </si>
  <si>
    <t xml:space="preserve">V 2 RL.  200 g punto </t>
  </si>
  <si>
    <t xml:space="preserve">V 2 RL.  500 g  </t>
  </si>
  <si>
    <t xml:space="preserve">V 2 RL.  1 000 g  </t>
  </si>
  <si>
    <t xml:space="preserve">V 2 RL.  2 000 g  </t>
  </si>
  <si>
    <t xml:space="preserve">V 2 RL.  2 000 g punto </t>
  </si>
  <si>
    <t xml:space="preserve">V 2 RL.  5 000 g  </t>
  </si>
  <si>
    <t xml:space="preserve">F1   1 mg  </t>
  </si>
  <si>
    <t xml:space="preserve">F1   2 mg  </t>
  </si>
  <si>
    <t xml:space="preserve">F1   2 mg punto </t>
  </si>
  <si>
    <t>Punto</t>
  </si>
  <si>
    <t xml:space="preserve">F1   5 mg  </t>
  </si>
  <si>
    <t xml:space="preserve">F1   10 mg  </t>
  </si>
  <si>
    <t xml:space="preserve">F1   20 mg  </t>
  </si>
  <si>
    <t>CMC PESA tabla 1 OIML R 111-1 CLASE M1</t>
  </si>
  <si>
    <t xml:space="preserve">F1   20 mg punto </t>
  </si>
  <si>
    <t xml:space="preserve">F1   50 mg  </t>
  </si>
  <si>
    <t>Intervalo de Medición (g) Clase M1 1 g A 20 kg</t>
  </si>
  <si>
    <t>Intervalo de Medición (g) Clase M1 1 mg A 500 mg</t>
  </si>
  <si>
    <t xml:space="preserve">F1   100 mg  </t>
  </si>
  <si>
    <t xml:space="preserve">F1   200 mg  </t>
  </si>
  <si>
    <t xml:space="preserve">Valor Nominal </t>
  </si>
  <si>
    <t xml:space="preserve">Incertidumbre </t>
  </si>
  <si>
    <t xml:space="preserve">E M P </t>
  </si>
  <si>
    <t xml:space="preserve">F1   200 mg punto </t>
  </si>
  <si>
    <t xml:space="preserve">F1   500 mg  </t>
  </si>
  <si>
    <t>F1   1 mg  Acc</t>
  </si>
  <si>
    <t>M-026</t>
  </si>
  <si>
    <t>2 * mg</t>
  </si>
  <si>
    <t>F1   2 mg  Acc</t>
  </si>
  <si>
    <t>F1   2 mg punto Acc</t>
  </si>
  <si>
    <t>F1   5 mg  Acc</t>
  </si>
  <si>
    <t>20 * mg</t>
  </si>
  <si>
    <t>F1   10 mg  Acc</t>
  </si>
  <si>
    <t>F1   20 mg  Acc</t>
  </si>
  <si>
    <t>F1   20 mg punto Acc</t>
  </si>
  <si>
    <t>F1   50 mg  Acc</t>
  </si>
  <si>
    <t>F1   100 mg  Acc</t>
  </si>
  <si>
    <t>200 * mg</t>
  </si>
  <si>
    <t>F1   200 mg  Acc</t>
  </si>
  <si>
    <t>F1   200 mg punto Acc</t>
  </si>
  <si>
    <r>
      <t>F</t>
    </r>
    <r>
      <rPr>
        <vertAlign val="subscript"/>
        <sz val="12"/>
        <rFont val="Arial"/>
        <family val="2"/>
      </rPr>
      <t>1</t>
    </r>
    <r>
      <rPr>
        <sz val="12"/>
        <rFont val="Arial"/>
        <family val="2"/>
      </rPr>
      <t xml:space="preserve">   500 mg  Acc</t>
    </r>
  </si>
  <si>
    <t>20 kg</t>
  </si>
  <si>
    <t>Patrón Utilizado en la Calibración - BALANZAS</t>
  </si>
  <si>
    <r>
      <t xml:space="preserve">Resolución </t>
    </r>
    <r>
      <rPr>
        <b/>
        <i/>
        <sz val="12"/>
        <rFont val="Arial"/>
        <family val="2"/>
      </rPr>
      <t>d</t>
    </r>
    <r>
      <rPr>
        <b/>
        <sz val="12"/>
        <rFont val="Arial"/>
        <family val="2"/>
      </rPr>
      <t xml:space="preserve"> (g)</t>
    </r>
  </si>
  <si>
    <t>M-008</t>
  </si>
  <si>
    <t>B 444195367</t>
  </si>
  <si>
    <t>M-007</t>
  </si>
  <si>
    <t>M-006</t>
  </si>
  <si>
    <t>M-014</t>
  </si>
  <si>
    <t>M-005</t>
  </si>
  <si>
    <t>M-009</t>
  </si>
  <si>
    <t>Grupo de trabajo del laboratorio</t>
  </si>
  <si>
    <t>Roles del grupo de trabajo</t>
  </si>
  <si>
    <t>LH</t>
  </si>
  <si>
    <t>Luis Henry Barreto Rojas</t>
  </si>
  <si>
    <t>Responsable de la Dirección Técnica</t>
  </si>
  <si>
    <t>EA</t>
  </si>
  <si>
    <t>Elvis Aguirre Romero</t>
  </si>
  <si>
    <t xml:space="preserve"> Sustituto del Responsable de la Dirección Técnica</t>
  </si>
  <si>
    <t>Patrón Utilizado en la Calibración - Termohigrómetros</t>
  </si>
  <si>
    <r>
      <t xml:space="preserve">Unidades en   " °C , % hr </t>
    </r>
    <r>
      <rPr>
        <sz val="12"/>
        <color theme="0"/>
        <rFont val="Arial"/>
        <family val="2"/>
      </rPr>
      <t>y</t>
    </r>
    <r>
      <rPr>
        <b/>
        <sz val="12"/>
        <color theme="0"/>
        <rFont val="Arial"/>
        <family val="2"/>
      </rPr>
      <t xml:space="preserve"> hPa " </t>
    </r>
    <r>
      <rPr>
        <sz val="12"/>
        <color theme="0"/>
        <rFont val="Arial"/>
        <family val="2"/>
      </rPr>
      <t xml:space="preserve"> según corresponda</t>
    </r>
  </si>
  <si>
    <t>Unidad</t>
  </si>
  <si>
    <t>Identificación / Serie</t>
  </si>
  <si>
    <t>Capacidad (Según Certificado)</t>
  </si>
  <si>
    <t>División de Escala / Resolución</t>
  </si>
  <si>
    <t>Corrección (Según Certificado)</t>
  </si>
  <si>
    <t>Incertidumbre del Certificado</t>
  </si>
  <si>
    <t>Factor de Cobertura (Según Certificado)</t>
  </si>
  <si>
    <t>Trazabilidad y numero</t>
  </si>
  <si>
    <t>Temperatura</t>
  </si>
  <si>
    <t xml:space="preserve">M-010 </t>
  </si>
  <si>
    <t>Lufft Opus 20</t>
  </si>
  <si>
    <t>0,26.0714.0802.024</t>
  </si>
  <si>
    <t>2023-04-05</t>
  </si>
  <si>
    <t>INM 6603</t>
  </si>
  <si>
    <t>M-010</t>
  </si>
  <si>
    <t>Humedad</t>
  </si>
  <si>
    <t>2023-04-03</t>
  </si>
  <si>
    <t>INM 6596</t>
  </si>
  <si>
    <t>Presión Atmosférica</t>
  </si>
  <si>
    <t>2023-03-28</t>
  </si>
  <si>
    <t>INM 6591</t>
  </si>
  <si>
    <t>INM 2148</t>
  </si>
  <si>
    <t xml:space="preserve">M-011 </t>
  </si>
  <si>
    <t>0,22.0714.0802.024</t>
  </si>
  <si>
    <t>INM 5912</t>
  </si>
  <si>
    <t>M-011</t>
  </si>
  <si>
    <t>2022-05-17</t>
  </si>
  <si>
    <t>INM 5913</t>
  </si>
  <si>
    <t>2021-05-31</t>
  </si>
  <si>
    <t>INM 5239</t>
  </si>
  <si>
    <t>INM 1997</t>
  </si>
  <si>
    <t>INM 2147</t>
  </si>
  <si>
    <t xml:space="preserve">M-012 </t>
  </si>
  <si>
    <t>2023-04-11</t>
  </si>
  <si>
    <t>INM 6608</t>
  </si>
  <si>
    <t xml:space="preserve">M-012  </t>
  </si>
  <si>
    <t>INM 6597</t>
  </si>
  <si>
    <t>INM 6390</t>
  </si>
  <si>
    <t>1 099,608</t>
  </si>
  <si>
    <t xml:space="preserve">M-013 </t>
  </si>
  <si>
    <t>2023-04-24</t>
  </si>
  <si>
    <t>INM 6639</t>
  </si>
  <si>
    <t xml:space="preserve">M-013  </t>
  </si>
  <si>
    <t>2023-05-08</t>
  </si>
  <si>
    <t>INM 6668</t>
  </si>
  <si>
    <t>INM 6593</t>
  </si>
  <si>
    <t xml:space="preserve">V-002 </t>
  </si>
  <si>
    <t>0,23.0714.0802.024</t>
  </si>
  <si>
    <t>INM 6638</t>
  </si>
  <si>
    <t>V-002</t>
  </si>
  <si>
    <t>INM 6667</t>
  </si>
  <si>
    <t>INM 6588</t>
  </si>
  <si>
    <t>Lista de aleaciones usadas mas comúnmente para las pesas Tabla B.7.metodo F2 NTC 1848/ 2007</t>
  </si>
  <si>
    <t>°C m</t>
  </si>
  <si>
    <t>°C b</t>
  </si>
  <si>
    <t>% hr m</t>
  </si>
  <si>
    <t>% hr b</t>
  </si>
  <si>
    <t>hPa m</t>
  </si>
  <si>
    <t>hPa b</t>
  </si>
  <si>
    <t>Aleación / material</t>
  </si>
  <si>
    <t xml:space="preserve">± Incertidumbre (k=2) </t>
  </si>
  <si>
    <t>Platino</t>
  </si>
  <si>
    <r>
      <t>kg m</t>
    </r>
    <r>
      <rPr>
        <vertAlign val="superscript"/>
        <sz val="12"/>
        <rFont val="Arial"/>
        <family val="2"/>
      </rPr>
      <t>-3</t>
    </r>
  </si>
  <si>
    <t>Níquel plata</t>
  </si>
  <si>
    <t>kg m-3</t>
  </si>
  <si>
    <t>Bronce</t>
  </si>
  <si>
    <t xml:space="preserve">Acero inoxidable </t>
  </si>
  <si>
    <t>Acero al carbono</t>
  </si>
  <si>
    <t>Hierro</t>
  </si>
  <si>
    <t>Hierro fundido (blanco)</t>
  </si>
  <si>
    <t>Hierro fundido (gris)</t>
  </si>
  <si>
    <t>Aluminio</t>
  </si>
  <si>
    <t>Acero inoxidable.</t>
  </si>
  <si>
    <t>Se realiza comprobación funcional al  IPFNA, con una pesa en receptor de carga  para activar la celda de carga.</t>
  </si>
  <si>
    <t>Incertidumbre por repetibilidad del metodo</t>
  </si>
  <si>
    <t>Juego de pesas de 1 g a 10 kg</t>
  </si>
  <si>
    <r>
      <t>M</t>
    </r>
    <r>
      <rPr>
        <vertAlign val="subscript"/>
        <sz val="12"/>
        <color theme="1"/>
        <rFont val="Arial"/>
        <family val="2"/>
      </rPr>
      <t>1</t>
    </r>
  </si>
  <si>
    <t>Cilindro - botón</t>
  </si>
  <si>
    <t>Juego de pesas de 1 g a 5 kg</t>
  </si>
  <si>
    <r>
      <t>F</t>
    </r>
    <r>
      <rPr>
        <vertAlign val="subscript"/>
        <sz val="11"/>
        <color theme="1"/>
        <rFont val="Arial"/>
        <family val="2"/>
      </rPr>
      <t>1</t>
    </r>
  </si>
  <si>
    <t>Pesa de 10 kg</t>
  </si>
  <si>
    <r>
      <t>EMP Clase M</t>
    </r>
    <r>
      <rPr>
        <b/>
        <vertAlign val="subscript"/>
        <sz val="11"/>
        <color theme="1"/>
        <rFont val="Arial"/>
        <family val="2"/>
      </rPr>
      <t xml:space="preserve">1 </t>
    </r>
    <r>
      <rPr>
        <b/>
        <sz val="11"/>
        <color theme="1"/>
        <rFont val="Arial"/>
        <family val="2"/>
      </rPr>
      <t xml:space="preserve">± </t>
    </r>
  </si>
  <si>
    <t>5 kg (C)</t>
  </si>
  <si>
    <t>2 g*</t>
  </si>
  <si>
    <t>20 g*</t>
  </si>
  <si>
    <t>200 g*</t>
  </si>
  <si>
    <t>2 kg*</t>
  </si>
  <si>
    <t>10 kg ( C)</t>
  </si>
  <si>
    <t>20 kg (C)</t>
  </si>
  <si>
    <t>∞</t>
  </si>
  <si>
    <t>Grados de libertad</t>
  </si>
  <si>
    <t>Pesa de 5 kg</t>
  </si>
  <si>
    <r>
      <t xml:space="preserve">Incertidumbre expandida de la medición    </t>
    </r>
    <r>
      <rPr>
        <b/>
        <sz val="11"/>
        <color theme="1"/>
        <rFont val="Calibri"/>
        <family val="2"/>
      </rPr>
      <t xml:space="preserve"> </t>
    </r>
    <r>
      <rPr>
        <b/>
        <sz val="11"/>
        <color theme="1"/>
        <rFont val="Arial"/>
        <family val="2"/>
      </rPr>
      <t>U (k=2)</t>
    </r>
  </si>
  <si>
    <t>En la calibración se utilizó el método " ABBA "establecido en el documento normativo NTC 1848:2007 (según el alcance de acreditación).</t>
  </si>
  <si>
    <t xml:space="preserve">k=1,65 </t>
  </si>
  <si>
    <t>Pesa de 20 kg</t>
  </si>
  <si>
    <t xml:space="preserve">5 </t>
  </si>
  <si>
    <t>100</t>
  </si>
  <si>
    <t>200</t>
  </si>
  <si>
    <t>500</t>
  </si>
  <si>
    <t xml:space="preserve">10 </t>
  </si>
  <si>
    <t xml:space="preserve">20 </t>
  </si>
  <si>
    <t xml:space="preserve">50 </t>
  </si>
  <si>
    <t>5 kg Pex</t>
  </si>
  <si>
    <t>10 kg Pex</t>
  </si>
  <si>
    <t>20 kg Pex</t>
  </si>
  <si>
    <t xml:space="preserve"> 1/3 EMP </t>
  </si>
  <si>
    <t/>
  </si>
  <si>
    <t>1 INM</t>
  </si>
  <si>
    <t>El certificado de calibración sin la firma autorizada no es válido.</t>
  </si>
  <si>
    <t>Incertidumbre 1/3 EMP</t>
  </si>
  <si>
    <t xml:space="preserve">Comparación de Incertidumbres </t>
  </si>
  <si>
    <t xml:space="preserve">Acero inoxidable  </t>
  </si>
  <si>
    <t>INM 4786</t>
  </si>
  <si>
    <t>INM 5259</t>
  </si>
  <si>
    <t>INM 5488</t>
  </si>
  <si>
    <t>INM 5701</t>
  </si>
  <si>
    <t>INM 5726</t>
  </si>
  <si>
    <t>INM 5407</t>
  </si>
  <si>
    <t>INM 5408</t>
  </si>
  <si>
    <t>INM 5410</t>
  </si>
  <si>
    <t>INM 5411</t>
  </si>
  <si>
    <t>INM 5264</t>
  </si>
  <si>
    <t>INM 5261</t>
  </si>
  <si>
    <t>INM 5266</t>
  </si>
  <si>
    <t>INM 4788</t>
  </si>
  <si>
    <t>INM 5630</t>
  </si>
  <si>
    <t>Numeral  6,4,12 Ajustes No previstos</t>
  </si>
  <si>
    <t>Trazabilidad metrológica</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</si>
  <si>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 laboratorios que se encuentran acreditados por un organismo firmante de acuerdo de reconocimiento mutuo (MRA), los cuales cumplen con los requisitos de la norma NTC ISO/IEC 17025:2017. En la siguiente tabla se relacionan los patrones utilizados en esta calibración:</t>
  </si>
  <si>
    <t>3 OEC</t>
  </si>
  <si>
    <t>2 INM vs  OEC</t>
  </si>
  <si>
    <t xml:space="preserve">El laboratorio toma acciones para evitar ajustes no previstos del equipamiento, según lo definido en el numeral 6.4.12 de la norma NTC ISO/IEC 17025:2017
</t>
  </si>
  <si>
    <t>OB 1</t>
  </si>
  <si>
    <r>
      <t>M</t>
    </r>
    <r>
      <rPr>
        <vertAlign val="subscript"/>
        <sz val="12"/>
        <color theme="0"/>
        <rFont val="Arial"/>
        <family val="2"/>
      </rPr>
      <t>1</t>
    </r>
  </si>
  <si>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de Colombia, los cuales cumplen con los requisitos de la norma NTC-ISO/IEC 17025:2017. En la siguiente tabla se relacionan los patrones utilizados en esta calibración:</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</si>
  <si>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y/o laboratorios que se encuentran acreditados por un organismo firmante  de acuerdo de reconocimiento mutuo (MRA), los cuales cumplen con los requisitos de la norma NTC ISO/IEC 17025:2017. En la siguiente tabla se relacionan los patrones utilizados en esta calibración:</t>
  </si>
  <si>
    <r>
      <t>"La incertidumbre expandida de la medición reportada se establece como la incertidumbre estándar de medición multiplicada por el factor de cobertura “</t>
    </r>
    <r>
      <rPr>
        <i/>
        <sz val="12"/>
        <color theme="1"/>
        <rFont val="Arial"/>
        <family val="2"/>
      </rPr>
      <t>k</t>
    </r>
    <r>
      <rPr>
        <sz val="12"/>
        <color theme="1"/>
        <rFont val="Arial"/>
        <family val="2"/>
      </rPr>
      <t>” y la probabilidad de cobertura, la cual debe ser aproximada al 95 % y no menor a este valor".</t>
    </r>
  </si>
  <si>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 y la probabilidad de cobertura, la cual debe ser aproximada al 95 % y no menor a este valor".</t>
    </r>
  </si>
  <si>
    <r>
      <t>La declaración de conformidad se aplica a los resultados de la calibración, teniendo en cuenta que, el error en masa convencional, más la incertidumbre expandida de la medición, no deberá superar el error máximo permitido (EMP) de la tabla 1 del numeral 5.1.2 de la norma NTC 1848:2007, para las clase M</t>
    </r>
    <r>
      <rPr>
        <vertAlign val="subscript"/>
        <sz val="12"/>
        <color theme="0"/>
        <rFont val="Arial"/>
        <family val="2"/>
      </rPr>
      <t>1</t>
    </r>
    <r>
      <rPr>
        <sz val="12"/>
        <color theme="0"/>
        <rFont val="Arial"/>
        <family val="2"/>
      </rPr>
      <t>.</t>
    </r>
  </si>
  <si>
    <r>
      <t>La incertidumbre estándar de medición se multiplica por un factor de cobertura "</t>
    </r>
    <r>
      <rPr>
        <i/>
        <sz val="12"/>
        <color theme="0"/>
        <rFont val="Arial"/>
        <family val="2"/>
      </rPr>
      <t>k</t>
    </r>
    <r>
      <rPr>
        <sz val="12"/>
        <color theme="0"/>
        <rFont val="Arial"/>
        <family val="2"/>
      </rPr>
      <t xml:space="preserve">"= 2. </t>
    </r>
  </si>
  <si>
    <r>
      <t>Incertidumbre expandida de la medición  U (</t>
    </r>
    <r>
      <rPr>
        <b/>
        <i/>
        <sz val="11"/>
        <color theme="1"/>
        <rFont val="Arial"/>
        <family val="2"/>
      </rPr>
      <t>k</t>
    </r>
    <r>
      <rPr>
        <b/>
        <sz val="11"/>
        <color theme="1"/>
        <rFont val="Arial"/>
        <family val="2"/>
      </rPr>
      <t>=2)</t>
    </r>
  </si>
  <si>
    <r>
      <t>Incertidumbre (±)  (</t>
    </r>
    <r>
      <rPr>
        <b/>
        <i/>
        <sz val="12"/>
        <color theme="1"/>
        <rFont val="Arial"/>
        <family val="2"/>
      </rPr>
      <t>k</t>
    </r>
    <r>
      <rPr>
        <b/>
        <sz val="12"/>
        <color theme="1"/>
        <rFont val="Arial"/>
        <family val="2"/>
      </rPr>
      <t>=2)</t>
    </r>
  </si>
  <si>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 y la probabilidad de cobertura, la cual debe ser aproximada al 95% y no menor a este valor".</t>
    </r>
  </si>
  <si>
    <r>
      <t>F</t>
    </r>
    <r>
      <rPr>
        <vertAlign val="subscript"/>
        <sz val="11"/>
        <color theme="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</si>
</sst>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3" formatCode="_-* #,##0.00_-;\-* #,##0.00_-;_-* &quot;-&quot;??_-;_-@_-"/>
    <numFmt numFmtId="164" formatCode="yyyy\-mm\-dd;@"/>
    <numFmt numFmtId="165" formatCode="0.000"/>
    <numFmt numFmtId="166" formatCode="0.0"/>
    <numFmt numFmtId="167" formatCode="0.00000"/>
    <numFmt numFmtId="168" formatCode="0.0000"/>
    <numFmt numFmtId="169" formatCode="0_ &quot;kg&quot;"/>
    <numFmt numFmtId="170" formatCode="0_ &quot;g&quot;"/>
    <numFmt numFmtId="171" formatCode="0\ &quot;g&quot;"/>
    <numFmt numFmtId="172" formatCode="0\ &quot;g *&quot;"/>
    <numFmt numFmtId="173" formatCode="\1\ &quot;kg&quot;"/>
    <numFmt numFmtId="174" formatCode="\2\ &quot;kg&quot;"/>
    <numFmt numFmtId="175" formatCode="\2\ &quot;kg *&quot;"/>
    <numFmt numFmtId="176" formatCode="\5\ &quot;kg&quot;"/>
    <numFmt numFmtId="177" formatCode="0\ &quot;kg&quot;"/>
    <numFmt numFmtId="178" formatCode="\5\ &quot;kg C&quot;"/>
    <numFmt numFmtId="179" formatCode="0\ &quot;kg C&quot;"/>
    <numFmt numFmtId="180" formatCode="#,##0.0"/>
    <numFmt numFmtId="181" formatCode="0\ &quot;mg&quot;"/>
    <numFmt numFmtId="182" formatCode="0.0\ &quot;mg&quot;"/>
    <numFmt numFmtId="183" formatCode="0.00\ &quot;g&quot;"/>
    <numFmt numFmtId="184" formatCode="#,##0.000"/>
    <numFmt numFmtId="185" formatCode="0\ 000"/>
    <numFmt numFmtId="186" formatCode="0.000000"/>
    <numFmt numFmtId="187" formatCode="_-* #,##0.0000_-;\-* #,##0.0000_-;_-* &quot;-&quot;??_-;_-@_-"/>
    <numFmt numFmtId="188" formatCode="0.0\ &quot;g&quot;"/>
    <numFmt numFmtId="189" formatCode="0.00000000"/>
    <numFmt numFmtId="190" formatCode="0.00\ &quot;mg&quot;"/>
    <numFmt numFmtId="191" formatCode="0.0%"/>
    <numFmt numFmtId="192" formatCode="0.0000000"/>
    <numFmt numFmtId="193" formatCode="0.000\ &quot;mg&quot;"/>
    <numFmt numFmtId="194" formatCode="0.000\ &quot;g&quot;"/>
  </numFmts>
  <fonts count="87"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rgb="FF006100"/>
      <name val="Calibri"/>
      <family val="2"/>
      <scheme val="minor"/>
    </font>
    <font>
      <sz val="11"/>
      <color theme="1"/>
      <name val="Arial"/>
      <family val="2"/>
    </font>
    <font>
      <sz val="10"/>
      <color theme="1"/>
      <name val="Arial"/>
      <family val="2"/>
    </font>
    <font>
      <b/>
      <sz val="11"/>
      <color theme="0"/>
      <name val="Arial"/>
      <family val="2"/>
    </font>
    <font>
      <i/>
      <sz val="10"/>
      <color theme="1"/>
      <name val="Arial"/>
      <family val="2"/>
    </font>
    <font>
      <b/>
      <sz val="10"/>
      <color theme="1"/>
      <name val="Arial"/>
      <family val="2"/>
    </font>
    <font>
      <b/>
      <sz val="10"/>
      <name val="Arial"/>
      <family val="2"/>
    </font>
    <font>
      <b/>
      <i/>
      <sz val="10"/>
      <color theme="1"/>
      <name val="Arial"/>
      <family val="2"/>
    </font>
    <font>
      <b/>
      <i/>
      <vertAlign val="subscript"/>
      <sz val="10"/>
      <color theme="1"/>
      <name val="Arial"/>
      <family val="2"/>
    </font>
    <font>
      <i/>
      <vertAlign val="subscript"/>
      <sz val="10"/>
      <color theme="1"/>
      <name val="Arial"/>
      <family val="2"/>
    </font>
    <font>
      <b/>
      <sz val="10"/>
      <color theme="0"/>
      <name val="Arial"/>
      <family val="2"/>
    </font>
    <font>
      <sz val="16"/>
      <color theme="1"/>
      <name val="Arial"/>
      <family val="2"/>
    </font>
    <font>
      <sz val="11"/>
      <color theme="0" tint="-0.34998626667073579"/>
      <name val="Arial"/>
      <family val="2"/>
    </font>
    <font>
      <b/>
      <sz val="14"/>
      <color theme="0" tint="-0.34998626667073579"/>
      <name val="Arial"/>
      <family val="2"/>
    </font>
    <font>
      <b/>
      <sz val="14"/>
      <name val="Arial"/>
      <family val="2"/>
    </font>
    <font>
      <b/>
      <sz val="14"/>
      <color theme="0"/>
      <name val="Arial"/>
      <family val="2"/>
    </font>
    <font>
      <b/>
      <i/>
      <sz val="11"/>
      <color theme="0"/>
      <name val="Arial"/>
      <family val="2"/>
    </font>
    <font>
      <b/>
      <i/>
      <vertAlign val="subscript"/>
      <sz val="11"/>
      <color theme="0"/>
      <name val="Arial"/>
      <family val="2"/>
    </font>
    <font>
      <i/>
      <sz val="14"/>
      <color theme="0"/>
      <name val="Arial"/>
      <family val="2"/>
    </font>
    <font>
      <i/>
      <vertAlign val="subscript"/>
      <sz val="14"/>
      <color theme="0"/>
      <name val="Arial"/>
      <family val="2"/>
    </font>
    <font>
      <sz val="12"/>
      <color theme="0"/>
      <name val="Arial"/>
      <family val="2"/>
    </font>
    <font>
      <b/>
      <sz val="11"/>
      <color theme="1"/>
      <name val="Arial"/>
      <family val="2"/>
    </font>
    <font>
      <b/>
      <vertAlign val="superscript"/>
      <sz val="11"/>
      <color theme="1"/>
      <name val="Arial"/>
      <family val="2"/>
    </font>
    <font>
      <i/>
      <sz val="11"/>
      <color theme="1"/>
      <name val="Arial"/>
      <family val="2"/>
    </font>
    <font>
      <i/>
      <vertAlign val="subscript"/>
      <sz val="11"/>
      <color theme="1"/>
      <name val="Arial"/>
      <family val="2"/>
    </font>
    <font>
      <b/>
      <sz val="18"/>
      <color theme="1"/>
      <name val="Arial"/>
      <family val="2"/>
    </font>
    <font>
      <sz val="11"/>
      <name val="Arial"/>
      <family val="2"/>
    </font>
    <font>
      <vertAlign val="superscript"/>
      <sz val="11"/>
      <color theme="1"/>
      <name val="Times New Roman"/>
      <family val="1"/>
    </font>
    <font>
      <sz val="9"/>
      <color theme="1"/>
      <name val="Arial"/>
      <family val="2"/>
    </font>
    <font>
      <b/>
      <sz val="9"/>
      <name val="Arial"/>
      <family val="2"/>
    </font>
    <font>
      <b/>
      <sz val="14"/>
      <color theme="1"/>
      <name val="Arial"/>
      <family val="2"/>
    </font>
    <font>
      <b/>
      <sz val="12"/>
      <color theme="1"/>
      <name val="Arial"/>
      <family val="2"/>
    </font>
    <font>
      <b/>
      <i/>
      <sz val="12"/>
      <color theme="1"/>
      <name val="Arial"/>
      <family val="2"/>
    </font>
    <font>
      <sz val="12"/>
      <name val="Arial"/>
      <family val="2"/>
    </font>
    <font>
      <b/>
      <sz val="12"/>
      <name val="Arial"/>
      <family val="2"/>
    </font>
    <font>
      <b/>
      <i/>
      <sz val="11"/>
      <color theme="1"/>
      <name val="Arial"/>
      <family val="2"/>
    </font>
    <font>
      <b/>
      <sz val="9"/>
      <color theme="1"/>
      <name val="Arial"/>
      <family val="2"/>
    </font>
    <font>
      <b/>
      <sz val="11"/>
      <name val="Arial"/>
      <family val="2"/>
    </font>
    <font>
      <b/>
      <sz val="12"/>
      <color theme="0"/>
      <name val="Arial"/>
      <family val="2"/>
    </font>
    <font>
      <sz val="10"/>
      <color theme="0"/>
      <name val="Arial"/>
      <family val="2"/>
    </font>
    <font>
      <sz val="11"/>
      <color theme="1"/>
      <name val="Calibri"/>
      <family val="2"/>
      <scheme val="minor"/>
    </font>
    <font>
      <b/>
      <sz val="16"/>
      <color theme="1"/>
      <name val="Arial"/>
      <family val="2"/>
    </font>
    <font>
      <sz val="10"/>
      <color theme="0" tint="-0.34998626667073579"/>
      <name val="Arial"/>
      <family val="2"/>
    </font>
    <font>
      <sz val="12"/>
      <name val="Calibri"/>
      <family val="2"/>
      <scheme val="minor"/>
    </font>
    <font>
      <b/>
      <sz val="12"/>
      <name val="Tahoma"/>
      <family val="2"/>
    </font>
    <font>
      <b/>
      <sz val="14"/>
      <color theme="1"/>
      <name val="Cambria Math"/>
      <family val="1"/>
    </font>
    <font>
      <b/>
      <sz val="11"/>
      <name val="Tahoma"/>
      <family val="2"/>
    </font>
    <font>
      <b/>
      <sz val="18"/>
      <color theme="1"/>
      <name val="Tahoma"/>
      <family val="2"/>
    </font>
    <font>
      <b/>
      <vertAlign val="superscript"/>
      <sz val="12"/>
      <name val="Arial"/>
      <family val="2"/>
    </font>
    <font>
      <b/>
      <i/>
      <sz val="12"/>
      <name val="Arial"/>
      <family val="2"/>
    </font>
    <font>
      <b/>
      <i/>
      <vertAlign val="subscript"/>
      <sz val="12"/>
      <name val="Arial"/>
      <family val="2"/>
    </font>
    <font>
      <vertAlign val="superscript"/>
      <sz val="12"/>
      <name val="Arial"/>
      <family val="2"/>
    </font>
    <font>
      <sz val="12"/>
      <name val="Arial Narrow"/>
      <family val="2"/>
    </font>
    <font>
      <sz val="11"/>
      <color theme="1"/>
      <name val="Tahoma"/>
      <family val="2"/>
    </font>
    <font>
      <b/>
      <i/>
      <sz val="12"/>
      <color rgb="FFFF0000"/>
      <name val="Arial"/>
      <family val="2"/>
    </font>
    <font>
      <b/>
      <sz val="10"/>
      <color theme="0"/>
      <name val="Calibri"/>
      <family val="2"/>
    </font>
    <font>
      <sz val="9"/>
      <color indexed="81"/>
      <name val="Tahoma"/>
      <family val="2"/>
    </font>
    <font>
      <b/>
      <sz val="9"/>
      <color indexed="81"/>
      <name val="Tahoma"/>
      <family val="2"/>
    </font>
    <font>
      <b/>
      <sz val="20"/>
      <color theme="0"/>
      <name val="Arial"/>
      <family val="2"/>
    </font>
    <font>
      <b/>
      <i/>
      <sz val="12"/>
      <color theme="0"/>
      <name val="Arial"/>
      <family val="2"/>
    </font>
    <font>
      <sz val="12"/>
      <color theme="1"/>
      <name val="Calibri"/>
      <family val="2"/>
      <scheme val="minor"/>
    </font>
    <font>
      <b/>
      <sz val="11"/>
      <color theme="1"/>
      <name val="Calibri"/>
      <family val="2"/>
    </font>
    <font>
      <sz val="8"/>
      <name val="Calibri"/>
      <family val="2"/>
      <scheme val="minor"/>
    </font>
    <font>
      <sz val="14"/>
      <color theme="1"/>
      <name val="Arial"/>
      <family val="2"/>
    </font>
    <font>
      <b/>
      <sz val="24"/>
      <color theme="1"/>
      <name val="Arial"/>
      <family val="2"/>
    </font>
    <font>
      <vertAlign val="superscript"/>
      <sz val="10"/>
      <color theme="1"/>
      <name val="Arial"/>
      <family val="2"/>
    </font>
    <font>
      <b/>
      <sz val="14"/>
      <color rgb="FFFF0000"/>
      <name val="Arial"/>
      <family val="2"/>
    </font>
    <font>
      <b/>
      <sz val="16"/>
      <name val="Arial"/>
      <family val="2"/>
    </font>
    <font>
      <sz val="11"/>
      <color theme="0"/>
      <name val="Arial"/>
      <family val="2"/>
    </font>
    <font>
      <b/>
      <i/>
      <sz val="10"/>
      <name val="Arial"/>
      <family val="2"/>
    </font>
    <font>
      <b/>
      <i/>
      <vertAlign val="subscript"/>
      <sz val="10"/>
      <name val="Arial"/>
      <family val="2"/>
    </font>
    <font>
      <sz val="24"/>
      <name val="Arial"/>
      <family val="2"/>
    </font>
    <font>
      <b/>
      <sz val="11"/>
      <color rgb="FFFFFF00"/>
      <name val="Arial"/>
      <family val="2"/>
    </font>
    <font>
      <vertAlign val="subscript"/>
      <sz val="12"/>
      <name val="Arial"/>
      <family val="2"/>
    </font>
    <font>
      <b/>
      <i/>
      <vertAlign val="superscript"/>
      <sz val="12"/>
      <name val="Arial"/>
      <family val="2"/>
    </font>
    <font>
      <b/>
      <vertAlign val="subscript"/>
      <sz val="11"/>
      <color theme="1"/>
      <name val="Arial"/>
      <family val="2"/>
    </font>
    <font>
      <vertAlign val="subscript"/>
      <sz val="12"/>
      <color theme="1"/>
      <name val="Arial"/>
      <family val="2"/>
    </font>
    <font>
      <vertAlign val="subscript"/>
      <sz val="11"/>
      <color theme="1"/>
      <name val="Arial"/>
      <family val="2"/>
    </font>
    <font>
      <i/>
      <sz val="12"/>
      <color theme="1"/>
      <name val="Arial"/>
      <family val="2"/>
    </font>
    <font>
      <sz val="10"/>
      <name val="Arial"/>
      <family val="2"/>
    </font>
    <font>
      <vertAlign val="subscript"/>
      <sz val="12"/>
      <color theme="0"/>
      <name val="Arial"/>
      <family val="2"/>
    </font>
    <font>
      <i/>
      <sz val="12"/>
      <color theme="0"/>
      <name val="Arial"/>
      <family val="2"/>
    </font>
    <font>
      <vertAlign val="subscript"/>
      <sz val="11"/>
      <color theme="0"/>
      <name val="Arial"/>
      <family val="2"/>
    </font>
  </fonts>
  <fills count="36">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rgb="FFFFFFFF"/>
        <bgColor indexed="64"/>
      </patternFill>
    </fill>
    <fill>
      <patternFill patternType="solid">
        <fgColor rgb="FFFFF2CC"/>
        <bgColor indexed="64"/>
      </patternFill>
    </fill>
    <fill>
      <patternFill patternType="solid">
        <fgColor rgb="FF0070C0"/>
        <bgColor indexed="64"/>
      </patternFill>
    </fill>
    <fill>
      <patternFill patternType="solid">
        <fgColor rgb="FFBDD7EE"/>
        <bgColor indexed="64"/>
      </patternFill>
    </fill>
    <fill>
      <gradientFill degree="90">
        <stop position="0">
          <color rgb="FF7030A0"/>
        </stop>
        <stop position="1">
          <color rgb="FFFFFF00"/>
        </stop>
      </gradientFill>
    </fill>
    <fill>
      <patternFill patternType="solid">
        <fgColor rgb="FF1F4E78"/>
        <bgColor indexed="64"/>
      </patternFill>
    </fill>
    <fill>
      <patternFill patternType="darkTrellis">
        <fgColor auto="1"/>
        <bgColor auto="1"/>
      </patternFill>
    </fill>
    <fill>
      <patternFill patternType="lightGray">
        <fgColor auto="1"/>
        <bgColor auto="1"/>
      </patternFill>
    </fill>
    <fill>
      <patternFill patternType="mediumGray">
        <fgColor auto="1"/>
        <bgColor auto="1"/>
      </patternFill>
    </fill>
    <fill>
      <patternFill patternType="darkDown">
        <fgColor auto="1"/>
        <bgColor auto="1"/>
      </patternFill>
    </fill>
    <fill>
      <patternFill patternType="solid">
        <fgColor rgb="FF8DB4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auto="1"/>
      </patternFill>
    </fill>
    <fill>
      <gradientFill type="path">
        <stop position="0">
          <color theme="0" tint="-0.25098422193060094"/>
        </stop>
        <stop position="1">
          <color rgb="FFFFFF00"/>
        </stop>
      </gradientFill>
    </fill>
    <fill>
      <patternFill patternType="solid">
        <fgColor rgb="FF92D050"/>
        <bgColor indexed="64"/>
      </patternFill>
    </fill>
    <fill>
      <patternFill patternType="solid">
        <fgColor theme="4" tint="0.39997558519241921"/>
        <bgColor auto="1"/>
      </patternFill>
    </fill>
    <fill>
      <patternFill patternType="solid">
        <fgColor rgb="FF9BC2E6"/>
        <bgColor auto="1"/>
      </patternFill>
    </fill>
    <fill>
      <patternFill patternType="solid">
        <fgColor theme="5" tint="0.79998168889431442"/>
        <bgColor indexed="64"/>
      </patternFill>
    </fill>
    <fill>
      <patternFill patternType="solid">
        <fgColor rgb="FFFCE4D6"/>
        <bgColor indexed="64"/>
      </patternFill>
    </fill>
    <fill>
      <patternFill patternType="solid">
        <fgColor theme="8" tint="0.39997558519241921"/>
        <bgColor indexed="64"/>
      </patternFill>
    </fill>
    <fill>
      <patternFill patternType="solid">
        <fgColor rgb="FFD9D9D9"/>
        <bgColor indexed="64"/>
      </patternFill>
    </fill>
    <fill>
      <patternFill patternType="solid">
        <fgColor rgb="FFC6E0B4"/>
        <bgColor indexed="64"/>
      </patternFill>
    </fill>
    <fill>
      <patternFill patternType="solid">
        <fgColor rgb="FFFFFF00"/>
        <bgColor auto="1"/>
      </patternFill>
    </fill>
    <fill>
      <patternFill patternType="solid">
        <fgColor rgb="FFFCE4D6"/>
        <bgColor auto="1"/>
      </patternFill>
    </fill>
  </fills>
  <borders count="7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0">
    <xf numFmtId="0" fontId="0" fillId="0" borderId="0"/>
    <xf numFmtId="0" fontId="4" fillId="2" borderId="0" applyNumberFormat="0" applyBorder="0" applyAlignment="0" applyProtection="0"/>
    <xf numFmtId="2" fontId="5" fillId="14" borderId="0">
      <protection hidden="1"/>
    </xf>
    <xf numFmtId="2" fontId="5" fillId="16" borderId="22">
      <alignment horizontal="center" vertical="center"/>
      <protection hidden="1"/>
    </xf>
    <xf numFmtId="2" fontId="5" fillId="17" borderId="22">
      <alignment horizontal="center" vertical="center"/>
      <protection hidden="1"/>
    </xf>
    <xf numFmtId="2" fontId="5" fillId="18" borderId="22">
      <alignment horizontal="center" vertical="center"/>
      <protection hidden="1"/>
    </xf>
    <xf numFmtId="2" fontId="5" fillId="19" borderId="22">
      <alignment horizontal="center" vertical="center"/>
      <protection hidden="1"/>
    </xf>
    <xf numFmtId="9" fontId="44" fillId="0" borderId="0" applyFont="0" applyFill="0" applyBorder="0" applyAlignment="0" applyProtection="0"/>
    <xf numFmtId="164" fontId="5" fillId="25" borderId="0">
      <alignment horizontal="center" vertical="center"/>
      <protection hidden="1"/>
    </xf>
    <xf numFmtId="43" fontId="44" fillId="0" borderId="0" applyFont="0" applyFill="0" applyBorder="0" applyAlignment="0" applyProtection="0"/>
  </cellStyleXfs>
  <cellXfs count="1895">
    <xf numFmtId="0" fontId="0" fillId="0" borderId="0" xfId="0"/>
    <xf numFmtId="166" fontId="30" fillId="4" borderId="8" xfId="0" applyNumberFormat="1" applyFont="1" applyFill="1" applyBorder="1" applyAlignment="1" applyProtection="1">
      <alignment horizontal="center" vertical="center"/>
      <protection locked="0" hidden="1"/>
    </xf>
    <xf numFmtId="166" fontId="30" fillId="11" borderId="8" xfId="0" applyNumberFormat="1" applyFont="1" applyFill="1" applyBorder="1" applyAlignment="1" applyProtection="1">
      <alignment horizontal="center" vertical="center"/>
      <protection locked="0" hidden="1"/>
    </xf>
    <xf numFmtId="166" fontId="30" fillId="11" borderId="9" xfId="0" applyNumberFormat="1" applyFont="1" applyFill="1" applyBorder="1" applyAlignment="1" applyProtection="1">
      <alignment horizontal="center" vertical="center" wrapText="1"/>
      <protection locked="0" hidden="1"/>
    </xf>
    <xf numFmtId="2" fontId="5" fillId="14" borderId="22" xfId="2" applyBorder="1" applyAlignment="1" applyProtection="1">
      <alignment horizontal="center" vertical="center" wrapText="1"/>
      <protection locked="0" hidden="1"/>
    </xf>
    <xf numFmtId="1" fontId="5" fillId="14" borderId="38" xfId="2" applyNumberFormat="1" applyBorder="1" applyAlignment="1" applyProtection="1">
      <alignment horizontal="center" vertical="center"/>
      <protection locked="0" hidden="1"/>
    </xf>
    <xf numFmtId="2" fontId="5" fillId="14" borderId="22" xfId="2" applyBorder="1" applyAlignment="1" applyProtection="1">
      <alignment horizontal="center" vertical="center"/>
      <protection locked="0" hidden="1"/>
    </xf>
    <xf numFmtId="0" fontId="15" fillId="0" borderId="0" xfId="0" applyFont="1" applyAlignment="1">
      <alignment vertical="center"/>
    </xf>
    <xf numFmtId="0" fontId="5" fillId="0" borderId="0" xfId="0" applyFont="1"/>
    <xf numFmtId="2" fontId="5" fillId="3" borderId="26" xfId="0" applyNumberFormat="1" applyFont="1" applyFill="1" applyBorder="1"/>
    <xf numFmtId="2" fontId="5" fillId="3" borderId="0" xfId="0" applyNumberFormat="1" applyFont="1" applyFill="1"/>
    <xf numFmtId="2" fontId="5" fillId="0" borderId="0" xfId="0" applyNumberFormat="1" applyFont="1"/>
    <xf numFmtId="2" fontId="32" fillId="0" borderId="0" xfId="0" applyNumberFormat="1" applyFont="1"/>
    <xf numFmtId="2" fontId="33" fillId="8" borderId="7" xfId="1" applyNumberFormat="1" applyFont="1" applyFill="1" applyBorder="1" applyAlignment="1" applyProtection="1">
      <alignment horizontal="center" vertical="center" wrapText="1"/>
    </xf>
    <xf numFmtId="2" fontId="33" fillId="8" borderId="8" xfId="1" applyNumberFormat="1" applyFont="1" applyFill="1" applyBorder="1" applyAlignment="1" applyProtection="1">
      <alignment horizontal="center" vertical="center" wrapText="1"/>
    </xf>
    <xf numFmtId="2" fontId="10" fillId="8" borderId="8" xfId="1" applyNumberFormat="1" applyFont="1" applyFill="1" applyBorder="1" applyAlignment="1" applyProtection="1">
      <alignment horizontal="center" vertical="center" wrapText="1"/>
    </xf>
    <xf numFmtId="2" fontId="9" fillId="8" borderId="8" xfId="0" applyNumberFormat="1" applyFont="1" applyFill="1" applyBorder="1" applyAlignment="1">
      <alignment horizontal="center" vertical="center" wrapText="1"/>
    </xf>
    <xf numFmtId="2" fontId="10" fillId="8" borderId="30" xfId="1" applyNumberFormat="1" applyFont="1" applyFill="1" applyBorder="1" applyAlignment="1" applyProtection="1">
      <alignment horizontal="center" vertical="center" wrapText="1"/>
    </xf>
    <xf numFmtId="14" fontId="6" fillId="13" borderId="43" xfId="0" applyNumberFormat="1" applyFont="1" applyFill="1" applyBorder="1" applyAlignment="1">
      <alignment horizontal="center" vertical="center" wrapText="1"/>
    </xf>
    <xf numFmtId="0" fontId="6" fillId="13" borderId="43" xfId="0" applyFont="1" applyFill="1" applyBorder="1" applyAlignment="1">
      <alignment horizontal="center" vertical="center" wrapText="1"/>
    </xf>
    <xf numFmtId="0" fontId="9" fillId="6" borderId="11" xfId="0" applyFont="1" applyFill="1" applyBorder="1" applyAlignment="1">
      <alignment vertical="center"/>
    </xf>
    <xf numFmtId="0" fontId="6" fillId="9" borderId="32" xfId="0" applyFont="1" applyFill="1" applyBorder="1" applyAlignment="1">
      <alignment horizontal="center" vertical="center"/>
    </xf>
    <xf numFmtId="0" fontId="9" fillId="8" borderId="32" xfId="0" applyFont="1" applyFill="1" applyBorder="1" applyAlignment="1">
      <alignment vertical="center"/>
    </xf>
    <xf numFmtId="0" fontId="6" fillId="9" borderId="33" xfId="0" applyFont="1" applyFill="1" applyBorder="1" applyAlignment="1">
      <alignment horizontal="center" vertical="center"/>
    </xf>
    <xf numFmtId="0" fontId="6" fillId="3" borderId="0" xfId="0" applyFont="1" applyFill="1"/>
    <xf numFmtId="0" fontId="9" fillId="6" borderId="32" xfId="0" applyFont="1" applyFill="1" applyBorder="1" applyAlignment="1">
      <alignment vertical="center"/>
    </xf>
    <xf numFmtId="0" fontId="5" fillId="3" borderId="0" xfId="0" applyFont="1" applyFill="1"/>
    <xf numFmtId="0" fontId="9" fillId="6" borderId="3" xfId="0" applyFont="1" applyFill="1" applyBorder="1" applyAlignment="1">
      <alignment vertical="center"/>
    </xf>
    <xf numFmtId="0" fontId="6" fillId="9" borderId="2" xfId="0" applyFont="1" applyFill="1" applyBorder="1" applyAlignment="1">
      <alignment horizontal="center" vertical="center"/>
    </xf>
    <xf numFmtId="0" fontId="9" fillId="6" borderId="2" xfId="0" applyFont="1" applyFill="1" applyBorder="1" applyAlignment="1">
      <alignment vertical="center"/>
    </xf>
    <xf numFmtId="0" fontId="6" fillId="9" borderId="10" xfId="0" applyFont="1" applyFill="1" applyBorder="1" applyAlignment="1">
      <alignment horizontal="center" vertical="center"/>
    </xf>
    <xf numFmtId="0" fontId="9" fillId="6" borderId="3" xfId="0" applyFont="1" applyFill="1" applyBorder="1" applyAlignment="1">
      <alignment vertical="center" wrapText="1"/>
    </xf>
    <xf numFmtId="0" fontId="9" fillId="6" borderId="2" xfId="0" applyFont="1" applyFill="1" applyBorder="1" applyAlignment="1">
      <alignment horizontal="center" vertical="center" wrapText="1"/>
    </xf>
    <xf numFmtId="164" fontId="6" fillId="9" borderId="10" xfId="0" applyNumberFormat="1" applyFont="1" applyFill="1" applyBorder="1" applyAlignment="1">
      <alignment horizontal="center" vertical="center"/>
    </xf>
    <xf numFmtId="0" fontId="5" fillId="0" borderId="0" xfId="0" applyFont="1" applyAlignment="1">
      <alignment vertical="center"/>
    </xf>
    <xf numFmtId="0" fontId="5" fillId="3" borderId="0" xfId="0" applyFont="1" applyFill="1" applyAlignment="1">
      <alignment vertical="center"/>
    </xf>
    <xf numFmtId="0" fontId="6" fillId="3" borderId="0" xfId="0" applyFont="1" applyFill="1" applyAlignment="1">
      <alignment vertical="center"/>
    </xf>
    <xf numFmtId="0" fontId="6" fillId="9" borderId="5" xfId="0" applyFont="1" applyFill="1" applyBorder="1" applyAlignment="1">
      <alignment horizontal="center" vertical="center"/>
    </xf>
    <xf numFmtId="0" fontId="5" fillId="3" borderId="33" xfId="0" applyFont="1" applyFill="1" applyBorder="1" applyAlignment="1">
      <alignment vertical="center"/>
    </xf>
    <xf numFmtId="0" fontId="9" fillId="6" borderId="12" xfId="0" applyFont="1" applyFill="1" applyBorder="1" applyAlignment="1">
      <alignment vertical="center" wrapText="1"/>
    </xf>
    <xf numFmtId="0" fontId="6" fillId="9" borderId="6" xfId="0" applyFont="1" applyFill="1" applyBorder="1" applyAlignment="1">
      <alignment horizontal="center" vertical="center"/>
    </xf>
    <xf numFmtId="0" fontId="16" fillId="0" borderId="0" xfId="0" applyFont="1"/>
    <xf numFmtId="0" fontId="16" fillId="3" borderId="0" xfId="0" applyFont="1" applyFill="1"/>
    <xf numFmtId="0" fontId="17" fillId="3" borderId="25" xfId="0" applyFont="1" applyFill="1" applyBorder="1" applyAlignment="1">
      <alignment horizontal="center" vertical="center"/>
    </xf>
    <xf numFmtId="0" fontId="17" fillId="3" borderId="26" xfId="0" applyFont="1" applyFill="1" applyBorder="1" applyAlignment="1">
      <alignment horizontal="center" vertical="center"/>
    </xf>
    <xf numFmtId="0" fontId="17" fillId="3" borderId="24" xfId="0" applyFont="1" applyFill="1" applyBorder="1" applyAlignment="1">
      <alignment horizontal="center" vertical="center"/>
    </xf>
    <xf numFmtId="0" fontId="25" fillId="6" borderId="5" xfId="0" applyFont="1" applyFill="1" applyBorder="1" applyAlignment="1">
      <alignment horizontal="center" vertical="center"/>
    </xf>
    <xf numFmtId="0" fontId="16" fillId="3" borderId="26" xfId="0" applyFont="1" applyFill="1" applyBorder="1"/>
    <xf numFmtId="0" fontId="25" fillId="6" borderId="38" xfId="0" applyFont="1" applyFill="1" applyBorder="1" applyAlignment="1">
      <alignment horizontal="center" vertical="center"/>
    </xf>
    <xf numFmtId="0" fontId="16" fillId="3" borderId="29" xfId="0" applyFont="1" applyFill="1" applyBorder="1" applyAlignment="1">
      <alignment vertical="center"/>
    </xf>
    <xf numFmtId="0" fontId="25" fillId="6" borderId="39" xfId="0" applyFont="1" applyFill="1" applyBorder="1" applyAlignment="1">
      <alignment horizontal="center" vertical="center"/>
    </xf>
    <xf numFmtId="0" fontId="25" fillId="6" borderId="41" xfId="0" applyFont="1" applyFill="1" applyBorder="1" applyAlignment="1">
      <alignment horizontal="center" vertical="center"/>
    </xf>
    <xf numFmtId="167" fontId="5" fillId="6" borderId="2" xfId="0" applyNumberFormat="1" applyFont="1" applyFill="1" applyBorder="1" applyAlignment="1">
      <alignment horizontal="center" vertical="center"/>
    </xf>
    <xf numFmtId="0" fontId="25" fillId="6" borderId="42" xfId="0" applyFont="1" applyFill="1" applyBorder="1" applyAlignment="1">
      <alignment horizontal="center" vertical="center"/>
    </xf>
    <xf numFmtId="0" fontId="7" fillId="5" borderId="7" xfId="0" applyFont="1" applyFill="1" applyBorder="1" applyAlignment="1">
      <alignment horizontal="center" vertical="top" wrapText="1"/>
    </xf>
    <xf numFmtId="0" fontId="7" fillId="5" borderId="43" xfId="0" applyFont="1" applyFill="1" applyBorder="1" applyAlignment="1">
      <alignment horizontal="center" vertical="center" wrapText="1"/>
    </xf>
    <xf numFmtId="165" fontId="16" fillId="3" borderId="0" xfId="0" applyNumberFormat="1" applyFont="1" applyFill="1"/>
    <xf numFmtId="0" fontId="25" fillId="6" borderId="35" xfId="0" applyFont="1" applyFill="1" applyBorder="1" applyAlignment="1">
      <alignment horizontal="center" vertical="center"/>
    </xf>
    <xf numFmtId="2" fontId="25" fillId="6" borderId="4" xfId="0" applyNumberFormat="1" applyFont="1" applyFill="1" applyBorder="1" applyAlignment="1">
      <alignment horizontal="center" vertical="center"/>
    </xf>
    <xf numFmtId="0" fontId="5" fillId="6" borderId="57" xfId="0" applyFont="1" applyFill="1" applyBorder="1" applyAlignment="1">
      <alignment horizontal="center" wrapText="1"/>
    </xf>
    <xf numFmtId="0" fontId="5" fillId="6" borderId="53" xfId="0" applyFont="1" applyFill="1" applyBorder="1" applyAlignment="1">
      <alignment horizontal="center"/>
    </xf>
    <xf numFmtId="0" fontId="5" fillId="6" borderId="47" xfId="0" applyFont="1" applyFill="1" applyBorder="1" applyAlignment="1">
      <alignment horizontal="center" wrapText="1"/>
    </xf>
    <xf numFmtId="0" fontId="27" fillId="6" borderId="53" xfId="0" applyFont="1" applyFill="1" applyBorder="1" applyAlignment="1">
      <alignment horizontal="center" vertical="center"/>
    </xf>
    <xf numFmtId="167" fontId="5" fillId="6" borderId="36" xfId="0" applyNumberFormat="1" applyFont="1" applyFill="1" applyBorder="1" applyAlignment="1">
      <alignment horizontal="center" vertical="center"/>
    </xf>
    <xf numFmtId="0" fontId="5" fillId="6" borderId="4" xfId="0" applyFont="1" applyFill="1" applyBorder="1" applyAlignment="1">
      <alignment horizontal="center" vertical="center"/>
    </xf>
    <xf numFmtId="0" fontId="5" fillId="6" borderId="37" xfId="0" applyFont="1" applyFill="1" applyBorder="1" applyAlignment="1">
      <alignment horizontal="center"/>
    </xf>
    <xf numFmtId="165" fontId="5" fillId="3" borderId="0" xfId="0" applyNumberFormat="1" applyFont="1" applyFill="1" applyAlignment="1">
      <alignment horizontal="center" vertical="center" wrapText="1"/>
    </xf>
    <xf numFmtId="165" fontId="5" fillId="8" borderId="2" xfId="0" applyNumberFormat="1" applyFont="1" applyFill="1" applyBorder="1" applyAlignment="1">
      <alignment horizontal="center" vertical="center"/>
    </xf>
    <xf numFmtId="165" fontId="5" fillId="6" borderId="2" xfId="0" applyNumberFormat="1" applyFont="1" applyFill="1" applyBorder="1" applyAlignment="1">
      <alignment horizontal="center" vertical="center"/>
    </xf>
    <xf numFmtId="0" fontId="16" fillId="3" borderId="25" xfId="0" applyFont="1" applyFill="1" applyBorder="1" applyAlignment="1">
      <alignment vertical="center" wrapText="1"/>
    </xf>
    <xf numFmtId="0" fontId="16" fillId="3" borderId="24" xfId="0" applyFont="1" applyFill="1" applyBorder="1" applyAlignment="1">
      <alignment vertical="center" wrapText="1"/>
    </xf>
    <xf numFmtId="0" fontId="25" fillId="6" borderId="60" xfId="0" applyFont="1" applyFill="1" applyBorder="1" applyAlignment="1">
      <alignment horizontal="center" vertical="center" wrapText="1"/>
    </xf>
    <xf numFmtId="0" fontId="25" fillId="6" borderId="59" xfId="0" applyFont="1" applyFill="1" applyBorder="1" applyAlignment="1">
      <alignment vertical="center" wrapText="1"/>
    </xf>
    <xf numFmtId="166" fontId="5" fillId="8" borderId="12" xfId="0" applyNumberFormat="1" applyFont="1" applyFill="1" applyBorder="1" applyAlignment="1">
      <alignment horizontal="center" vertical="center" wrapText="1"/>
    </xf>
    <xf numFmtId="166" fontId="5" fillId="8" borderId="5" xfId="0" applyNumberFormat="1" applyFont="1" applyFill="1" applyBorder="1" applyAlignment="1">
      <alignment horizontal="center" vertical="center" wrapText="1"/>
    </xf>
    <xf numFmtId="166" fontId="5" fillId="8" borderId="6" xfId="0" applyNumberFormat="1" applyFont="1" applyFill="1" applyBorder="1" applyAlignment="1">
      <alignment horizontal="center" vertical="center" wrapText="1"/>
    </xf>
    <xf numFmtId="165" fontId="5" fillId="8" borderId="5" xfId="0" applyNumberFormat="1" applyFont="1" applyFill="1" applyBorder="1" applyAlignment="1">
      <alignment horizontal="center" vertical="center"/>
    </xf>
    <xf numFmtId="167" fontId="5" fillId="8" borderId="5" xfId="0" applyNumberFormat="1" applyFont="1" applyFill="1" applyBorder="1" applyAlignment="1">
      <alignment horizontal="center" vertical="center"/>
    </xf>
    <xf numFmtId="166" fontId="5" fillId="8" borderId="11" xfId="0" applyNumberFormat="1" applyFont="1" applyFill="1" applyBorder="1" applyAlignment="1">
      <alignment horizontal="center" vertical="center" wrapText="1"/>
    </xf>
    <xf numFmtId="166" fontId="5" fillId="8" borderId="32" xfId="0" applyNumberFormat="1" applyFont="1" applyFill="1" applyBorder="1" applyAlignment="1">
      <alignment horizontal="center" vertical="center" wrapText="1"/>
    </xf>
    <xf numFmtId="166" fontId="5" fillId="8" borderId="33" xfId="0" applyNumberFormat="1" applyFont="1" applyFill="1" applyBorder="1" applyAlignment="1">
      <alignment horizontal="center" vertical="center" wrapText="1"/>
    </xf>
    <xf numFmtId="0" fontId="25" fillId="6" borderId="27" xfId="0" applyFont="1" applyFill="1" applyBorder="1" applyAlignment="1">
      <alignment horizontal="center" vertical="center" wrapText="1"/>
    </xf>
    <xf numFmtId="0" fontId="40" fillId="6" borderId="67" xfId="0" applyFont="1" applyFill="1" applyBorder="1" applyAlignment="1">
      <alignment horizontal="center" vertical="center" wrapText="1"/>
    </xf>
    <xf numFmtId="0" fontId="9" fillId="6" borderId="48" xfId="0" applyFont="1" applyFill="1" applyBorder="1" applyAlignment="1">
      <alignment horizontal="left" vertical="center" wrapText="1"/>
    </xf>
    <xf numFmtId="0" fontId="9" fillId="6" borderId="7" xfId="0" applyFont="1" applyFill="1" applyBorder="1" applyAlignment="1">
      <alignment horizontal="left" vertical="center" wrapText="1"/>
    </xf>
    <xf numFmtId="0" fontId="32" fillId="9" borderId="8" xfId="0" applyFont="1" applyFill="1" applyBorder="1" applyAlignment="1">
      <alignment horizontal="center" vertical="center" wrapText="1"/>
    </xf>
    <xf numFmtId="0" fontId="9" fillId="6" borderId="8" xfId="0" applyFont="1" applyFill="1" applyBorder="1" applyAlignment="1">
      <alignment horizontal="left" vertical="center" wrapText="1"/>
    </xf>
    <xf numFmtId="1" fontId="32" fillId="9" borderId="8" xfId="0" applyNumberFormat="1" applyFont="1" applyFill="1" applyBorder="1" applyAlignment="1">
      <alignment horizontal="center" vertical="center" wrapText="1"/>
    </xf>
    <xf numFmtId="0" fontId="32" fillId="9" borderId="48" xfId="0" applyFont="1" applyFill="1" applyBorder="1" applyAlignment="1">
      <alignment horizontal="center" vertical="center" wrapText="1"/>
    </xf>
    <xf numFmtId="168" fontId="39" fillId="8" borderId="13" xfId="0" applyNumberFormat="1" applyFont="1" applyFill="1" applyBorder="1" applyAlignment="1">
      <alignment horizontal="center" vertical="center"/>
    </xf>
    <xf numFmtId="0" fontId="25" fillId="8" borderId="44" xfId="0" applyFont="1" applyFill="1" applyBorder="1" applyAlignment="1">
      <alignment horizontal="center" vertical="center"/>
    </xf>
    <xf numFmtId="0" fontId="25" fillId="6" borderId="2" xfId="0" applyFont="1" applyFill="1" applyBorder="1" applyAlignment="1">
      <alignment horizontal="center" vertical="center"/>
    </xf>
    <xf numFmtId="2" fontId="5" fillId="0" borderId="0" xfId="0" applyNumberFormat="1" applyFont="1" applyProtection="1">
      <protection hidden="1"/>
    </xf>
    <xf numFmtId="2" fontId="5" fillId="3" borderId="0" xfId="0" applyNumberFormat="1" applyFont="1" applyFill="1" applyProtection="1">
      <protection hidden="1"/>
    </xf>
    <xf numFmtId="2" fontId="25" fillId="0" borderId="0" xfId="0" applyNumberFormat="1" applyFont="1" applyAlignment="1" applyProtection="1">
      <alignment horizontal="center" vertical="center" wrapText="1"/>
      <protection hidden="1"/>
    </xf>
    <xf numFmtId="2" fontId="5" fillId="0" borderId="0" xfId="0" applyNumberFormat="1" applyFont="1" applyAlignment="1" applyProtection="1">
      <alignment horizontal="center" vertical="center"/>
      <protection hidden="1"/>
    </xf>
    <xf numFmtId="2" fontId="25" fillId="0" borderId="0" xfId="0" applyNumberFormat="1" applyFont="1" applyAlignment="1" applyProtection="1">
      <alignment vertical="center" wrapText="1"/>
      <protection hidden="1"/>
    </xf>
    <xf numFmtId="0" fontId="6" fillId="0" borderId="0" xfId="0" applyFont="1" applyAlignment="1" applyProtection="1">
      <alignment vertical="center" wrapText="1"/>
      <protection hidden="1"/>
    </xf>
    <xf numFmtId="0" fontId="46" fillId="0" borderId="0" xfId="0" applyFont="1"/>
    <xf numFmtId="0" fontId="11" fillId="8" borderId="32" xfId="0" applyFont="1" applyFill="1" applyBorder="1" applyAlignment="1">
      <alignment horizontal="center" vertical="center"/>
    </xf>
    <xf numFmtId="0" fontId="36" fillId="8" borderId="32" xfId="0" applyFont="1" applyFill="1" applyBorder="1" applyAlignment="1">
      <alignment horizontal="center" vertical="center"/>
    </xf>
    <xf numFmtId="167" fontId="5" fillId="6" borderId="40" xfId="0" applyNumberFormat="1" applyFont="1" applyFill="1" applyBorder="1" applyAlignment="1">
      <alignment horizontal="center" vertical="center"/>
    </xf>
    <xf numFmtId="167" fontId="5" fillId="6" borderId="32" xfId="0" applyNumberFormat="1" applyFont="1" applyFill="1" applyBorder="1" applyAlignment="1">
      <alignment horizontal="center" vertical="center"/>
    </xf>
    <xf numFmtId="167" fontId="5" fillId="6" borderId="19" xfId="0" applyNumberFormat="1" applyFont="1" applyFill="1" applyBorder="1" applyAlignment="1">
      <alignment horizontal="center" vertical="center"/>
    </xf>
    <xf numFmtId="167" fontId="5" fillId="6" borderId="37" xfId="0" applyNumberFormat="1" applyFont="1" applyFill="1" applyBorder="1" applyAlignment="1">
      <alignment horizontal="center" vertical="center"/>
    </xf>
    <xf numFmtId="167" fontId="5" fillId="6" borderId="5" xfId="0" applyNumberFormat="1" applyFont="1" applyFill="1" applyBorder="1" applyAlignment="1">
      <alignment horizontal="center" vertical="center"/>
    </xf>
    <xf numFmtId="2" fontId="35" fillId="0" borderId="0" xfId="0" applyNumberFormat="1" applyFont="1" applyAlignment="1" applyProtection="1">
      <alignment horizontal="center"/>
      <protection hidden="1"/>
    </xf>
    <xf numFmtId="167" fontId="30" fillId="4" borderId="1" xfId="0" applyNumberFormat="1" applyFont="1" applyFill="1" applyBorder="1" applyAlignment="1" applyProtection="1">
      <alignment horizontal="center" vertical="center"/>
      <protection locked="0" hidden="1"/>
    </xf>
    <xf numFmtId="167" fontId="30" fillId="4" borderId="50" xfId="0" applyNumberFormat="1" applyFont="1" applyFill="1" applyBorder="1" applyAlignment="1" applyProtection="1">
      <alignment horizontal="center" vertical="center"/>
      <protection locked="0" hidden="1"/>
    </xf>
    <xf numFmtId="0" fontId="25" fillId="6" borderId="9" xfId="0" applyFont="1" applyFill="1" applyBorder="1" applyAlignment="1">
      <alignment horizontal="center" vertical="center"/>
    </xf>
    <xf numFmtId="0" fontId="35" fillId="8" borderId="22" xfId="0" applyFont="1" applyFill="1" applyBorder="1" applyAlignment="1" applyProtection="1">
      <alignment horizontal="center" vertical="center" wrapText="1"/>
      <protection hidden="1"/>
    </xf>
    <xf numFmtId="0" fontId="25" fillId="9" borderId="16" xfId="0" applyFont="1" applyFill="1" applyBorder="1" applyAlignment="1">
      <alignment wrapText="1"/>
    </xf>
    <xf numFmtId="0" fontId="25" fillId="9" borderId="16" xfId="0" applyFont="1" applyFill="1" applyBorder="1" applyAlignment="1">
      <alignment vertical="center" wrapText="1"/>
    </xf>
    <xf numFmtId="0" fontId="25" fillId="9" borderId="44" xfId="0" applyFont="1" applyFill="1" applyBorder="1" applyAlignment="1">
      <alignment horizontal="center" vertical="center"/>
    </xf>
    <xf numFmtId="0" fontId="25" fillId="9" borderId="35" xfId="0" applyFont="1" applyFill="1" applyBorder="1" applyAlignment="1">
      <alignment horizontal="center" vertical="center"/>
    </xf>
    <xf numFmtId="1" fontId="25" fillId="8" borderId="9" xfId="0" applyNumberFormat="1" applyFont="1" applyFill="1" applyBorder="1" applyAlignment="1" applyProtection="1">
      <alignment horizontal="center" vertical="center"/>
      <protection hidden="1"/>
    </xf>
    <xf numFmtId="165" fontId="25" fillId="8" borderId="22" xfId="0" applyNumberFormat="1" applyFont="1" applyFill="1" applyBorder="1" applyAlignment="1">
      <alignment horizontal="center" vertical="center"/>
    </xf>
    <xf numFmtId="0" fontId="25" fillId="6" borderId="32" xfId="0" applyFont="1" applyFill="1" applyBorder="1" applyAlignment="1">
      <alignment horizontal="center" vertical="center"/>
    </xf>
    <xf numFmtId="167" fontId="30" fillId="4" borderId="32" xfId="0" applyNumberFormat="1" applyFont="1" applyFill="1" applyBorder="1" applyAlignment="1" applyProtection="1">
      <alignment horizontal="center" vertical="center"/>
      <protection locked="0" hidden="1"/>
    </xf>
    <xf numFmtId="167" fontId="30" fillId="4" borderId="33" xfId="0" applyNumberFormat="1" applyFont="1" applyFill="1" applyBorder="1" applyAlignment="1" applyProtection="1">
      <alignment horizontal="center" vertical="center"/>
      <protection locked="0" hidden="1"/>
    </xf>
    <xf numFmtId="167" fontId="30" fillId="4" borderId="48" xfId="0" applyNumberFormat="1" applyFont="1" applyFill="1" applyBorder="1" applyAlignment="1" applyProtection="1">
      <alignment horizontal="center" vertical="center"/>
      <protection locked="0" hidden="1"/>
    </xf>
    <xf numFmtId="167" fontId="30" fillId="4" borderId="55" xfId="0" applyNumberFormat="1" applyFont="1" applyFill="1" applyBorder="1" applyAlignment="1" applyProtection="1">
      <alignment horizontal="center" vertical="center"/>
      <protection locked="0" hidden="1"/>
    </xf>
    <xf numFmtId="1" fontId="50" fillId="8" borderId="50" xfId="0" applyNumberFormat="1" applyFont="1" applyFill="1" applyBorder="1" applyAlignment="1" applyProtection="1">
      <alignment horizontal="center" vertical="center"/>
      <protection hidden="1"/>
    </xf>
    <xf numFmtId="1" fontId="50" fillId="8" borderId="34" xfId="0" applyNumberFormat="1" applyFont="1" applyFill="1" applyBorder="1" applyAlignment="1" applyProtection="1">
      <alignment horizontal="center" vertical="center"/>
      <protection hidden="1"/>
    </xf>
    <xf numFmtId="1" fontId="50" fillId="8" borderId="10" xfId="0" applyNumberFormat="1" applyFont="1" applyFill="1" applyBorder="1" applyAlignment="1" applyProtection="1">
      <alignment horizontal="center" vertical="center"/>
      <protection hidden="1"/>
    </xf>
    <xf numFmtId="0" fontId="6" fillId="8" borderId="22" xfId="0" applyFont="1" applyFill="1" applyBorder="1" applyAlignment="1" applyProtection="1">
      <alignment horizontal="center" vertical="center" wrapText="1"/>
      <protection hidden="1"/>
    </xf>
    <xf numFmtId="0" fontId="6" fillId="8" borderId="16" xfId="0" applyFont="1" applyFill="1" applyBorder="1" applyAlignment="1" applyProtection="1">
      <alignment horizontal="center" vertical="center" wrapText="1"/>
      <protection hidden="1"/>
    </xf>
    <xf numFmtId="0" fontId="37" fillId="0" borderId="0" xfId="0" applyFont="1" applyAlignment="1">
      <alignment horizontal="center" vertical="center"/>
    </xf>
    <xf numFmtId="0" fontId="37" fillId="0" borderId="21" xfId="0" applyFont="1" applyBorder="1" applyAlignment="1">
      <alignment horizontal="center" vertical="center"/>
    </xf>
    <xf numFmtId="0" fontId="37" fillId="0" borderId="29" xfId="0" applyFont="1" applyBorder="1" applyAlignment="1">
      <alignment horizontal="center" vertical="center"/>
    </xf>
    <xf numFmtId="0" fontId="37" fillId="3" borderId="0" xfId="0" applyFont="1" applyFill="1" applyAlignment="1">
      <alignment horizontal="center" vertical="center"/>
    </xf>
    <xf numFmtId="0" fontId="37" fillId="0" borderId="0" xfId="0" applyFont="1"/>
    <xf numFmtId="0" fontId="37" fillId="0" borderId="57" xfId="0" applyFont="1" applyBorder="1" applyAlignment="1">
      <alignment horizontal="center" vertical="center"/>
    </xf>
    <xf numFmtId="0" fontId="37" fillId="0" borderId="18" xfId="0" applyFont="1" applyBorder="1" applyAlignment="1">
      <alignment horizontal="center" vertical="center"/>
    </xf>
    <xf numFmtId="0" fontId="37" fillId="0" borderId="56" xfId="0" applyFont="1" applyBorder="1" applyAlignment="1">
      <alignment horizontal="center" vertical="center"/>
    </xf>
    <xf numFmtId="0" fontId="37" fillId="0" borderId="21" xfId="0" applyFont="1" applyBorder="1"/>
    <xf numFmtId="0" fontId="37" fillId="3" borderId="2" xfId="0" applyFont="1" applyFill="1" applyBorder="1" applyAlignment="1">
      <alignment horizontal="center" vertical="center"/>
    </xf>
    <xf numFmtId="165" fontId="37" fillId="3" borderId="2" xfId="0" applyNumberFormat="1" applyFont="1" applyFill="1" applyBorder="1" applyAlignment="1">
      <alignment horizontal="center" vertical="center"/>
    </xf>
    <xf numFmtId="166" fontId="37" fillId="3" borderId="2" xfId="0" applyNumberFormat="1" applyFont="1" applyFill="1" applyBorder="1" applyAlignment="1">
      <alignment horizontal="center" vertical="center"/>
    </xf>
    <xf numFmtId="0" fontId="37" fillId="3" borderId="5" xfId="0" applyFont="1" applyFill="1" applyBorder="1" applyAlignment="1">
      <alignment horizontal="center" vertical="center"/>
    </xf>
    <xf numFmtId="0" fontId="37" fillId="0" borderId="11" xfId="0" applyFont="1" applyBorder="1" applyAlignment="1">
      <alignment horizontal="center" vertical="center"/>
    </xf>
    <xf numFmtId="0" fontId="37" fillId="0" borderId="33" xfId="0" applyFont="1" applyBorder="1" applyAlignment="1">
      <alignment horizontal="center" vertical="center" wrapText="1"/>
    </xf>
    <xf numFmtId="0" fontId="37" fillId="0" borderId="0" xfId="0" applyFont="1" applyAlignment="1">
      <alignment horizontal="center" vertical="center" wrapText="1"/>
    </xf>
    <xf numFmtId="0" fontId="37" fillId="0" borderId="3" xfId="0" applyFont="1" applyBorder="1" applyAlignment="1">
      <alignment horizontal="center" vertical="center"/>
    </xf>
    <xf numFmtId="0" fontId="37" fillId="0" borderId="10" xfId="0" applyFont="1" applyBorder="1" applyAlignment="1">
      <alignment horizontal="center" vertical="center" wrapText="1"/>
    </xf>
    <xf numFmtId="0" fontId="56" fillId="0" borderId="0" xfId="0" applyFont="1" applyAlignment="1">
      <alignment horizontal="center" vertical="center"/>
    </xf>
    <xf numFmtId="0" fontId="25" fillId="6" borderId="40" xfId="0" applyFont="1" applyFill="1" applyBorder="1" applyAlignment="1">
      <alignment horizontal="center" vertical="center"/>
    </xf>
    <xf numFmtId="0" fontId="25" fillId="6" borderId="33" xfId="0" applyFont="1" applyFill="1" applyBorder="1" applyAlignment="1">
      <alignment horizontal="center" vertical="center"/>
    </xf>
    <xf numFmtId="167" fontId="5" fillId="6" borderId="33" xfId="0" applyNumberFormat="1" applyFont="1" applyFill="1" applyBorder="1" applyAlignment="1">
      <alignment horizontal="center" vertical="center"/>
    </xf>
    <xf numFmtId="167" fontId="5" fillId="6" borderId="10" xfId="0" applyNumberFormat="1" applyFont="1" applyFill="1" applyBorder="1" applyAlignment="1">
      <alignment horizontal="center" vertical="center"/>
    </xf>
    <xf numFmtId="167" fontId="5" fillId="6" borderId="6" xfId="0" applyNumberFormat="1" applyFont="1" applyFill="1" applyBorder="1" applyAlignment="1">
      <alignment horizontal="center" vertical="center"/>
    </xf>
    <xf numFmtId="0" fontId="57" fillId="0" borderId="0" xfId="0" applyFont="1" applyAlignment="1">
      <alignment vertical="center"/>
    </xf>
    <xf numFmtId="164" fontId="6" fillId="13" borderId="43" xfId="0" applyNumberFormat="1" applyFont="1" applyFill="1" applyBorder="1" applyAlignment="1">
      <alignment horizontal="center" vertical="center" wrapText="1"/>
    </xf>
    <xf numFmtId="185" fontId="6" fillId="9" borderId="2" xfId="0" applyNumberFormat="1" applyFont="1" applyFill="1" applyBorder="1" applyAlignment="1">
      <alignment horizontal="center" vertical="center"/>
    </xf>
    <xf numFmtId="166" fontId="32" fillId="9" borderId="67" xfId="0" applyNumberFormat="1" applyFont="1" applyFill="1" applyBorder="1" applyAlignment="1">
      <alignment horizontal="center" vertical="center" wrapText="1"/>
    </xf>
    <xf numFmtId="166" fontId="5" fillId="11" borderId="22" xfId="0" applyNumberFormat="1" applyFont="1" applyFill="1" applyBorder="1" applyAlignment="1" applyProtection="1">
      <alignment horizontal="center" vertical="center"/>
      <protection locked="0" hidden="1"/>
    </xf>
    <xf numFmtId="0" fontId="37" fillId="0" borderId="6" xfId="0" applyFont="1" applyBorder="1" applyAlignment="1">
      <alignment horizontal="center" vertical="center"/>
    </xf>
    <xf numFmtId="0" fontId="37" fillId="0" borderId="10" xfId="0" applyFont="1" applyBorder="1" applyAlignment="1">
      <alignment horizontal="center" vertical="center"/>
    </xf>
    <xf numFmtId="0" fontId="37" fillId="0" borderId="33" xfId="0" applyFont="1" applyBorder="1" applyAlignment="1">
      <alignment horizontal="center" vertical="center"/>
    </xf>
    <xf numFmtId="2" fontId="25" fillId="8" borderId="5" xfId="0" applyNumberFormat="1" applyFont="1" applyFill="1" applyBorder="1" applyAlignment="1">
      <alignment horizontal="center" vertical="center"/>
    </xf>
    <xf numFmtId="2" fontId="39" fillId="8" borderId="5" xfId="0" applyNumberFormat="1" applyFont="1" applyFill="1" applyBorder="1" applyAlignment="1">
      <alignment horizontal="center" vertical="center"/>
    </xf>
    <xf numFmtId="0" fontId="42" fillId="12" borderId="9" xfId="0" applyFont="1" applyFill="1" applyBorder="1" applyAlignment="1">
      <alignment horizontal="center" vertical="center"/>
    </xf>
    <xf numFmtId="185" fontId="37" fillId="0" borderId="2" xfId="0" applyNumberFormat="1" applyFont="1" applyBorder="1" applyAlignment="1">
      <alignment horizontal="center" vertical="center"/>
    </xf>
    <xf numFmtId="185" fontId="37" fillId="0" borderId="32" xfId="0" applyNumberFormat="1" applyFont="1" applyBorder="1" applyAlignment="1">
      <alignment horizontal="center" vertical="center"/>
    </xf>
    <xf numFmtId="185" fontId="37" fillId="0" borderId="5" xfId="0" applyNumberFormat="1" applyFont="1" applyBorder="1" applyAlignment="1">
      <alignment horizontal="center" vertical="center"/>
    </xf>
    <xf numFmtId="0" fontId="58" fillId="0" borderId="0" xfId="0" applyFont="1" applyAlignment="1">
      <alignment vertical="top" textRotation="90"/>
    </xf>
    <xf numFmtId="0" fontId="6" fillId="8" borderId="5" xfId="0" applyFont="1" applyFill="1" applyBorder="1" applyAlignment="1">
      <alignment horizontal="center" vertical="center" wrapText="1"/>
    </xf>
    <xf numFmtId="165" fontId="30" fillId="4" borderId="32" xfId="0" applyNumberFormat="1" applyFont="1" applyFill="1" applyBorder="1" applyAlignment="1" applyProtection="1">
      <alignment horizontal="center" vertical="center"/>
      <protection locked="0" hidden="1"/>
    </xf>
    <xf numFmtId="165" fontId="30" fillId="4" borderId="33" xfId="0" applyNumberFormat="1" applyFont="1" applyFill="1" applyBorder="1" applyAlignment="1" applyProtection="1">
      <alignment horizontal="center" vertical="center"/>
      <protection locked="0" hidden="1"/>
    </xf>
    <xf numFmtId="165" fontId="30" fillId="4" borderId="1" xfId="0" applyNumberFormat="1" applyFont="1" applyFill="1" applyBorder="1" applyAlignment="1" applyProtection="1">
      <alignment horizontal="center" vertical="center"/>
      <protection locked="0" hidden="1"/>
    </xf>
    <xf numFmtId="165" fontId="30" fillId="4" borderId="50" xfId="0" applyNumberFormat="1" applyFont="1" applyFill="1" applyBorder="1" applyAlignment="1" applyProtection="1">
      <alignment horizontal="center" vertical="center"/>
      <protection locked="0" hidden="1"/>
    </xf>
    <xf numFmtId="165" fontId="30" fillId="4" borderId="48" xfId="0" applyNumberFormat="1" applyFont="1" applyFill="1" applyBorder="1" applyAlignment="1" applyProtection="1">
      <alignment horizontal="center" vertical="center"/>
      <protection locked="0" hidden="1"/>
    </xf>
    <xf numFmtId="165" fontId="30" fillId="4" borderId="55" xfId="0" applyNumberFormat="1" applyFont="1" applyFill="1" applyBorder="1" applyAlignment="1" applyProtection="1">
      <alignment horizontal="center" vertical="center"/>
      <protection locked="0" hidden="1"/>
    </xf>
    <xf numFmtId="165" fontId="39" fillId="8" borderId="5" xfId="0" applyNumberFormat="1" applyFont="1" applyFill="1" applyBorder="1" applyAlignment="1">
      <alignment horizontal="center" vertical="center"/>
    </xf>
    <xf numFmtId="2" fontId="39" fillId="8" borderId="2" xfId="0" applyNumberFormat="1" applyFont="1" applyFill="1" applyBorder="1" applyAlignment="1">
      <alignment horizontal="center" vertical="center"/>
    </xf>
    <xf numFmtId="2" fontId="30" fillId="4" borderId="32" xfId="0" applyNumberFormat="1" applyFont="1" applyFill="1" applyBorder="1" applyAlignment="1" applyProtection="1">
      <alignment horizontal="center" vertical="center"/>
      <protection locked="0" hidden="1"/>
    </xf>
    <xf numFmtId="2" fontId="30" fillId="4" borderId="33" xfId="0" applyNumberFormat="1" applyFont="1" applyFill="1" applyBorder="1" applyAlignment="1" applyProtection="1">
      <alignment horizontal="center" vertical="center"/>
      <protection locked="0" hidden="1"/>
    </xf>
    <xf numFmtId="2" fontId="30" fillId="4" borderId="1" xfId="0" applyNumberFormat="1" applyFont="1" applyFill="1" applyBorder="1" applyAlignment="1" applyProtection="1">
      <alignment horizontal="center" vertical="center"/>
      <protection locked="0" hidden="1"/>
    </xf>
    <xf numFmtId="2" fontId="30" fillId="4" borderId="50" xfId="0" applyNumberFormat="1" applyFont="1" applyFill="1" applyBorder="1" applyAlignment="1" applyProtection="1">
      <alignment horizontal="center" vertical="center"/>
      <protection locked="0" hidden="1"/>
    </xf>
    <xf numFmtId="2" fontId="30" fillId="4" borderId="48" xfId="0" applyNumberFormat="1" applyFont="1" applyFill="1" applyBorder="1" applyAlignment="1" applyProtection="1">
      <alignment horizontal="center" vertical="center"/>
      <protection locked="0" hidden="1"/>
    </xf>
    <xf numFmtId="2" fontId="30" fillId="4" borderId="55" xfId="0" applyNumberFormat="1" applyFont="1" applyFill="1" applyBorder="1" applyAlignment="1" applyProtection="1">
      <alignment horizontal="center" vertical="center"/>
      <protection locked="0" hidden="1"/>
    </xf>
    <xf numFmtId="167" fontId="30" fillId="4" borderId="2" xfId="0" applyNumberFormat="1" applyFont="1" applyFill="1" applyBorder="1" applyAlignment="1" applyProtection="1">
      <alignment horizontal="center" vertical="center"/>
      <protection locked="0" hidden="1"/>
    </xf>
    <xf numFmtId="167" fontId="30" fillId="4" borderId="10" xfId="0" applyNumberFormat="1" applyFont="1" applyFill="1" applyBorder="1" applyAlignment="1" applyProtection="1">
      <alignment horizontal="center" vertical="center"/>
      <protection locked="0" hidden="1"/>
    </xf>
    <xf numFmtId="167" fontId="30" fillId="4" borderId="5" xfId="0" applyNumberFormat="1" applyFont="1" applyFill="1" applyBorder="1" applyAlignment="1" applyProtection="1">
      <alignment horizontal="center" vertical="center"/>
      <protection locked="0" hidden="1"/>
    </xf>
    <xf numFmtId="167" fontId="30" fillId="4" borderId="6" xfId="0" applyNumberFormat="1" applyFont="1" applyFill="1" applyBorder="1" applyAlignment="1" applyProtection="1">
      <alignment horizontal="center" vertical="center"/>
      <protection locked="0" hidden="1"/>
    </xf>
    <xf numFmtId="0" fontId="6" fillId="9" borderId="10" xfId="0" applyFont="1" applyFill="1" applyBorder="1" applyAlignment="1">
      <alignment horizontal="center" vertical="center" wrapText="1"/>
    </xf>
    <xf numFmtId="0" fontId="40" fillId="6" borderId="8" xfId="0" applyFont="1" applyFill="1" applyBorder="1" applyAlignment="1">
      <alignment horizontal="left" vertical="center" wrapText="1"/>
    </xf>
    <xf numFmtId="170" fontId="37" fillId="23" borderId="3" xfId="0" applyNumberFormat="1" applyFont="1" applyFill="1" applyBorder="1" applyAlignment="1">
      <alignment horizontal="center" vertical="center"/>
    </xf>
    <xf numFmtId="182" fontId="37" fillId="23" borderId="2" xfId="0" applyNumberFormat="1" applyFont="1" applyFill="1" applyBorder="1" applyAlignment="1">
      <alignment horizontal="center" vertical="center"/>
    </xf>
    <xf numFmtId="181" fontId="37" fillId="23" borderId="10" xfId="0" applyNumberFormat="1" applyFont="1" applyFill="1" applyBorder="1" applyAlignment="1">
      <alignment horizontal="center" vertical="center"/>
    </xf>
    <xf numFmtId="169" fontId="37" fillId="23" borderId="3" xfId="0" applyNumberFormat="1" applyFont="1" applyFill="1" applyBorder="1" applyAlignment="1">
      <alignment horizontal="center" vertical="center"/>
    </xf>
    <xf numFmtId="181" fontId="37" fillId="23" borderId="2" xfId="0" applyNumberFormat="1" applyFont="1" applyFill="1" applyBorder="1" applyAlignment="1">
      <alignment horizontal="center" vertical="center"/>
    </xf>
    <xf numFmtId="183" fontId="37" fillId="23" borderId="2" xfId="0" applyNumberFormat="1" applyFont="1" applyFill="1" applyBorder="1" applyAlignment="1">
      <alignment horizontal="center" vertical="center"/>
    </xf>
    <xf numFmtId="169" fontId="37" fillId="23" borderId="12" xfId="0" applyNumberFormat="1" applyFont="1" applyFill="1" applyBorder="1" applyAlignment="1">
      <alignment horizontal="center" vertical="center"/>
    </xf>
    <xf numFmtId="183" fontId="37" fillId="23" borderId="5" xfId="0" applyNumberFormat="1" applyFont="1" applyFill="1" applyBorder="1" applyAlignment="1">
      <alignment horizontal="center" vertical="center"/>
    </xf>
    <xf numFmtId="0" fontId="37" fillId="23" borderId="7" xfId="0" applyFont="1" applyFill="1" applyBorder="1" applyAlignment="1">
      <alignment horizontal="center" vertical="center"/>
    </xf>
    <xf numFmtId="0" fontId="37" fillId="23" borderId="8" xfId="0" applyFont="1" applyFill="1" applyBorder="1" applyAlignment="1">
      <alignment horizontal="center" vertical="center" wrapText="1"/>
    </xf>
    <xf numFmtId="0" fontId="37" fillId="23" borderId="9" xfId="0" applyFont="1" applyFill="1" applyBorder="1" applyAlignment="1">
      <alignment horizontal="center" vertical="center"/>
    </xf>
    <xf numFmtId="170" fontId="37" fillId="23" borderId="46" xfId="0" applyNumberFormat="1" applyFont="1" applyFill="1" applyBorder="1" applyAlignment="1">
      <alignment horizontal="center" vertical="center"/>
    </xf>
    <xf numFmtId="166" fontId="30" fillId="4" borderId="33" xfId="0" applyNumberFormat="1" applyFont="1" applyFill="1" applyBorder="1" applyAlignment="1" applyProtection="1">
      <alignment horizontal="center" vertical="center"/>
      <protection locked="0" hidden="1"/>
    </xf>
    <xf numFmtId="166" fontId="30" fillId="4" borderId="50" xfId="0" applyNumberFormat="1" applyFont="1" applyFill="1" applyBorder="1" applyAlignment="1" applyProtection="1">
      <alignment horizontal="center" vertical="center"/>
      <protection locked="0" hidden="1"/>
    </xf>
    <xf numFmtId="166" fontId="30" fillId="4" borderId="55" xfId="0" applyNumberFormat="1" applyFont="1" applyFill="1" applyBorder="1" applyAlignment="1" applyProtection="1">
      <alignment horizontal="center" vertical="center"/>
      <protection locked="0" hidden="1"/>
    </xf>
    <xf numFmtId="0" fontId="35" fillId="26" borderId="39" xfId="0" applyFont="1" applyFill="1" applyBorder="1" applyAlignment="1">
      <alignment horizontal="center" vertical="center" wrapText="1"/>
    </xf>
    <xf numFmtId="0" fontId="35" fillId="26" borderId="71" xfId="0" applyFont="1" applyFill="1" applyBorder="1" applyAlignment="1">
      <alignment horizontal="center" vertical="center" wrapText="1"/>
    </xf>
    <xf numFmtId="0" fontId="35" fillId="26" borderId="42" xfId="0" applyFont="1" applyFill="1" applyBorder="1" applyAlignment="1">
      <alignment horizontal="center" vertical="center" wrapText="1"/>
    </xf>
    <xf numFmtId="0" fontId="35" fillId="26" borderId="45" xfId="0" applyFont="1" applyFill="1" applyBorder="1" applyAlignment="1">
      <alignment horizontal="center" vertical="center" wrapText="1"/>
    </xf>
    <xf numFmtId="0" fontId="35" fillId="26" borderId="36" xfId="0" applyFont="1" applyFill="1" applyBorder="1" applyAlignment="1">
      <alignment horizontal="center" vertical="center" wrapText="1"/>
    </xf>
    <xf numFmtId="166" fontId="11" fillId="8" borderId="32" xfId="0" applyNumberFormat="1" applyFont="1" applyFill="1" applyBorder="1" applyAlignment="1">
      <alignment horizontal="center" vertical="center" wrapText="1"/>
    </xf>
    <xf numFmtId="0" fontId="5" fillId="11" borderId="22" xfId="0" applyFont="1" applyFill="1" applyBorder="1" applyAlignment="1" applyProtection="1">
      <alignment horizontal="center" vertical="center"/>
      <protection locked="0" hidden="1"/>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0" xfId="0" applyFont="1" applyAlignment="1">
      <alignment vertical="center"/>
    </xf>
    <xf numFmtId="0" fontId="35" fillId="26" borderId="68" xfId="0" applyFont="1" applyFill="1" applyBorder="1" applyAlignment="1">
      <alignment horizontal="center" vertical="center" wrapText="1"/>
    </xf>
    <xf numFmtId="2" fontId="35" fillId="0" borderId="22" xfId="0" applyNumberFormat="1" applyFont="1" applyBorder="1" applyAlignment="1">
      <alignment horizontal="center" vertical="center"/>
    </xf>
    <xf numFmtId="0" fontId="35" fillId="0" borderId="22" xfId="0" applyFont="1" applyBorder="1" applyAlignment="1">
      <alignment horizontal="center" vertical="center"/>
    </xf>
    <xf numFmtId="0" fontId="35" fillId="0" borderId="51" xfId="0" applyFont="1" applyBorder="1" applyAlignment="1">
      <alignment horizontal="center" vertical="center"/>
    </xf>
    <xf numFmtId="0" fontId="35" fillId="0" borderId="52" xfId="0" applyFont="1" applyBorder="1" applyAlignment="1">
      <alignment horizontal="center" vertical="center"/>
    </xf>
    <xf numFmtId="0" fontId="35" fillId="0" borderId="38" xfId="0" applyFont="1" applyBorder="1" applyAlignment="1">
      <alignment horizontal="center" vertical="center"/>
    </xf>
    <xf numFmtId="0" fontId="35" fillId="0" borderId="9" xfId="0" applyFont="1" applyBorder="1" applyAlignment="1">
      <alignment horizontal="center" vertical="center"/>
    </xf>
    <xf numFmtId="0" fontId="35" fillId="0" borderId="49" xfId="0" applyFont="1" applyBorder="1" applyAlignment="1">
      <alignment horizontal="center" vertical="center"/>
    </xf>
    <xf numFmtId="0" fontId="35" fillId="0" borderId="0" xfId="0" applyFont="1" applyAlignment="1">
      <alignment horizontal="center" vertical="center"/>
    </xf>
    <xf numFmtId="0" fontId="35" fillId="0" borderId="15" xfId="0" applyFont="1" applyBorder="1" applyAlignment="1">
      <alignment horizontal="center" vertical="center"/>
    </xf>
    <xf numFmtId="183" fontId="37" fillId="23" borderId="10" xfId="0" applyNumberFormat="1" applyFont="1" applyFill="1" applyBorder="1" applyAlignment="1">
      <alignment horizontal="center" vertical="center"/>
    </xf>
    <xf numFmtId="0" fontId="64" fillId="0" borderId="0" xfId="0" applyFont="1" applyAlignment="1" applyProtection="1">
      <alignment vertical="center"/>
      <protection hidden="1"/>
    </xf>
    <xf numFmtId="0" fontId="25" fillId="3" borderId="22" xfId="0" applyFont="1" applyFill="1" applyBorder="1" applyAlignment="1" applyProtection="1">
      <alignment horizontal="center" vertical="center" wrapText="1"/>
      <protection hidden="1"/>
    </xf>
    <xf numFmtId="0" fontId="5" fillId="3" borderId="22" xfId="0" applyFont="1" applyFill="1" applyBorder="1" applyAlignment="1">
      <alignment horizontal="center" vertical="center"/>
    </xf>
    <xf numFmtId="0" fontId="35" fillId="0" borderId="0" xfId="0" applyFont="1" applyAlignment="1" applyProtection="1">
      <alignment horizontal="center" vertical="center"/>
      <protection hidden="1"/>
    </xf>
    <xf numFmtId="164" fontId="35" fillId="0" borderId="0" xfId="0" applyNumberFormat="1" applyFont="1" applyAlignment="1" applyProtection="1">
      <alignment horizontal="center" vertical="center" wrapText="1"/>
      <protection hidden="1"/>
    </xf>
    <xf numFmtId="0" fontId="35" fillId="0" borderId="0" xfId="0" applyFont="1" applyAlignment="1" applyProtection="1">
      <alignment horizontal="center" vertical="center" wrapText="1"/>
      <protection locked="0" hidden="1"/>
    </xf>
    <xf numFmtId="0" fontId="35" fillId="0" borderId="0" xfId="0" applyFont="1" applyProtection="1">
      <protection hidden="1"/>
    </xf>
    <xf numFmtId="188" fontId="37" fillId="23" borderId="6" xfId="0" applyNumberFormat="1" applyFont="1" applyFill="1" applyBorder="1" applyAlignment="1">
      <alignment horizontal="center" vertical="center"/>
    </xf>
    <xf numFmtId="0" fontId="37" fillId="0" borderId="25" xfId="0" applyFont="1" applyBorder="1" applyAlignment="1">
      <alignment horizontal="center" vertical="center" wrapText="1"/>
    </xf>
    <xf numFmtId="0" fontId="37" fillId="0" borderId="26" xfId="0" applyFont="1" applyBorder="1" applyAlignment="1">
      <alignment horizontal="center" vertical="center" wrapText="1"/>
    </xf>
    <xf numFmtId="1" fontId="5" fillId="27" borderId="16" xfId="2" applyNumberFormat="1" applyFill="1" applyBorder="1" applyAlignment="1">
      <alignment horizontal="center" vertical="center"/>
      <protection hidden="1"/>
    </xf>
    <xf numFmtId="1" fontId="5" fillId="6" borderId="16" xfId="2" applyNumberFormat="1" applyFill="1" applyBorder="1" applyAlignment="1">
      <alignment horizontal="center" vertical="center"/>
      <protection hidden="1"/>
    </xf>
    <xf numFmtId="1" fontId="5" fillId="6" borderId="16" xfId="2" applyNumberFormat="1" applyFill="1" applyBorder="1" applyAlignment="1">
      <alignment horizontal="center" vertical="center" wrapText="1"/>
      <protection hidden="1"/>
    </xf>
    <xf numFmtId="1" fontId="5" fillId="28" borderId="16" xfId="2" applyNumberFormat="1" applyFill="1" applyBorder="1" applyAlignment="1">
      <alignment horizontal="center" vertical="center" wrapText="1"/>
      <protection hidden="1"/>
    </xf>
    <xf numFmtId="0" fontId="35" fillId="0" borderId="0" xfId="0" applyFont="1" applyAlignment="1">
      <alignment horizontal="center" vertical="center" wrapText="1"/>
    </xf>
    <xf numFmtId="190" fontId="37" fillId="23" borderId="1" xfId="0" applyNumberFormat="1" applyFont="1" applyFill="1" applyBorder="1" applyAlignment="1">
      <alignment horizontal="center" vertical="center"/>
    </xf>
    <xf numFmtId="190" fontId="37" fillId="23" borderId="2" xfId="0" applyNumberFormat="1" applyFont="1" applyFill="1" applyBorder="1" applyAlignment="1">
      <alignment horizontal="center" vertical="center"/>
    </xf>
    <xf numFmtId="168" fontId="25" fillId="8" borderId="4" xfId="0" applyNumberFormat="1" applyFont="1" applyFill="1" applyBorder="1" applyAlignment="1">
      <alignment horizontal="center" vertical="center"/>
    </xf>
    <xf numFmtId="1" fontId="25" fillId="8" borderId="2" xfId="0" applyNumberFormat="1" applyFont="1" applyFill="1" applyBorder="1" applyAlignment="1" applyProtection="1">
      <alignment horizontal="center" vertical="center"/>
      <protection hidden="1"/>
    </xf>
    <xf numFmtId="0" fontId="25" fillId="0" borderId="22" xfId="0" applyFont="1" applyBorder="1" applyAlignment="1" applyProtection="1">
      <alignment horizontal="center" vertical="center" wrapText="1"/>
      <protection hidden="1"/>
    </xf>
    <xf numFmtId="2" fontId="6" fillId="0" borderId="2" xfId="0" applyNumberFormat="1" applyFont="1" applyBorder="1" applyAlignment="1">
      <alignment horizontal="center" vertical="center" wrapText="1"/>
    </xf>
    <xf numFmtId="2" fontId="6" fillId="0" borderId="5" xfId="0" applyNumberFormat="1" applyFont="1" applyBorder="1" applyAlignment="1">
      <alignment horizontal="center" vertical="center" wrapText="1"/>
    </xf>
    <xf numFmtId="0" fontId="34" fillId="0" borderId="0" xfId="0" applyFont="1" applyAlignment="1">
      <alignment vertical="center" wrapText="1"/>
    </xf>
    <xf numFmtId="0" fontId="67" fillId="0" borderId="0" xfId="0" applyFont="1" applyAlignment="1">
      <alignment vertical="center" wrapText="1"/>
    </xf>
    <xf numFmtId="2" fontId="6" fillId="0" borderId="32" xfId="0" applyNumberFormat="1" applyFont="1" applyBorder="1" applyAlignment="1">
      <alignment horizontal="center" vertical="center" wrapText="1"/>
    </xf>
    <xf numFmtId="0" fontId="37" fillId="30" borderId="32" xfId="0" applyFont="1" applyFill="1" applyBorder="1" applyAlignment="1">
      <alignment horizontal="center" vertical="center"/>
    </xf>
    <xf numFmtId="164" fontId="37" fillId="30" borderId="32" xfId="0" applyNumberFormat="1" applyFont="1" applyFill="1" applyBorder="1" applyAlignment="1">
      <alignment horizontal="center" vertical="center" wrapText="1"/>
    </xf>
    <xf numFmtId="0" fontId="37" fillId="30" borderId="32" xfId="0" applyFont="1" applyFill="1" applyBorder="1" applyAlignment="1">
      <alignment horizontal="center" vertical="center" wrapText="1"/>
    </xf>
    <xf numFmtId="165" fontId="37" fillId="30" borderId="32" xfId="0" applyNumberFormat="1" applyFont="1" applyFill="1" applyBorder="1" applyAlignment="1">
      <alignment horizontal="center" vertical="center"/>
    </xf>
    <xf numFmtId="165" fontId="37" fillId="30" borderId="32" xfId="0" applyNumberFormat="1" applyFont="1" applyFill="1" applyBorder="1" applyAlignment="1">
      <alignment horizontal="center" vertical="center" wrapText="1"/>
    </xf>
    <xf numFmtId="165" fontId="37" fillId="30" borderId="33" xfId="0" applyNumberFormat="1" applyFont="1" applyFill="1" applyBorder="1" applyAlignment="1">
      <alignment horizontal="center" vertical="center" wrapText="1"/>
    </xf>
    <xf numFmtId="166" fontId="37" fillId="30" borderId="3" xfId="0" applyNumberFormat="1" applyFont="1" applyFill="1" applyBorder="1" applyAlignment="1">
      <alignment horizontal="center" vertical="center"/>
    </xf>
    <xf numFmtId="0" fontId="37" fillId="30" borderId="2" xfId="0" applyFont="1" applyFill="1" applyBorder="1" applyAlignment="1">
      <alignment horizontal="center" vertical="center"/>
    </xf>
    <xf numFmtId="164" fontId="37" fillId="30" borderId="2" xfId="0" applyNumberFormat="1" applyFont="1" applyFill="1" applyBorder="1" applyAlignment="1">
      <alignment horizontal="center" vertical="center" wrapText="1"/>
    </xf>
    <xf numFmtId="0" fontId="37" fillId="30" borderId="2" xfId="0" applyFont="1" applyFill="1" applyBorder="1" applyAlignment="1">
      <alignment horizontal="center" vertical="center" wrapText="1"/>
    </xf>
    <xf numFmtId="166" fontId="37" fillId="30" borderId="2" xfId="0" applyNumberFormat="1" applyFont="1" applyFill="1" applyBorder="1" applyAlignment="1">
      <alignment horizontal="center" vertical="center"/>
    </xf>
    <xf numFmtId="165" fontId="37" fillId="30" borderId="2" xfId="0" applyNumberFormat="1" applyFont="1" applyFill="1" applyBorder="1" applyAlignment="1">
      <alignment horizontal="center" vertical="center"/>
    </xf>
    <xf numFmtId="165" fontId="37" fillId="30" borderId="2" xfId="0" applyNumberFormat="1" applyFont="1" applyFill="1" applyBorder="1" applyAlignment="1">
      <alignment horizontal="center" vertical="center" wrapText="1"/>
    </xf>
    <xf numFmtId="165" fontId="37" fillId="30" borderId="10" xfId="0" applyNumberFormat="1" applyFont="1" applyFill="1" applyBorder="1" applyAlignment="1">
      <alignment horizontal="center" vertical="center" wrapText="1"/>
    </xf>
    <xf numFmtId="0" fontId="37" fillId="30" borderId="3" xfId="0" applyFont="1" applyFill="1" applyBorder="1" applyAlignment="1">
      <alignment horizontal="center" vertical="center"/>
    </xf>
    <xf numFmtId="1" fontId="37" fillId="30" borderId="2" xfId="0" applyNumberFormat="1" applyFont="1" applyFill="1" applyBorder="1" applyAlignment="1">
      <alignment horizontal="center" vertical="center"/>
    </xf>
    <xf numFmtId="185" fontId="37" fillId="30" borderId="32" xfId="0" applyNumberFormat="1" applyFont="1" applyFill="1" applyBorder="1" applyAlignment="1">
      <alignment horizontal="center" vertical="center" wrapText="1"/>
    </xf>
    <xf numFmtId="185" fontId="37" fillId="30" borderId="2" xfId="0" applyNumberFormat="1" applyFont="1" applyFill="1" applyBorder="1" applyAlignment="1">
      <alignment horizontal="center" vertical="center" wrapText="1"/>
    </xf>
    <xf numFmtId="166" fontId="37" fillId="30" borderId="2" xfId="0" applyNumberFormat="1" applyFont="1" applyFill="1" applyBorder="1" applyAlignment="1">
      <alignment horizontal="center" vertical="center" wrapText="1"/>
    </xf>
    <xf numFmtId="164" fontId="37" fillId="30" borderId="32" xfId="0" applyNumberFormat="1" applyFont="1" applyFill="1" applyBorder="1" applyAlignment="1">
      <alignment horizontal="center" vertical="center"/>
    </xf>
    <xf numFmtId="185" fontId="37" fillId="30" borderId="32" xfId="0" applyNumberFormat="1" applyFont="1" applyFill="1" applyBorder="1" applyAlignment="1">
      <alignment horizontal="center" vertical="center"/>
    </xf>
    <xf numFmtId="164" fontId="37" fillId="30" borderId="2" xfId="0" applyNumberFormat="1" applyFont="1" applyFill="1" applyBorder="1" applyAlignment="1">
      <alignment horizontal="center" vertical="center"/>
    </xf>
    <xf numFmtId="185" fontId="37" fillId="30" borderId="2" xfId="0" applyNumberFormat="1" applyFont="1" applyFill="1" applyBorder="1" applyAlignment="1">
      <alignment horizontal="center" vertical="center"/>
    </xf>
    <xf numFmtId="2" fontId="37" fillId="30" borderId="2" xfId="0" applyNumberFormat="1" applyFont="1" applyFill="1" applyBorder="1" applyAlignment="1">
      <alignment horizontal="center" vertical="center"/>
    </xf>
    <xf numFmtId="1" fontId="37" fillId="30" borderId="32" xfId="0" applyNumberFormat="1" applyFont="1" applyFill="1" applyBorder="1" applyAlignment="1">
      <alignment horizontal="center" vertical="center"/>
    </xf>
    <xf numFmtId="0" fontId="37" fillId="30" borderId="1" xfId="0" applyFont="1" applyFill="1" applyBorder="1" applyAlignment="1">
      <alignment horizontal="center" vertical="center"/>
    </xf>
    <xf numFmtId="164" fontId="37" fillId="30" borderId="1" xfId="0" applyNumberFormat="1" applyFont="1" applyFill="1" applyBorder="1" applyAlignment="1">
      <alignment horizontal="center" vertical="center"/>
    </xf>
    <xf numFmtId="1" fontId="5" fillId="31" borderId="16" xfId="2" applyNumberFormat="1" applyFill="1" applyBorder="1" applyAlignment="1" applyProtection="1">
      <alignment horizontal="center" vertical="center"/>
      <protection locked="0" hidden="1"/>
    </xf>
    <xf numFmtId="0" fontId="35" fillId="0" borderId="0" xfId="0" applyFont="1" applyAlignment="1" applyProtection="1">
      <alignment vertical="center" wrapText="1"/>
      <protection hidden="1"/>
    </xf>
    <xf numFmtId="0" fontId="37" fillId="0" borderId="12" xfId="0" applyFont="1" applyBorder="1" applyAlignment="1">
      <alignment horizontal="center" vertical="center"/>
    </xf>
    <xf numFmtId="0" fontId="42" fillId="12" borderId="8" xfId="0" applyFont="1" applyFill="1" applyBorder="1" applyAlignment="1">
      <alignment horizontal="center" vertical="center"/>
    </xf>
    <xf numFmtId="0" fontId="37" fillId="0" borderId="11"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25" xfId="0" applyFont="1" applyBorder="1" applyAlignment="1">
      <alignment horizontal="center" vertical="center"/>
    </xf>
    <xf numFmtId="0" fontId="37" fillId="0" borderId="26" xfId="0" applyFont="1" applyBorder="1" applyAlignment="1">
      <alignment horizontal="center" vertical="center"/>
    </xf>
    <xf numFmtId="0" fontId="37" fillId="0" borderId="24" xfId="0" applyFont="1" applyBorder="1" applyAlignment="1">
      <alignment horizontal="center" vertical="center"/>
    </xf>
    <xf numFmtId="164" fontId="37" fillId="25" borderId="2" xfId="8" applyFont="1" applyBorder="1" applyAlignment="1" applyProtection="1">
      <alignment horizontal="center" vertical="center" wrapText="1"/>
      <protection locked="0" hidden="1"/>
    </xf>
    <xf numFmtId="3" fontId="37" fillId="0" borderId="2" xfId="0" applyNumberFormat="1" applyFont="1" applyBorder="1" applyAlignment="1">
      <alignment horizontal="center" vertical="center" wrapText="1"/>
    </xf>
    <xf numFmtId="171" fontId="37" fillId="0" borderId="3" xfId="0" applyNumberFormat="1" applyFont="1" applyBorder="1" applyAlignment="1">
      <alignment horizontal="center" vertical="center" wrapText="1"/>
    </xf>
    <xf numFmtId="172" fontId="37" fillId="0" borderId="3" xfId="0" applyNumberFormat="1" applyFont="1" applyBorder="1" applyAlignment="1">
      <alignment horizontal="center" vertical="center" wrapText="1"/>
    </xf>
    <xf numFmtId="164" fontId="37" fillId="0" borderId="0" xfId="0" applyNumberFormat="1" applyFont="1" applyAlignment="1">
      <alignment horizontal="center" vertical="center"/>
    </xf>
    <xf numFmtId="173" fontId="37" fillId="0" borderId="3" xfId="0" applyNumberFormat="1" applyFont="1" applyBorder="1" applyAlignment="1">
      <alignment horizontal="center" vertical="center" wrapText="1"/>
    </xf>
    <xf numFmtId="174" fontId="37" fillId="0" borderId="3" xfId="0" applyNumberFormat="1" applyFont="1" applyBorder="1" applyAlignment="1">
      <alignment horizontal="center" vertical="center" wrapText="1"/>
    </xf>
    <xf numFmtId="175" fontId="37" fillId="0" borderId="3" xfId="0" applyNumberFormat="1" applyFont="1" applyBorder="1" applyAlignment="1">
      <alignment horizontal="center" vertical="center" wrapText="1"/>
    </xf>
    <xf numFmtId="176" fontId="37" fillId="0" borderId="3" xfId="0" applyNumberFormat="1" applyFont="1" applyBorder="1" applyAlignment="1">
      <alignment horizontal="center" vertical="center" wrapText="1"/>
    </xf>
    <xf numFmtId="177" fontId="37" fillId="0" borderId="3" xfId="0" applyNumberFormat="1" applyFont="1" applyBorder="1" applyAlignment="1">
      <alignment horizontal="center" vertical="center" wrapText="1"/>
    </xf>
    <xf numFmtId="165" fontId="37" fillId="3" borderId="0" xfId="0" applyNumberFormat="1" applyFont="1" applyFill="1" applyAlignment="1" applyProtection="1">
      <alignment horizontal="center" vertical="center" wrapText="1"/>
      <protection locked="0"/>
    </xf>
    <xf numFmtId="2" fontId="37" fillId="3" borderId="0" xfId="0" applyNumberFormat="1" applyFont="1" applyFill="1" applyAlignment="1" applyProtection="1">
      <alignment horizontal="center" vertical="center" wrapText="1"/>
      <protection locked="0"/>
    </xf>
    <xf numFmtId="1" fontId="37" fillId="0" borderId="2" xfId="0" applyNumberFormat="1" applyFont="1" applyBorder="1" applyAlignment="1">
      <alignment horizontal="center" vertical="center" wrapText="1"/>
    </xf>
    <xf numFmtId="0" fontId="35" fillId="22" borderId="66" xfId="0" applyFont="1" applyFill="1" applyBorder="1" applyAlignment="1">
      <alignment horizontal="center" vertical="center"/>
    </xf>
    <xf numFmtId="0" fontId="38" fillId="0" borderId="0" xfId="0" applyFont="1" applyAlignment="1">
      <alignment vertical="center" textRotation="90"/>
    </xf>
    <xf numFmtId="0" fontId="37" fillId="0" borderId="0" xfId="0" applyFont="1" applyAlignment="1">
      <alignment horizontal="center"/>
    </xf>
    <xf numFmtId="0" fontId="37" fillId="29" borderId="11" xfId="0" applyFont="1" applyFill="1" applyBorder="1" applyAlignment="1">
      <alignment horizontal="center" vertical="center"/>
    </xf>
    <xf numFmtId="0" fontId="37" fillId="29" borderId="32" xfId="0" applyFont="1" applyFill="1" applyBorder="1" applyAlignment="1">
      <alignment horizontal="center" vertical="center"/>
    </xf>
    <xf numFmtId="166" fontId="37" fillId="29" borderId="32" xfId="0" applyNumberFormat="1" applyFont="1" applyFill="1" applyBorder="1" applyAlignment="1">
      <alignment horizontal="center" vertical="center"/>
    </xf>
    <xf numFmtId="0" fontId="37" fillId="29" borderId="33" xfId="0" applyFont="1" applyFill="1" applyBorder="1" applyAlignment="1">
      <alignment horizontal="center" vertical="center"/>
    </xf>
    <xf numFmtId="0" fontId="37" fillId="29" borderId="3" xfId="0" applyFont="1" applyFill="1" applyBorder="1" applyAlignment="1">
      <alignment horizontal="center" vertical="center"/>
    </xf>
    <xf numFmtId="0" fontId="37" fillId="29" borderId="2" xfId="0" applyFont="1" applyFill="1" applyBorder="1" applyAlignment="1">
      <alignment horizontal="center" vertical="center"/>
    </xf>
    <xf numFmtId="166" fontId="37" fillId="29" borderId="2" xfId="0" applyNumberFormat="1" applyFont="1" applyFill="1" applyBorder="1" applyAlignment="1">
      <alignment horizontal="center" vertical="center"/>
    </xf>
    <xf numFmtId="0" fontId="37" fillId="29" borderId="10" xfId="0" applyFont="1" applyFill="1" applyBorder="1" applyAlignment="1">
      <alignment horizontal="center" vertical="center"/>
    </xf>
    <xf numFmtId="166" fontId="37" fillId="29" borderId="12" xfId="0" applyNumberFormat="1" applyFont="1" applyFill="1" applyBorder="1" applyAlignment="1">
      <alignment horizontal="center" vertical="center"/>
    </xf>
    <xf numFmtId="0" fontId="37" fillId="29" borderId="5" xfId="0" applyFont="1" applyFill="1" applyBorder="1" applyAlignment="1">
      <alignment horizontal="center" vertical="center"/>
    </xf>
    <xf numFmtId="166" fontId="37" fillId="29" borderId="5" xfId="0" applyNumberFormat="1" applyFont="1" applyFill="1" applyBorder="1" applyAlignment="1">
      <alignment horizontal="center" vertical="center"/>
    </xf>
    <xf numFmtId="0" fontId="37" fillId="29" borderId="6" xfId="0" applyFont="1" applyFill="1" applyBorder="1" applyAlignment="1">
      <alignment horizontal="center" vertical="center"/>
    </xf>
    <xf numFmtId="166" fontId="37" fillId="29" borderId="3" xfId="0" applyNumberFormat="1" applyFont="1" applyFill="1" applyBorder="1" applyAlignment="1">
      <alignment horizontal="center" vertical="center"/>
    </xf>
    <xf numFmtId="0" fontId="37" fillId="29" borderId="12" xfId="0" applyFont="1" applyFill="1" applyBorder="1" applyAlignment="1">
      <alignment horizontal="center" vertical="center"/>
    </xf>
    <xf numFmtId="165" fontId="37" fillId="29" borderId="32" xfId="0" applyNumberFormat="1" applyFont="1" applyFill="1" applyBorder="1" applyAlignment="1">
      <alignment horizontal="center" vertical="center"/>
    </xf>
    <xf numFmtId="165" fontId="37" fillId="29" borderId="33" xfId="0" applyNumberFormat="1" applyFont="1" applyFill="1" applyBorder="1" applyAlignment="1">
      <alignment horizontal="center" vertical="center"/>
    </xf>
    <xf numFmtId="165" fontId="37" fillId="29" borderId="2" xfId="0" applyNumberFormat="1" applyFont="1" applyFill="1" applyBorder="1" applyAlignment="1">
      <alignment horizontal="center" vertical="center"/>
    </xf>
    <xf numFmtId="165" fontId="37" fillId="29" borderId="10" xfId="0" applyNumberFormat="1" applyFont="1" applyFill="1" applyBorder="1" applyAlignment="1">
      <alignment horizontal="center" vertical="center"/>
    </xf>
    <xf numFmtId="165" fontId="37" fillId="29" borderId="12" xfId="0" applyNumberFormat="1" applyFont="1" applyFill="1" applyBorder="1" applyAlignment="1">
      <alignment horizontal="center" vertical="center"/>
    </xf>
    <xf numFmtId="165" fontId="37" fillId="29" borderId="5" xfId="0" applyNumberFormat="1" applyFont="1" applyFill="1" applyBorder="1" applyAlignment="1">
      <alignment horizontal="center" vertical="center"/>
    </xf>
    <xf numFmtId="165" fontId="37" fillId="29" borderId="6" xfId="0" applyNumberFormat="1" applyFont="1" applyFill="1" applyBorder="1" applyAlignment="1">
      <alignment horizontal="center" vertical="center"/>
    </xf>
    <xf numFmtId="166" fontId="37" fillId="30" borderId="11" xfId="0" applyNumberFormat="1" applyFont="1" applyFill="1" applyBorder="1" applyAlignment="1">
      <alignment horizontal="center" vertical="center"/>
    </xf>
    <xf numFmtId="170" fontId="37" fillId="23" borderId="51" xfId="0" applyNumberFormat="1" applyFont="1" applyFill="1" applyBorder="1" applyAlignment="1">
      <alignment horizontal="center" vertical="center"/>
    </xf>
    <xf numFmtId="0" fontId="37" fillId="23" borderId="49" xfId="0" applyFont="1" applyFill="1" applyBorder="1" applyAlignment="1">
      <alignment horizontal="center" vertical="center"/>
    </xf>
    <xf numFmtId="169" fontId="37" fillId="23" borderId="52" xfId="0" applyNumberFormat="1" applyFont="1" applyFill="1" applyBorder="1" applyAlignment="1">
      <alignment horizontal="center" vertical="center"/>
    </xf>
    <xf numFmtId="0" fontId="47" fillId="30" borderId="10" xfId="0" applyFont="1" applyFill="1" applyBorder="1" applyAlignment="1">
      <alignment horizontal="center" vertical="center" wrapText="1"/>
    </xf>
    <xf numFmtId="0" fontId="37" fillId="30" borderId="12" xfId="0" applyFont="1" applyFill="1" applyBorder="1" applyAlignment="1">
      <alignment horizontal="center" vertical="center"/>
    </xf>
    <xf numFmtId="0" fontId="37" fillId="30" borderId="5" xfId="0" applyFont="1" applyFill="1" applyBorder="1" applyAlignment="1">
      <alignment horizontal="center" vertical="center"/>
    </xf>
    <xf numFmtId="0" fontId="47" fillId="30" borderId="6" xfId="0" applyFont="1" applyFill="1" applyBorder="1" applyAlignment="1">
      <alignment horizontal="center" vertical="center" wrapText="1"/>
    </xf>
    <xf numFmtId="0" fontId="37" fillId="30" borderId="11" xfId="0" applyFont="1" applyFill="1" applyBorder="1" applyAlignment="1">
      <alignment horizontal="center" vertical="center"/>
    </xf>
    <xf numFmtId="180" fontId="37" fillId="30" borderId="2" xfId="0" applyNumberFormat="1" applyFont="1" applyFill="1" applyBorder="1" applyAlignment="1">
      <alignment horizontal="center" vertical="center" wrapText="1"/>
    </xf>
    <xf numFmtId="180" fontId="37" fillId="30" borderId="5" xfId="0" applyNumberFormat="1" applyFont="1" applyFill="1" applyBorder="1" applyAlignment="1">
      <alignment horizontal="center" vertical="center" wrapText="1"/>
    </xf>
    <xf numFmtId="0" fontId="37" fillId="30" borderId="46" xfId="0" applyFont="1" applyFill="1" applyBorder="1" applyAlignment="1">
      <alignment horizontal="center" vertical="center"/>
    </xf>
    <xf numFmtId="180" fontId="37" fillId="30" borderId="1" xfId="0" applyNumberFormat="1" applyFont="1" applyFill="1" applyBorder="1" applyAlignment="1">
      <alignment horizontal="center" vertical="center" wrapText="1"/>
    </xf>
    <xf numFmtId="4" fontId="37" fillId="30" borderId="1" xfId="0" applyNumberFormat="1" applyFont="1" applyFill="1" applyBorder="1" applyAlignment="1">
      <alignment horizontal="center" vertical="center" wrapText="1"/>
    </xf>
    <xf numFmtId="184" fontId="37" fillId="30" borderId="50" xfId="0" applyNumberFormat="1" applyFont="1" applyFill="1" applyBorder="1" applyAlignment="1">
      <alignment horizontal="center" vertical="center" wrapText="1"/>
    </xf>
    <xf numFmtId="184" fontId="37" fillId="30" borderId="2" xfId="0" applyNumberFormat="1" applyFont="1" applyFill="1" applyBorder="1" applyAlignment="1">
      <alignment horizontal="center" vertical="center" wrapText="1"/>
    </xf>
    <xf numFmtId="184" fontId="37" fillId="30" borderId="10" xfId="0" applyNumberFormat="1" applyFont="1" applyFill="1" applyBorder="1" applyAlignment="1">
      <alignment horizontal="center" vertical="center" wrapText="1"/>
    </xf>
    <xf numFmtId="165" fontId="37" fillId="30" borderId="12" xfId="0" applyNumberFormat="1" applyFont="1" applyFill="1" applyBorder="1" applyAlignment="1">
      <alignment horizontal="center" vertical="center"/>
    </xf>
    <xf numFmtId="4" fontId="37" fillId="30" borderId="5" xfId="0" applyNumberFormat="1" applyFont="1" applyFill="1" applyBorder="1" applyAlignment="1">
      <alignment horizontal="center" vertical="center" wrapText="1"/>
    </xf>
    <xf numFmtId="4" fontId="37" fillId="30" borderId="6" xfId="0" applyNumberFormat="1" applyFont="1" applyFill="1" applyBorder="1" applyAlignment="1">
      <alignment horizontal="center" vertical="center" wrapText="1"/>
    </xf>
    <xf numFmtId="166" fontId="37" fillId="30" borderId="32" xfId="0" applyNumberFormat="1" applyFont="1" applyFill="1" applyBorder="1" applyAlignment="1">
      <alignment horizontal="center" vertical="center"/>
    </xf>
    <xf numFmtId="166" fontId="47" fillId="30" borderId="10" xfId="0" applyNumberFormat="1" applyFont="1" applyFill="1" applyBorder="1" applyAlignment="1">
      <alignment horizontal="center" vertical="center" wrapText="1"/>
    </xf>
    <xf numFmtId="166" fontId="37" fillId="30" borderId="12" xfId="0" applyNumberFormat="1" applyFont="1" applyFill="1" applyBorder="1" applyAlignment="1">
      <alignment horizontal="center" vertical="center"/>
    </xf>
    <xf numFmtId="166" fontId="37" fillId="30" borderId="5" xfId="0" applyNumberFormat="1" applyFont="1" applyFill="1" applyBorder="1" applyAlignment="1">
      <alignment horizontal="center" vertical="center"/>
    </xf>
    <xf numFmtId="166" fontId="47" fillId="30" borderId="6" xfId="0" applyNumberFormat="1" applyFont="1" applyFill="1" applyBorder="1" applyAlignment="1">
      <alignment horizontal="center" vertical="center" wrapText="1"/>
    </xf>
    <xf numFmtId="0" fontId="37" fillId="30" borderId="33" xfId="0" applyFont="1" applyFill="1" applyBorder="1" applyAlignment="1">
      <alignment horizontal="center" vertical="center" wrapText="1"/>
    </xf>
    <xf numFmtId="165" fontId="37" fillId="30" borderId="46" xfId="0" applyNumberFormat="1" applyFont="1" applyFill="1" applyBorder="1" applyAlignment="1">
      <alignment horizontal="center" vertical="center"/>
    </xf>
    <xf numFmtId="165" fontId="47" fillId="30" borderId="6" xfId="0" applyNumberFormat="1" applyFont="1" applyFill="1" applyBorder="1" applyAlignment="1">
      <alignment horizontal="center" vertical="center" wrapText="1"/>
    </xf>
    <xf numFmtId="0" fontId="63" fillId="12" borderId="66" xfId="0" applyFont="1" applyFill="1" applyBorder="1" applyAlignment="1">
      <alignment horizontal="right" vertical="center" wrapText="1"/>
    </xf>
    <xf numFmtId="0" fontId="37" fillId="7" borderId="2" xfId="0" applyFont="1" applyFill="1" applyBorder="1" applyAlignment="1">
      <alignment horizontal="center" vertical="center"/>
    </xf>
    <xf numFmtId="185" fontId="37" fillId="7" borderId="2" xfId="0" applyNumberFormat="1" applyFont="1" applyFill="1" applyBorder="1" applyAlignment="1">
      <alignment horizontal="center" vertical="center"/>
    </xf>
    <xf numFmtId="0" fontId="37" fillId="7" borderId="10" xfId="0" applyFont="1" applyFill="1" applyBorder="1" applyAlignment="1">
      <alignment horizontal="center" vertical="center"/>
    </xf>
    <xf numFmtId="0" fontId="37" fillId="7" borderId="5" xfId="0" applyFont="1" applyFill="1" applyBorder="1" applyAlignment="1">
      <alignment horizontal="center" vertical="center"/>
    </xf>
    <xf numFmtId="0" fontId="37" fillId="7" borderId="6" xfId="0" applyFont="1" applyFill="1" applyBorder="1" applyAlignment="1">
      <alignment horizontal="center" vertical="center"/>
    </xf>
    <xf numFmtId="171" fontId="37" fillId="0" borderId="3" xfId="0" applyNumberFormat="1" applyFont="1" applyBorder="1" applyAlignment="1">
      <alignment horizontal="center" vertical="center"/>
    </xf>
    <xf numFmtId="172" fontId="37" fillId="0" borderId="3" xfId="0" applyNumberFormat="1" applyFont="1" applyBorder="1" applyAlignment="1">
      <alignment horizontal="center" vertical="center"/>
    </xf>
    <xf numFmtId="173" fontId="37" fillId="0" borderId="3" xfId="0" applyNumberFormat="1" applyFont="1" applyBorder="1" applyAlignment="1">
      <alignment horizontal="center" vertical="center"/>
    </xf>
    <xf numFmtId="174" fontId="37" fillId="0" borderId="3" xfId="0" applyNumberFormat="1" applyFont="1" applyBorder="1" applyAlignment="1">
      <alignment horizontal="center" vertical="center"/>
    </xf>
    <xf numFmtId="175" fontId="37" fillId="0" borderId="3" xfId="0" applyNumberFormat="1" applyFont="1" applyBorder="1" applyAlignment="1">
      <alignment horizontal="center" vertical="center"/>
    </xf>
    <xf numFmtId="176" fontId="37" fillId="0" borderId="3" xfId="0" applyNumberFormat="1" applyFont="1" applyBorder="1" applyAlignment="1">
      <alignment horizontal="center" vertical="center"/>
    </xf>
    <xf numFmtId="177" fontId="37" fillId="0" borderId="3" xfId="0" applyNumberFormat="1" applyFont="1" applyBorder="1" applyAlignment="1">
      <alignment horizontal="center" vertical="center"/>
    </xf>
    <xf numFmtId="178" fontId="35" fillId="23" borderId="3" xfId="0" applyNumberFormat="1" applyFont="1" applyFill="1" applyBorder="1" applyAlignment="1">
      <alignment horizontal="center" vertical="center"/>
    </xf>
    <xf numFmtId="179" fontId="35" fillId="23" borderId="3" xfId="0" applyNumberFormat="1" applyFont="1" applyFill="1" applyBorder="1" applyAlignment="1">
      <alignment horizontal="center" vertical="center"/>
    </xf>
    <xf numFmtId="179" fontId="35" fillId="23" borderId="12" xfId="0" applyNumberFormat="1" applyFont="1" applyFill="1" applyBorder="1" applyAlignment="1">
      <alignment horizontal="center" vertical="center"/>
    </xf>
    <xf numFmtId="0" fontId="37" fillId="9" borderId="2" xfId="0" applyFont="1" applyFill="1" applyBorder="1" applyAlignment="1">
      <alignment horizontal="center" vertical="center"/>
    </xf>
    <xf numFmtId="0" fontId="37" fillId="9" borderId="11" xfId="0" applyFont="1" applyFill="1" applyBorder="1" applyAlignment="1">
      <alignment horizontal="center" vertical="center" wrapText="1"/>
    </xf>
    <xf numFmtId="0" fontId="37" fillId="9" borderId="3" xfId="0" applyFont="1" applyFill="1" applyBorder="1" applyAlignment="1">
      <alignment horizontal="center" vertical="center" wrapText="1"/>
    </xf>
    <xf numFmtId="0" fontId="37" fillId="9" borderId="32" xfId="0" applyFont="1" applyFill="1" applyBorder="1" applyAlignment="1">
      <alignment horizontal="center" vertical="center"/>
    </xf>
    <xf numFmtId="0" fontId="37" fillId="9" borderId="3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12" xfId="0" applyFont="1" applyFill="1" applyBorder="1" applyAlignment="1">
      <alignment horizontal="center" vertical="center" wrapText="1"/>
    </xf>
    <xf numFmtId="0" fontId="37" fillId="9" borderId="5" xfId="0" applyFont="1" applyFill="1" applyBorder="1" applyAlignment="1">
      <alignment horizontal="center" vertical="center"/>
    </xf>
    <xf numFmtId="0" fontId="37" fillId="9" borderId="6" xfId="0" applyFont="1" applyFill="1" applyBorder="1" applyAlignment="1">
      <alignment horizontal="center" vertical="center"/>
    </xf>
    <xf numFmtId="0" fontId="37" fillId="9" borderId="33" xfId="0" applyFont="1" applyFill="1" applyBorder="1" applyAlignment="1">
      <alignment horizontal="center" vertical="center"/>
    </xf>
    <xf numFmtId="185" fontId="37" fillId="9" borderId="20" xfId="0" applyNumberFormat="1" applyFont="1" applyFill="1" applyBorder="1" applyAlignment="1">
      <alignment horizontal="center" vertical="center"/>
    </xf>
    <xf numFmtId="1" fontId="37" fillId="9" borderId="2" xfId="0" applyNumberFormat="1" applyFont="1" applyFill="1" applyBorder="1" applyAlignment="1">
      <alignment horizontal="center" vertical="center"/>
    </xf>
    <xf numFmtId="185" fontId="37" fillId="9" borderId="2" xfId="0" applyNumberFormat="1" applyFont="1" applyFill="1" applyBorder="1" applyAlignment="1">
      <alignment horizontal="center" vertical="center"/>
    </xf>
    <xf numFmtId="0" fontId="37" fillId="9" borderId="10" xfId="0" applyFont="1" applyFill="1" applyBorder="1" applyAlignment="1">
      <alignment horizontal="center" vertical="center"/>
    </xf>
    <xf numFmtId="185" fontId="37" fillId="30" borderId="1" xfId="0" applyNumberFormat="1" applyFont="1" applyFill="1" applyBorder="1" applyAlignment="1">
      <alignment horizontal="center" vertical="center"/>
    </xf>
    <xf numFmtId="0" fontId="3" fillId="0" borderId="0" xfId="0" applyFont="1"/>
    <xf numFmtId="0" fontId="3" fillId="0" borderId="0" xfId="0" applyFont="1" applyAlignment="1">
      <alignment horizontal="center"/>
    </xf>
    <xf numFmtId="182" fontId="37" fillId="23" borderId="47" xfId="0" applyNumberFormat="1" applyFont="1" applyFill="1" applyBorder="1" applyAlignment="1">
      <alignment horizontal="center" vertical="center"/>
    </xf>
    <xf numFmtId="182" fontId="37" fillId="23" borderId="14" xfId="0" applyNumberFormat="1" applyFont="1" applyFill="1" applyBorder="1" applyAlignment="1">
      <alignment horizontal="center" vertical="center"/>
    </xf>
    <xf numFmtId="181" fontId="37" fillId="23" borderId="14" xfId="0" applyNumberFormat="1" applyFont="1" applyFill="1" applyBorder="1" applyAlignment="1">
      <alignment horizontal="center" vertical="center"/>
    </xf>
    <xf numFmtId="182" fontId="37" fillId="32" borderId="14" xfId="0" applyNumberFormat="1" applyFont="1" applyFill="1" applyBorder="1" applyAlignment="1">
      <alignment horizontal="center" vertical="center"/>
    </xf>
    <xf numFmtId="0" fontId="37" fillId="32" borderId="46" xfId="0" applyFont="1" applyFill="1" applyBorder="1" applyAlignment="1">
      <alignment horizontal="center" vertical="center"/>
    </xf>
    <xf numFmtId="0" fontId="37" fillId="32" borderId="3" xfId="0" applyFont="1" applyFill="1" applyBorder="1" applyAlignment="1">
      <alignment horizontal="center" vertical="center"/>
    </xf>
    <xf numFmtId="0" fontId="37" fillId="32" borderId="12" xfId="0" applyFont="1" applyFill="1" applyBorder="1" applyAlignment="1">
      <alignment horizontal="center" vertical="center"/>
    </xf>
    <xf numFmtId="2" fontId="6" fillId="0" borderId="0" xfId="0" applyNumberFormat="1" applyFont="1" applyAlignment="1">
      <alignment horizontal="center" vertical="center" wrapText="1"/>
    </xf>
    <xf numFmtId="0" fontId="35" fillId="26" borderId="51" xfId="0" applyFont="1" applyFill="1" applyBorder="1" applyAlignment="1">
      <alignment horizontal="center" vertical="center" wrapText="1"/>
    </xf>
    <xf numFmtId="0" fontId="35" fillId="26" borderId="49" xfId="0" applyFont="1" applyFill="1" applyBorder="1" applyAlignment="1">
      <alignment horizontal="center" vertical="center" wrapText="1"/>
    </xf>
    <xf numFmtId="0" fontId="35" fillId="26" borderId="52" xfId="0" applyFont="1" applyFill="1" applyBorder="1" applyAlignment="1">
      <alignment horizontal="center" vertical="center" wrapText="1"/>
    </xf>
    <xf numFmtId="0" fontId="37" fillId="22" borderId="0" xfId="0" applyFont="1" applyFill="1" applyAlignment="1">
      <alignment horizontal="center" vertical="center" wrapText="1"/>
    </xf>
    <xf numFmtId="20" fontId="35" fillId="0" borderId="8" xfId="0" applyNumberFormat="1" applyFont="1" applyBorder="1" applyAlignment="1">
      <alignment horizontal="center" vertical="center"/>
    </xf>
    <xf numFmtId="167" fontId="30" fillId="4" borderId="11" xfId="0" applyNumberFormat="1" applyFont="1" applyFill="1" applyBorder="1" applyAlignment="1" applyProtection="1">
      <alignment horizontal="center" vertical="center"/>
      <protection locked="0" hidden="1"/>
    </xf>
    <xf numFmtId="167" fontId="30" fillId="4" borderId="46" xfId="0" applyNumberFormat="1" applyFont="1" applyFill="1" applyBorder="1" applyAlignment="1" applyProtection="1">
      <alignment horizontal="center" vertical="center"/>
      <protection locked="0" hidden="1"/>
    </xf>
    <xf numFmtId="167" fontId="30" fillId="4" borderId="43" xfId="0" applyNumberFormat="1" applyFont="1" applyFill="1" applyBorder="1" applyAlignment="1" applyProtection="1">
      <alignment horizontal="center" vertical="center"/>
      <protection locked="0" hidden="1"/>
    </xf>
    <xf numFmtId="20" fontId="5" fillId="4" borderId="7" xfId="0" applyNumberFormat="1" applyFont="1" applyFill="1" applyBorder="1" applyAlignment="1" applyProtection="1">
      <alignment horizontal="center" vertical="center"/>
      <protection locked="0" hidden="1"/>
    </xf>
    <xf numFmtId="165" fontId="5" fillId="6" borderId="3" xfId="0" applyNumberFormat="1" applyFont="1" applyFill="1" applyBorder="1" applyAlignment="1">
      <alignment horizontal="center" vertical="center"/>
    </xf>
    <xf numFmtId="165" fontId="5" fillId="8" borderId="12" xfId="0" applyNumberFormat="1" applyFont="1" applyFill="1" applyBorder="1" applyAlignment="1">
      <alignment horizontal="center" vertical="center"/>
    </xf>
    <xf numFmtId="190" fontId="37" fillId="32" borderId="50" xfId="0" applyNumberFormat="1" applyFont="1" applyFill="1" applyBorder="1" applyAlignment="1">
      <alignment horizontal="center" vertical="center"/>
    </xf>
    <xf numFmtId="182" fontId="37" fillId="32" borderId="50" xfId="0" applyNumberFormat="1" applyFont="1" applyFill="1" applyBorder="1" applyAlignment="1">
      <alignment horizontal="center" vertical="center"/>
    </xf>
    <xf numFmtId="190" fontId="37" fillId="32" borderId="2" xfId="0" applyNumberFormat="1" applyFont="1" applyFill="1" applyBorder="1" applyAlignment="1">
      <alignment horizontal="center" vertical="center"/>
    </xf>
    <xf numFmtId="190" fontId="37" fillId="32" borderId="5" xfId="0" applyNumberFormat="1" applyFont="1" applyFill="1" applyBorder="1" applyAlignment="1">
      <alignment horizontal="center" vertical="center"/>
    </xf>
    <xf numFmtId="0" fontId="5" fillId="8" borderId="37" xfId="0" applyFont="1" applyFill="1" applyBorder="1" applyAlignment="1">
      <alignment horizontal="center" vertical="center"/>
    </xf>
    <xf numFmtId="165" fontId="39" fillId="8" borderId="2" xfId="0" applyNumberFormat="1" applyFont="1" applyFill="1" applyBorder="1" applyAlignment="1">
      <alignment horizontal="center" vertical="center"/>
    </xf>
    <xf numFmtId="0" fontId="37" fillId="7" borderId="50" xfId="0" applyFont="1" applyFill="1" applyBorder="1" applyAlignment="1">
      <alignment horizontal="center" vertical="center"/>
    </xf>
    <xf numFmtId="0" fontId="35" fillId="0" borderId="0" xfId="0" applyFont="1" applyAlignment="1" applyProtection="1">
      <alignment horizontal="left" vertical="center"/>
      <protection hidden="1"/>
    </xf>
    <xf numFmtId="0" fontId="35" fillId="0" borderId="0" xfId="0" applyFont="1" applyAlignment="1" applyProtection="1">
      <alignment horizontal="center" vertical="center" wrapText="1"/>
      <protection hidden="1"/>
    </xf>
    <xf numFmtId="0" fontId="25" fillId="0" borderId="38" xfId="0" applyFont="1" applyBorder="1" applyAlignment="1" applyProtection="1">
      <alignment horizontal="center" vertical="center" wrapText="1"/>
      <protection hidden="1"/>
    </xf>
    <xf numFmtId="0" fontId="35" fillId="0" borderId="0" xfId="0" applyFont="1" applyAlignment="1" applyProtection="1">
      <alignment horizontal="left" vertical="center" wrapText="1"/>
      <protection hidden="1"/>
    </xf>
    <xf numFmtId="49" fontId="35" fillId="0" borderId="0" xfId="0" applyNumberFormat="1" applyFont="1" applyAlignment="1" applyProtection="1">
      <alignment horizontal="right"/>
      <protection hidden="1"/>
    </xf>
    <xf numFmtId="0" fontId="5" fillId="3" borderId="22" xfId="0" applyFont="1" applyFill="1" applyBorder="1" applyAlignment="1">
      <alignment horizontal="center" vertical="center" wrapText="1"/>
    </xf>
    <xf numFmtId="0" fontId="37" fillId="22" borderId="0" xfId="0" applyFont="1" applyFill="1" applyAlignment="1">
      <alignment horizontal="center" vertical="center"/>
    </xf>
    <xf numFmtId="0" fontId="35" fillId="0" borderId="0" xfId="0" applyFont="1" applyAlignment="1" applyProtection="1">
      <alignment vertical="center"/>
      <protection hidden="1"/>
    </xf>
    <xf numFmtId="0" fontId="25" fillId="6" borderId="8" xfId="0" applyFont="1" applyFill="1" applyBorder="1" applyAlignment="1">
      <alignment horizontal="center" vertical="center"/>
    </xf>
    <xf numFmtId="1" fontId="41" fillId="8" borderId="1" xfId="0" applyNumberFormat="1" applyFont="1" applyFill="1" applyBorder="1" applyAlignment="1" applyProtection="1">
      <alignment horizontal="center" vertical="center"/>
      <protection hidden="1"/>
    </xf>
    <xf numFmtId="0" fontId="9" fillId="6" borderId="7" xfId="0" applyFont="1" applyFill="1" applyBorder="1" applyAlignment="1">
      <alignment horizontal="center" vertical="center" wrapText="1"/>
    </xf>
    <xf numFmtId="0" fontId="25" fillId="6" borderId="8" xfId="0" applyFont="1" applyFill="1" applyBorder="1" applyAlignment="1">
      <alignment vertical="top" wrapText="1"/>
    </xf>
    <xf numFmtId="165" fontId="25" fillId="6" borderId="8" xfId="0" applyNumberFormat="1" applyFont="1" applyFill="1" applyBorder="1" applyAlignment="1">
      <alignment horizontal="center" vertical="center"/>
    </xf>
    <xf numFmtId="1" fontId="41" fillId="8" borderId="8" xfId="0" applyNumberFormat="1" applyFont="1" applyFill="1" applyBorder="1" applyAlignment="1" applyProtection="1">
      <alignment horizontal="center" vertical="center"/>
      <protection hidden="1"/>
    </xf>
    <xf numFmtId="1" fontId="41" fillId="8" borderId="20" xfId="0" applyNumberFormat="1" applyFont="1" applyFill="1" applyBorder="1" applyAlignment="1" applyProtection="1">
      <alignment horizontal="center" vertical="center"/>
      <protection hidden="1"/>
    </xf>
    <xf numFmtId="1" fontId="25" fillId="8" borderId="1" xfId="0" applyNumberFormat="1" applyFont="1" applyFill="1" applyBorder="1" applyAlignment="1" applyProtection="1">
      <alignment horizontal="center" vertical="center"/>
      <protection hidden="1"/>
    </xf>
    <xf numFmtId="0" fontId="25" fillId="6" borderId="8" xfId="0" applyFont="1" applyFill="1" applyBorder="1"/>
    <xf numFmtId="2" fontId="25" fillId="6" borderId="8" xfId="0" applyNumberFormat="1" applyFont="1" applyFill="1" applyBorder="1" applyAlignment="1">
      <alignment horizontal="center" vertical="center"/>
    </xf>
    <xf numFmtId="1" fontId="25" fillId="8" borderId="20" xfId="0" applyNumberFormat="1" applyFont="1" applyFill="1" applyBorder="1" applyAlignment="1" applyProtection="1">
      <alignment horizontal="center" vertical="center"/>
      <protection hidden="1"/>
    </xf>
    <xf numFmtId="1" fontId="25" fillId="8" borderId="48" xfId="0" applyNumberFormat="1" applyFont="1" applyFill="1" applyBorder="1" applyAlignment="1" applyProtection="1">
      <alignment horizontal="center" vertical="center"/>
      <protection hidden="1"/>
    </xf>
    <xf numFmtId="0" fontId="25" fillId="8" borderId="8" xfId="0" applyFont="1" applyFill="1" applyBorder="1" applyAlignment="1">
      <alignment horizontal="center" vertical="center"/>
    </xf>
    <xf numFmtId="11" fontId="25" fillId="6" borderId="23" xfId="0" applyNumberFormat="1" applyFont="1" applyFill="1" applyBorder="1" applyAlignment="1">
      <alignment horizontal="center" vertical="center"/>
    </xf>
    <xf numFmtId="11" fontId="25" fillId="6" borderId="16" xfId="0" applyNumberFormat="1" applyFont="1" applyFill="1" applyBorder="1" applyAlignment="1">
      <alignment horizontal="center" vertical="center"/>
    </xf>
    <xf numFmtId="189" fontId="5" fillId="0" borderId="0" xfId="0" applyNumberFormat="1" applyFont="1" applyProtection="1">
      <protection hidden="1"/>
    </xf>
    <xf numFmtId="0" fontId="38" fillId="8" borderId="7" xfId="0" applyFont="1" applyFill="1" applyBorder="1" applyAlignment="1" applyProtection="1">
      <alignment horizontal="center" vertical="center" wrapText="1"/>
      <protection hidden="1"/>
    </xf>
    <xf numFmtId="0" fontId="48" fillId="8" borderId="8" xfId="0" applyFont="1" applyFill="1" applyBorder="1" applyAlignment="1" applyProtection="1">
      <alignment horizontal="center" vertical="center" wrapText="1"/>
      <protection hidden="1"/>
    </xf>
    <xf numFmtId="0" fontId="48" fillId="8" borderId="9" xfId="0" applyFont="1" applyFill="1" applyBorder="1" applyAlignment="1" applyProtection="1">
      <alignment horizontal="center" vertical="center" wrapText="1"/>
      <protection hidden="1"/>
    </xf>
    <xf numFmtId="0" fontId="38" fillId="8" borderId="8" xfId="0" applyFont="1" applyFill="1" applyBorder="1" applyAlignment="1" applyProtection="1">
      <alignment horizontal="center" vertical="center" wrapText="1"/>
      <protection hidden="1"/>
    </xf>
    <xf numFmtId="0" fontId="38" fillId="8" borderId="9"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166" fontId="5" fillId="0" borderId="46" xfId="0" applyNumberFormat="1" applyFont="1" applyBorder="1" applyAlignment="1" applyProtection="1">
      <alignment horizontal="center" vertical="center"/>
      <protection hidden="1"/>
    </xf>
    <xf numFmtId="166" fontId="5" fillId="0" borderId="1" xfId="0" applyNumberFormat="1" applyFont="1" applyBorder="1" applyAlignment="1" applyProtection="1">
      <alignment horizontal="center" vertical="center"/>
      <protection hidden="1"/>
    </xf>
    <xf numFmtId="166" fontId="5" fillId="0" borderId="0" xfId="0" applyNumberFormat="1" applyFont="1" applyAlignment="1" applyProtection="1">
      <alignment horizontal="center" vertical="center"/>
      <protection hidden="1"/>
    </xf>
    <xf numFmtId="2" fontId="5" fillId="3" borderId="39" xfId="0" applyNumberFormat="1" applyFont="1" applyFill="1" applyBorder="1" applyAlignment="1">
      <alignment horizontal="center" vertical="center" wrapText="1"/>
    </xf>
    <xf numFmtId="0" fontId="5" fillId="0" borderId="3" xfId="0" applyFont="1" applyBorder="1" applyAlignment="1" applyProtection="1">
      <alignment horizontal="center" vertical="center" wrapText="1"/>
      <protection hidden="1"/>
    </xf>
    <xf numFmtId="166" fontId="5" fillId="0" borderId="3" xfId="0" applyNumberFormat="1" applyFont="1" applyBorder="1" applyAlignment="1" applyProtection="1">
      <alignment horizontal="center" vertical="center"/>
      <protection hidden="1"/>
    </xf>
    <xf numFmtId="166" fontId="5" fillId="0" borderId="2" xfId="0" applyNumberFormat="1" applyFont="1" applyBorder="1" applyAlignment="1" applyProtection="1">
      <alignment horizontal="center" vertical="center"/>
      <protection hidden="1"/>
    </xf>
    <xf numFmtId="166" fontId="5" fillId="0" borderId="10" xfId="0" applyNumberFormat="1" applyFont="1" applyBorder="1" applyAlignment="1" applyProtection="1">
      <alignment horizontal="center" vertical="center"/>
      <protection hidden="1"/>
    </xf>
    <xf numFmtId="2" fontId="5" fillId="3" borderId="41" xfId="0" applyNumberFormat="1" applyFont="1" applyFill="1" applyBorder="1" applyAlignment="1">
      <alignment horizontal="center" vertical="center" wrapText="1"/>
    </xf>
    <xf numFmtId="0" fontId="5" fillId="0" borderId="12" xfId="0" applyFont="1" applyBorder="1" applyAlignment="1" applyProtection="1">
      <alignment horizontal="center" vertical="center" wrapText="1"/>
      <protection hidden="1"/>
    </xf>
    <xf numFmtId="166" fontId="5" fillId="0" borderId="12" xfId="0" applyNumberFormat="1" applyFont="1" applyBorder="1" applyAlignment="1" applyProtection="1">
      <alignment horizontal="center" vertical="center"/>
      <protection hidden="1"/>
    </xf>
    <xf numFmtId="166" fontId="5" fillId="0" borderId="5" xfId="0" applyNumberFormat="1" applyFont="1" applyBorder="1" applyAlignment="1" applyProtection="1">
      <alignment horizontal="center" vertical="center"/>
      <protection hidden="1"/>
    </xf>
    <xf numFmtId="166" fontId="5" fillId="0" borderId="6" xfId="0" applyNumberFormat="1" applyFont="1" applyBorder="1" applyAlignment="1" applyProtection="1">
      <alignment horizontal="center" vertical="center"/>
      <protection hidden="1"/>
    </xf>
    <xf numFmtId="2" fontId="5" fillId="3" borderId="42" xfId="0" applyNumberFormat="1" applyFont="1" applyFill="1" applyBorder="1" applyAlignment="1">
      <alignment horizontal="center" vertical="center" wrapText="1"/>
    </xf>
    <xf numFmtId="166" fontId="41" fillId="8" borderId="15" xfId="0" applyNumberFormat="1" applyFont="1" applyFill="1" applyBorder="1" applyAlignment="1" applyProtection="1">
      <alignment horizontal="center" vertical="center"/>
      <protection hidden="1"/>
    </xf>
    <xf numFmtId="2" fontId="41" fillId="8" borderId="22" xfId="0" applyNumberFormat="1" applyFont="1" applyFill="1" applyBorder="1" applyAlignment="1">
      <alignment horizontal="center" vertical="center"/>
    </xf>
    <xf numFmtId="0" fontId="5" fillId="0" borderId="22" xfId="0" applyFont="1" applyBorder="1" applyAlignment="1" applyProtection="1">
      <alignment horizontal="center" vertical="center" wrapText="1"/>
      <protection hidden="1"/>
    </xf>
    <xf numFmtId="1" fontId="5" fillId="0" borderId="22" xfId="0" applyNumberFormat="1" applyFont="1" applyBorder="1" applyAlignment="1">
      <alignment horizontal="center" vertical="center" wrapText="1"/>
    </xf>
    <xf numFmtId="183" fontId="5" fillId="0" borderId="22" xfId="0" quotePrefix="1" applyNumberFormat="1" applyFont="1" applyBorder="1" applyAlignment="1">
      <alignment horizontal="center" vertical="center" wrapText="1"/>
    </xf>
    <xf numFmtId="166" fontId="5" fillId="0" borderId="22" xfId="0" applyNumberFormat="1" applyFont="1" applyBorder="1" applyAlignment="1">
      <alignment horizontal="center" vertical="center" wrapText="1"/>
    </xf>
    <xf numFmtId="166" fontId="5" fillId="0" borderId="22" xfId="0" applyNumberFormat="1" applyFont="1" applyBorder="1" applyAlignment="1" applyProtection="1">
      <alignment horizontal="center" vertical="center"/>
      <protection hidden="1"/>
    </xf>
    <xf numFmtId="167" fontId="5" fillId="3" borderId="22" xfId="0" applyNumberFormat="1" applyFont="1" applyFill="1" applyBorder="1" applyAlignment="1">
      <alignment horizontal="center" vertical="center" wrapText="1"/>
    </xf>
    <xf numFmtId="9" fontId="5" fillId="8" borderId="22" xfId="7" applyFont="1" applyFill="1" applyBorder="1" applyAlignment="1" applyProtection="1">
      <alignment horizontal="center" vertical="center"/>
      <protection hidden="1"/>
    </xf>
    <xf numFmtId="9" fontId="25" fillId="8" borderId="22" xfId="7" applyFont="1" applyFill="1" applyBorder="1" applyAlignment="1" applyProtection="1">
      <alignment horizontal="center" vertical="center"/>
      <protection hidden="1"/>
    </xf>
    <xf numFmtId="2" fontId="35" fillId="0" borderId="0" xfId="0" applyNumberFormat="1" applyFont="1" applyAlignment="1" applyProtection="1">
      <alignment horizontal="center" vertical="center"/>
      <protection hidden="1"/>
    </xf>
    <xf numFmtId="192" fontId="16" fillId="0" borderId="0" xfId="0" applyNumberFormat="1" applyFont="1"/>
    <xf numFmtId="0" fontId="30" fillId="0" borderId="0" xfId="0" applyFont="1" applyAlignment="1">
      <alignment horizontal="center"/>
    </xf>
    <xf numFmtId="2" fontId="30" fillId="0" borderId="0" xfId="0" applyNumberFormat="1" applyFont="1" applyAlignment="1" applyProtection="1">
      <alignment horizontal="center"/>
      <protection hidden="1"/>
    </xf>
    <xf numFmtId="168" fontId="30" fillId="0" borderId="0" xfId="0" applyNumberFormat="1" applyFont="1" applyAlignment="1">
      <alignment horizontal="center"/>
    </xf>
    <xf numFmtId="168" fontId="30" fillId="0" borderId="0" xfId="0" applyNumberFormat="1" applyFont="1" applyAlignment="1" applyProtection="1">
      <alignment horizontal="center"/>
      <protection hidden="1"/>
    </xf>
    <xf numFmtId="165" fontId="30" fillId="3" borderId="0" xfId="0" applyNumberFormat="1" applyFont="1" applyFill="1" applyAlignment="1">
      <alignment horizontal="center"/>
    </xf>
    <xf numFmtId="165" fontId="30" fillId="4" borderId="11" xfId="0" applyNumberFormat="1" applyFont="1" applyFill="1" applyBorder="1" applyAlignment="1" applyProtection="1">
      <alignment horizontal="center" vertical="center"/>
      <protection locked="0" hidden="1"/>
    </xf>
    <xf numFmtId="165" fontId="30" fillId="4" borderId="46" xfId="0" applyNumberFormat="1" applyFont="1" applyFill="1" applyBorder="1" applyAlignment="1" applyProtection="1">
      <alignment horizontal="center" vertical="center"/>
      <protection locked="0" hidden="1"/>
    </xf>
    <xf numFmtId="165" fontId="30" fillId="4" borderId="43" xfId="0" applyNumberFormat="1" applyFont="1" applyFill="1" applyBorder="1" applyAlignment="1" applyProtection="1">
      <alignment horizontal="center" vertical="center"/>
      <protection locked="0" hidden="1"/>
    </xf>
    <xf numFmtId="0" fontId="35" fillId="0" borderId="22" xfId="0" applyFont="1" applyBorder="1" applyAlignment="1">
      <alignment vertical="center"/>
    </xf>
    <xf numFmtId="1" fontId="5" fillId="0" borderId="33"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1" fontId="5" fillId="0" borderId="6" xfId="0" applyNumberFormat="1" applyFont="1" applyBorder="1" applyAlignment="1">
      <alignment horizontal="center" vertical="center" wrapText="1"/>
    </xf>
    <xf numFmtId="190" fontId="5" fillId="0" borderId="10" xfId="0" quotePrefix="1" applyNumberFormat="1" applyFont="1" applyBorder="1" applyAlignment="1">
      <alignment horizontal="center" vertical="center" wrapText="1"/>
    </xf>
    <xf numFmtId="190" fontId="5" fillId="0" borderId="6" xfId="0" quotePrefix="1" applyNumberFormat="1" applyFont="1" applyBorder="1" applyAlignment="1">
      <alignment horizontal="center" vertical="center" wrapText="1"/>
    </xf>
    <xf numFmtId="0" fontId="25" fillId="3" borderId="22" xfId="0" applyFont="1" applyFill="1" applyBorder="1" applyAlignment="1" applyProtection="1">
      <alignment horizontal="center" vertical="center"/>
      <protection hidden="1"/>
    </xf>
    <xf numFmtId="0" fontId="14" fillId="15" borderId="22" xfId="0" applyFont="1" applyFill="1" applyBorder="1" applyAlignment="1">
      <alignment horizontal="center" wrapText="1"/>
    </xf>
    <xf numFmtId="193" fontId="37" fillId="32" borderId="1" xfId="0" applyNumberFormat="1" applyFont="1" applyFill="1" applyBorder="1" applyAlignment="1">
      <alignment horizontal="center" vertical="center"/>
    </xf>
    <xf numFmtId="193" fontId="37" fillId="32" borderId="2" xfId="0" applyNumberFormat="1" applyFont="1" applyFill="1" applyBorder="1" applyAlignment="1">
      <alignment horizontal="center" vertical="center"/>
    </xf>
    <xf numFmtId="2" fontId="37" fillId="30" borderId="1" xfId="0" applyNumberFormat="1" applyFont="1" applyFill="1" applyBorder="1" applyAlignment="1">
      <alignment horizontal="center" vertical="center"/>
    </xf>
    <xf numFmtId="0" fontId="37" fillId="30" borderId="50" xfId="0" applyFont="1" applyFill="1" applyBorder="1" applyAlignment="1">
      <alignment horizontal="center" vertical="center" wrapText="1"/>
    </xf>
    <xf numFmtId="0" fontId="42" fillId="12" borderId="7" xfId="0" applyFont="1" applyFill="1" applyBorder="1" applyAlignment="1">
      <alignment horizontal="center" vertical="center"/>
    </xf>
    <xf numFmtId="1" fontId="37" fillId="30" borderId="5" xfId="0" applyNumberFormat="1" applyFont="1" applyFill="1" applyBorder="1" applyAlignment="1">
      <alignment horizontal="center" vertical="center"/>
    </xf>
    <xf numFmtId="165" fontId="37" fillId="30" borderId="5" xfId="0" applyNumberFormat="1" applyFont="1" applyFill="1" applyBorder="1" applyAlignment="1">
      <alignment horizontal="center" vertical="center"/>
    </xf>
    <xf numFmtId="165" fontId="37" fillId="30" borderId="5" xfId="0" applyNumberFormat="1" applyFont="1" applyFill="1" applyBorder="1" applyAlignment="1">
      <alignment horizontal="center" vertical="center" wrapText="1"/>
    </xf>
    <xf numFmtId="165" fontId="37" fillId="30" borderId="10" xfId="0" applyNumberFormat="1" applyFont="1" applyFill="1" applyBorder="1" applyAlignment="1">
      <alignment horizontal="center" vertical="center"/>
    </xf>
    <xf numFmtId="165" fontId="37" fillId="30" borderId="6" xfId="0" applyNumberFormat="1" applyFont="1" applyFill="1" applyBorder="1" applyAlignment="1">
      <alignment horizontal="center" vertical="center" wrapText="1"/>
    </xf>
    <xf numFmtId="0" fontId="42" fillId="12" borderId="8" xfId="0" applyFont="1" applyFill="1" applyBorder="1" applyAlignment="1">
      <alignment horizontal="center" vertical="center" wrapText="1"/>
    </xf>
    <xf numFmtId="0" fontId="42" fillId="12" borderId="9" xfId="0" applyFont="1" applyFill="1" applyBorder="1" applyAlignment="1">
      <alignment horizontal="center" vertical="center" wrapText="1"/>
    </xf>
    <xf numFmtId="3" fontId="37" fillId="30" borderId="3" xfId="0" applyNumberFormat="1" applyFont="1" applyFill="1" applyBorder="1" applyAlignment="1">
      <alignment horizontal="center" vertical="center"/>
    </xf>
    <xf numFmtId="3" fontId="37" fillId="33" borderId="38" xfId="0" applyNumberFormat="1" applyFont="1" applyFill="1" applyBorder="1" applyAlignment="1">
      <alignment vertical="center" wrapText="1"/>
    </xf>
    <xf numFmtId="3" fontId="37" fillId="33" borderId="66" xfId="0" applyNumberFormat="1" applyFont="1" applyFill="1" applyBorder="1" applyAlignment="1">
      <alignment horizontal="center" wrapText="1"/>
    </xf>
    <xf numFmtId="3" fontId="37" fillId="33" borderId="61" xfId="0" applyNumberFormat="1" applyFont="1" applyFill="1" applyBorder="1" applyAlignment="1">
      <alignment horizontal="center" vertical="center" wrapText="1"/>
    </xf>
    <xf numFmtId="0" fontId="37" fillId="9" borderId="2" xfId="0" applyFont="1" applyFill="1" applyBorder="1" applyAlignment="1">
      <alignment horizontal="center" vertical="center" wrapText="1"/>
    </xf>
    <xf numFmtId="0" fontId="37" fillId="9" borderId="1" xfId="0" applyFont="1" applyFill="1" applyBorder="1" applyAlignment="1">
      <alignment horizontal="center" vertical="center"/>
    </xf>
    <xf numFmtId="0" fontId="37" fillId="9" borderId="46" xfId="0" applyFont="1" applyFill="1" applyBorder="1" applyAlignment="1">
      <alignment horizontal="center" vertical="center" wrapText="1"/>
    </xf>
    <xf numFmtId="0" fontId="37" fillId="9" borderId="3" xfId="0" applyFont="1" applyFill="1" applyBorder="1" applyAlignment="1">
      <alignment horizontal="center" vertical="center"/>
    </xf>
    <xf numFmtId="0" fontId="37" fillId="9" borderId="12" xfId="0" applyFont="1" applyFill="1" applyBorder="1" applyAlignment="1">
      <alignment horizontal="center" vertical="center"/>
    </xf>
    <xf numFmtId="185" fontId="37" fillId="9" borderId="1" xfId="0" applyNumberFormat="1" applyFont="1" applyFill="1" applyBorder="1" applyAlignment="1">
      <alignment horizontal="center" vertical="center"/>
    </xf>
    <xf numFmtId="0" fontId="37" fillId="9" borderId="10" xfId="0" applyFont="1" applyFill="1" applyBorder="1" applyAlignment="1">
      <alignment horizontal="center" vertical="center" wrapText="1"/>
    </xf>
    <xf numFmtId="164" fontId="37" fillId="30" borderId="5" xfId="0" applyNumberFormat="1" applyFont="1" applyFill="1" applyBorder="1" applyAlignment="1">
      <alignment horizontal="center" vertical="center"/>
    </xf>
    <xf numFmtId="185" fontId="37" fillId="30" borderId="5" xfId="0" applyNumberFormat="1" applyFont="1" applyFill="1" applyBorder="1" applyAlignment="1">
      <alignment horizontal="center" vertical="center"/>
    </xf>
    <xf numFmtId="166" fontId="37" fillId="30" borderId="1" xfId="0" applyNumberFormat="1" applyFont="1" applyFill="1" applyBorder="1" applyAlignment="1">
      <alignment horizontal="center" vertical="center"/>
    </xf>
    <xf numFmtId="0" fontId="42" fillId="12" borderId="7" xfId="0" applyFont="1" applyFill="1" applyBorder="1" applyAlignment="1">
      <alignment horizontal="center" vertical="center" wrapText="1"/>
    </xf>
    <xf numFmtId="0" fontId="37" fillId="8" borderId="11" xfId="0" applyFont="1" applyFill="1" applyBorder="1" applyAlignment="1">
      <alignment horizontal="center" vertical="center" wrapText="1"/>
    </xf>
    <xf numFmtId="0" fontId="47" fillId="8" borderId="32" xfId="0" applyFont="1" applyFill="1" applyBorder="1" applyAlignment="1">
      <alignment horizontal="center" vertical="center" wrapText="1"/>
    </xf>
    <xf numFmtId="0" fontId="47" fillId="8" borderId="33" xfId="0" applyFont="1" applyFill="1" applyBorder="1" applyAlignment="1">
      <alignment horizontal="center" vertical="center" wrapText="1"/>
    </xf>
    <xf numFmtId="166" fontId="37" fillId="8" borderId="3" xfId="0" applyNumberFormat="1"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10" xfId="0" applyFont="1" applyFill="1" applyBorder="1" applyAlignment="1">
      <alignment horizontal="center" vertical="center" wrapText="1"/>
    </xf>
    <xf numFmtId="0" fontId="37" fillId="8" borderId="12" xfId="0" applyFont="1" applyFill="1" applyBorder="1" applyAlignment="1">
      <alignment horizontal="center" vertical="center"/>
    </xf>
    <xf numFmtId="0" fontId="47" fillId="8" borderId="5" xfId="0" applyFont="1" applyFill="1" applyBorder="1" applyAlignment="1">
      <alignment vertical="center" wrapText="1"/>
    </xf>
    <xf numFmtId="0" fontId="47" fillId="8" borderId="6" xfId="0" applyFont="1" applyFill="1" applyBorder="1" applyAlignment="1">
      <alignment vertical="center" wrapText="1"/>
    </xf>
    <xf numFmtId="0" fontId="37" fillId="30" borderId="5" xfId="0" applyFont="1" applyFill="1" applyBorder="1" applyAlignment="1">
      <alignment horizontal="center" vertical="center" wrapText="1"/>
    </xf>
    <xf numFmtId="164" fontId="6" fillId="9" borderId="43" xfId="0" applyNumberFormat="1" applyFont="1" applyFill="1" applyBorder="1" applyAlignment="1">
      <alignment horizontal="center" vertical="center" wrapText="1"/>
    </xf>
    <xf numFmtId="2" fontId="25" fillId="8" borderId="9" xfId="0" applyNumberFormat="1" applyFont="1" applyFill="1" applyBorder="1" applyAlignment="1" applyProtection="1">
      <alignment horizontal="center" vertical="center"/>
      <protection hidden="1"/>
    </xf>
    <xf numFmtId="9" fontId="25" fillId="8" borderId="9" xfId="7" applyFont="1" applyFill="1" applyBorder="1" applyAlignment="1" applyProtection="1">
      <alignment horizontal="center" vertical="center"/>
      <protection hidden="1"/>
    </xf>
    <xf numFmtId="0" fontId="25" fillId="6" borderId="7" xfId="0" applyFont="1" applyFill="1" applyBorder="1" applyAlignment="1">
      <alignment horizontal="center" vertical="center" wrapText="1"/>
    </xf>
    <xf numFmtId="1" fontId="50" fillId="8" borderId="33" xfId="0" applyNumberFormat="1" applyFont="1" applyFill="1" applyBorder="1" applyAlignment="1" applyProtection="1">
      <alignment horizontal="center" vertical="center" wrapText="1"/>
      <protection hidden="1"/>
    </xf>
    <xf numFmtId="1" fontId="50" fillId="8" borderId="42" xfId="0" applyNumberFormat="1" applyFont="1" applyFill="1" applyBorder="1" applyAlignment="1" applyProtection="1">
      <alignment horizontal="center" vertical="center"/>
      <protection hidden="1"/>
    </xf>
    <xf numFmtId="2" fontId="50" fillId="8" borderId="6" xfId="0" applyNumberFormat="1" applyFont="1" applyFill="1" applyBorder="1" applyAlignment="1" applyProtection="1">
      <alignment horizontal="center" vertical="center"/>
      <protection hidden="1"/>
    </xf>
    <xf numFmtId="9" fontId="50" fillId="8" borderId="6" xfId="7" applyFont="1" applyFill="1" applyBorder="1" applyAlignment="1" applyProtection="1">
      <alignment horizontal="center" vertical="center"/>
      <protection hidden="1"/>
    </xf>
    <xf numFmtId="1" fontId="50" fillId="8" borderId="43" xfId="0" applyNumberFormat="1" applyFont="1" applyFill="1" applyBorder="1" applyAlignment="1" applyProtection="1">
      <alignment horizontal="center" vertical="center"/>
      <protection hidden="1"/>
    </xf>
    <xf numFmtId="2" fontId="50" fillId="8" borderId="48" xfId="0" applyNumberFormat="1" applyFont="1" applyFill="1" applyBorder="1" applyAlignment="1" applyProtection="1">
      <alignment horizontal="center" vertical="center"/>
      <protection hidden="1"/>
    </xf>
    <xf numFmtId="9" fontId="50" fillId="8" borderId="55" xfId="7" applyFont="1" applyFill="1" applyBorder="1" applyAlignment="1" applyProtection="1">
      <alignment horizontal="center" vertical="center"/>
      <protection hidden="1"/>
    </xf>
    <xf numFmtId="1" fontId="50" fillId="8" borderId="8" xfId="0" applyNumberFormat="1" applyFont="1" applyFill="1" applyBorder="1" applyAlignment="1" applyProtection="1">
      <alignment horizontal="center" vertical="center" wrapText="1"/>
      <protection hidden="1"/>
    </xf>
    <xf numFmtId="0" fontId="38" fillId="8" borderId="43" xfId="0" applyFont="1" applyFill="1" applyBorder="1" applyAlignment="1" applyProtection="1">
      <alignment horizontal="center" vertical="center" wrapText="1"/>
      <protection hidden="1"/>
    </xf>
    <xf numFmtId="0" fontId="38" fillId="8" borderId="48" xfId="0" applyFont="1" applyFill="1" applyBorder="1" applyAlignment="1" applyProtection="1">
      <alignment horizontal="center" vertical="center" wrapText="1"/>
      <protection hidden="1"/>
    </xf>
    <xf numFmtId="0" fontId="38" fillId="8" borderId="55" xfId="0" applyFont="1" applyFill="1" applyBorder="1" applyAlignment="1" applyProtection="1">
      <alignment horizontal="center" vertical="center" wrapText="1"/>
      <protection hidden="1"/>
    </xf>
    <xf numFmtId="0" fontId="35" fillId="8" borderId="7" xfId="0" applyFont="1" applyFill="1" applyBorder="1" applyAlignment="1" applyProtection="1">
      <alignment horizontal="center" vertical="center" wrapText="1"/>
      <protection hidden="1"/>
    </xf>
    <xf numFmtId="186" fontId="35" fillId="8" borderId="8" xfId="0" applyNumberFormat="1" applyFont="1" applyFill="1" applyBorder="1" applyAlignment="1" applyProtection="1">
      <alignment horizontal="center" vertical="center" wrapText="1"/>
      <protection hidden="1"/>
    </xf>
    <xf numFmtId="0" fontId="35" fillId="8" borderId="8" xfId="0" applyFont="1" applyFill="1" applyBorder="1" applyAlignment="1">
      <alignment horizontal="center" vertical="center"/>
    </xf>
    <xf numFmtId="1" fontId="50" fillId="8" borderId="66" xfId="0" applyNumberFormat="1" applyFont="1" applyFill="1" applyBorder="1" applyAlignment="1" applyProtection="1">
      <alignment horizontal="center" vertical="center"/>
      <protection hidden="1"/>
    </xf>
    <xf numFmtId="2" fontId="50" fillId="8" borderId="55" xfId="0" applyNumberFormat="1" applyFont="1" applyFill="1" applyBorder="1" applyAlignment="1" applyProtection="1">
      <alignment horizontal="center" vertical="center"/>
      <protection hidden="1"/>
    </xf>
    <xf numFmtId="1" fontId="50" fillId="8" borderId="9" xfId="0" applyNumberFormat="1" applyFont="1" applyFill="1" applyBorder="1" applyAlignment="1" applyProtection="1">
      <alignment horizontal="center" vertical="center" wrapText="1"/>
      <protection hidden="1"/>
    </xf>
    <xf numFmtId="166" fontId="41" fillId="8" borderId="54" xfId="0" applyNumberFormat="1" applyFont="1" applyFill="1" applyBorder="1" applyAlignment="1" applyProtection="1">
      <alignment horizontal="center" vertical="center"/>
      <protection hidden="1"/>
    </xf>
    <xf numFmtId="166" fontId="30" fillId="4" borderId="48" xfId="0" applyNumberFormat="1" applyFont="1" applyFill="1" applyBorder="1" applyAlignment="1" applyProtection="1">
      <alignment horizontal="center" vertical="center"/>
      <protection locked="0" hidden="1"/>
    </xf>
    <xf numFmtId="167" fontId="30" fillId="4" borderId="3" xfId="0" applyNumberFormat="1" applyFont="1" applyFill="1" applyBorder="1" applyAlignment="1" applyProtection="1">
      <alignment horizontal="center" vertical="center"/>
      <protection locked="0" hidden="1"/>
    </xf>
    <xf numFmtId="167" fontId="30" fillId="4" borderId="12" xfId="0" applyNumberFormat="1" applyFont="1" applyFill="1" applyBorder="1" applyAlignment="1" applyProtection="1">
      <alignment horizontal="center" vertical="center"/>
      <protection locked="0" hidden="1"/>
    </xf>
    <xf numFmtId="2" fontId="30" fillId="4" borderId="11" xfId="0" applyNumberFormat="1" applyFont="1" applyFill="1" applyBorder="1" applyAlignment="1" applyProtection="1">
      <alignment horizontal="center" vertical="center"/>
      <protection locked="0" hidden="1"/>
    </xf>
    <xf numFmtId="2" fontId="30" fillId="4" borderId="46" xfId="0" applyNumberFormat="1" applyFont="1" applyFill="1" applyBorder="1" applyAlignment="1" applyProtection="1">
      <alignment horizontal="center" vertical="center"/>
      <protection locked="0" hidden="1"/>
    </xf>
    <xf numFmtId="2" fontId="30" fillId="4" borderId="43" xfId="0" applyNumberFormat="1" applyFont="1" applyFill="1" applyBorder="1" applyAlignment="1" applyProtection="1">
      <alignment horizontal="center" vertical="center"/>
      <protection locked="0" hidden="1"/>
    </xf>
    <xf numFmtId="164" fontId="37" fillId="30" borderId="5" xfId="0" applyNumberFormat="1" applyFont="1" applyFill="1" applyBorder="1" applyAlignment="1">
      <alignment horizontal="center" vertical="center" wrapText="1"/>
    </xf>
    <xf numFmtId="166" fontId="30" fillId="4" borderId="32" xfId="0" applyNumberFormat="1" applyFont="1" applyFill="1" applyBorder="1" applyAlignment="1" applyProtection="1">
      <alignment horizontal="center" vertical="center"/>
      <protection locked="0" hidden="1"/>
    </xf>
    <xf numFmtId="166" fontId="30" fillId="4" borderId="1" xfId="0" applyNumberFormat="1" applyFont="1" applyFill="1" applyBorder="1" applyAlignment="1" applyProtection="1">
      <alignment horizontal="center" vertical="center"/>
      <protection locked="0" hidden="1"/>
    </xf>
    <xf numFmtId="0" fontId="2" fillId="0" borderId="0" xfId="0" applyFont="1" applyProtection="1">
      <protection hidden="1"/>
    </xf>
    <xf numFmtId="0" fontId="35" fillId="0" borderId="21" xfId="0" applyFont="1" applyBorder="1" applyAlignment="1" applyProtection="1">
      <alignment horizontal="center" vertical="center"/>
      <protection hidden="1"/>
    </xf>
    <xf numFmtId="0" fontId="35" fillId="0" borderId="28" xfId="0" applyFont="1" applyBorder="1" applyAlignment="1" applyProtection="1">
      <alignment horizontal="center"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horizontal="center" vertical="center"/>
      <protection hidden="1"/>
    </xf>
    <xf numFmtId="0" fontId="2" fillId="0" borderId="0" xfId="0" applyFont="1" applyAlignment="1" applyProtection="1">
      <alignment vertical="center"/>
      <protection hidden="1"/>
    </xf>
    <xf numFmtId="0" fontId="35" fillId="0" borderId="38" xfId="0" applyFont="1" applyBorder="1" applyAlignment="1" applyProtection="1">
      <alignment horizontal="center" vertical="center"/>
      <protection hidden="1"/>
    </xf>
    <xf numFmtId="0" fontId="35" fillId="0" borderId="22" xfId="0" applyFont="1" applyBorder="1" applyAlignment="1" applyProtection="1">
      <alignment horizontal="center" vertical="center"/>
      <protection hidden="1"/>
    </xf>
    <xf numFmtId="0" fontId="35" fillId="0" borderId="7" xfId="0" applyFont="1" applyBorder="1" applyAlignment="1" applyProtection="1">
      <alignment horizontal="center" vertical="center"/>
      <protection hidden="1"/>
    </xf>
    <xf numFmtId="20" fontId="35" fillId="0" borderId="8" xfId="0" applyNumberFormat="1" applyFont="1" applyBorder="1" applyAlignment="1" applyProtection="1">
      <alignment horizontal="center" vertical="center"/>
      <protection hidden="1"/>
    </xf>
    <xf numFmtId="0" fontId="35" fillId="0" borderId="22" xfId="0" applyFont="1" applyBorder="1" applyAlignment="1" applyProtection="1">
      <alignment vertical="center"/>
      <protection hidden="1"/>
    </xf>
    <xf numFmtId="2" fontId="35" fillId="0" borderId="22" xfId="0" applyNumberFormat="1" applyFont="1" applyBorder="1" applyAlignment="1" applyProtection="1">
      <alignment horizontal="center" vertical="center"/>
      <protection hidden="1"/>
    </xf>
    <xf numFmtId="0" fontId="35" fillId="0" borderId="8" xfId="0" applyFont="1" applyBorder="1" applyAlignment="1" applyProtection="1">
      <alignment horizontal="center" vertical="center"/>
      <protection hidden="1"/>
    </xf>
    <xf numFmtId="0" fontId="35" fillId="0" borderId="9" xfId="0" applyFont="1" applyBorder="1" applyAlignment="1" applyProtection="1">
      <alignment horizontal="center" vertical="center"/>
      <protection hidden="1"/>
    </xf>
    <xf numFmtId="0" fontId="35" fillId="0" borderId="49" xfId="0" applyFont="1" applyBorder="1" applyAlignment="1" applyProtection="1">
      <alignment horizontal="center" vertical="center"/>
      <protection hidden="1"/>
    </xf>
    <xf numFmtId="0" fontId="35" fillId="26" borderId="68" xfId="0" applyFont="1" applyFill="1" applyBorder="1" applyAlignment="1" applyProtection="1">
      <alignment horizontal="center" vertical="center" wrapText="1"/>
      <protection hidden="1"/>
    </xf>
    <xf numFmtId="0" fontId="35" fillId="26" borderId="39" xfId="0" applyFont="1" applyFill="1" applyBorder="1" applyAlignment="1" applyProtection="1">
      <alignment horizontal="center" vertical="center" wrapText="1"/>
      <protection hidden="1"/>
    </xf>
    <xf numFmtId="0" fontId="35" fillId="26" borderId="71" xfId="0" applyFont="1" applyFill="1" applyBorder="1" applyAlignment="1" applyProtection="1">
      <alignment horizontal="center" vertical="center" wrapText="1"/>
      <protection hidden="1"/>
    </xf>
    <xf numFmtId="0" fontId="35" fillId="26" borderId="42" xfId="0" applyFont="1" applyFill="1" applyBorder="1" applyAlignment="1" applyProtection="1">
      <alignment horizontal="center" vertical="center" wrapText="1"/>
      <protection hidden="1"/>
    </xf>
    <xf numFmtId="0" fontId="35" fillId="26" borderId="45" xfId="0" applyFont="1" applyFill="1" applyBorder="1" applyAlignment="1" applyProtection="1">
      <alignment horizontal="center" vertical="center" wrapText="1"/>
      <protection hidden="1"/>
    </xf>
    <xf numFmtId="0" fontId="35" fillId="26" borderId="36" xfId="0" applyFont="1" applyFill="1" applyBorder="1" applyAlignment="1" applyProtection="1">
      <alignment horizontal="center" vertical="center" wrapText="1"/>
      <protection hidden="1"/>
    </xf>
    <xf numFmtId="0" fontId="35" fillId="0" borderId="15" xfId="0" applyFont="1" applyBorder="1" applyAlignment="1" applyProtection="1">
      <alignment horizontal="center" vertical="center"/>
      <protection hidden="1"/>
    </xf>
    <xf numFmtId="0" fontId="2" fillId="0" borderId="0" xfId="0" applyFont="1"/>
    <xf numFmtId="0" fontId="35" fillId="0" borderId="21"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0" xfId="0" applyFont="1" applyAlignment="1">
      <alignment vertical="center"/>
    </xf>
    <xf numFmtId="193" fontId="5" fillId="0" borderId="33" xfId="0" quotePrefix="1" applyNumberFormat="1" applyFont="1" applyBorder="1" applyAlignment="1">
      <alignment horizontal="center" vertical="center" wrapText="1"/>
    </xf>
    <xf numFmtId="193" fontId="5" fillId="0" borderId="10" xfId="0" quotePrefix="1" applyNumberFormat="1" applyFont="1" applyBorder="1" applyAlignment="1">
      <alignment horizontal="center" vertical="center" wrapText="1"/>
    </xf>
    <xf numFmtId="168" fontId="37" fillId="0" borderId="0" xfId="0" applyNumberFormat="1" applyFont="1" applyAlignment="1">
      <alignment horizontal="center" vertical="center"/>
    </xf>
    <xf numFmtId="182" fontId="37" fillId="32" borderId="55" xfId="0" applyNumberFormat="1" applyFont="1" applyFill="1" applyBorder="1" applyAlignment="1">
      <alignment horizontal="center" vertical="center"/>
    </xf>
    <xf numFmtId="0" fontId="37" fillId="9" borderId="11" xfId="0" applyFont="1" applyFill="1" applyBorder="1" applyAlignment="1">
      <alignment horizontal="center" vertical="center"/>
    </xf>
    <xf numFmtId="0" fontId="15" fillId="0" borderId="0" xfId="0" applyFont="1" applyAlignment="1" applyProtection="1">
      <alignment vertical="center"/>
      <protection hidden="1"/>
    </xf>
    <xf numFmtId="0" fontId="5" fillId="0" borderId="0" xfId="0" applyFont="1" applyProtection="1">
      <protection hidden="1"/>
    </xf>
    <xf numFmtId="2" fontId="5" fillId="3" borderId="26" xfId="0" applyNumberFormat="1" applyFont="1" applyFill="1" applyBorder="1" applyProtection="1">
      <protection hidden="1"/>
    </xf>
    <xf numFmtId="2" fontId="32" fillId="0" borderId="0" xfId="0" applyNumberFormat="1" applyFont="1" applyProtection="1">
      <protection hidden="1"/>
    </xf>
    <xf numFmtId="2" fontId="33" fillId="8" borderId="7" xfId="1" applyNumberFormat="1" applyFont="1" applyFill="1" applyBorder="1" applyAlignment="1" applyProtection="1">
      <alignment horizontal="center" vertical="center" wrapText="1"/>
      <protection hidden="1"/>
    </xf>
    <xf numFmtId="2" fontId="33" fillId="8" borderId="8" xfId="1" applyNumberFormat="1" applyFont="1" applyFill="1" applyBorder="1" applyAlignment="1" applyProtection="1">
      <alignment horizontal="center" vertical="center" wrapText="1"/>
      <protection hidden="1"/>
    </xf>
    <xf numFmtId="2" fontId="10" fillId="8" borderId="8" xfId="1" applyNumberFormat="1" applyFont="1" applyFill="1" applyBorder="1" applyAlignment="1" applyProtection="1">
      <alignment horizontal="center" vertical="center" wrapText="1"/>
      <protection hidden="1"/>
    </xf>
    <xf numFmtId="2" fontId="9" fillId="8" borderId="8" xfId="0" applyNumberFormat="1" applyFont="1" applyFill="1" applyBorder="1" applyAlignment="1" applyProtection="1">
      <alignment horizontal="center" vertical="center" wrapText="1"/>
      <protection hidden="1"/>
    </xf>
    <xf numFmtId="2" fontId="10" fillId="8" borderId="30" xfId="1" applyNumberFormat="1" applyFont="1" applyFill="1" applyBorder="1" applyAlignment="1" applyProtection="1">
      <alignment horizontal="center" vertical="center" wrapText="1"/>
      <protection hidden="1"/>
    </xf>
    <xf numFmtId="14" fontId="6" fillId="13" borderId="43" xfId="0" applyNumberFormat="1" applyFont="1" applyFill="1" applyBorder="1" applyAlignment="1" applyProtection="1">
      <alignment horizontal="center" vertical="center" wrapText="1"/>
      <protection hidden="1"/>
    </xf>
    <xf numFmtId="164" fontId="6" fillId="13" borderId="43" xfId="0" applyNumberFormat="1" applyFont="1" applyFill="1" applyBorder="1" applyAlignment="1" applyProtection="1">
      <alignment horizontal="center" vertical="center" wrapText="1"/>
      <protection hidden="1"/>
    </xf>
    <xf numFmtId="0" fontId="6" fillId="13" borderId="43" xfId="0" applyFont="1" applyFill="1" applyBorder="1" applyAlignment="1" applyProtection="1">
      <alignment horizontal="center" vertical="center" wrapText="1"/>
      <protection hidden="1"/>
    </xf>
    <xf numFmtId="0" fontId="9" fillId="6" borderId="11" xfId="0" applyFont="1" applyFill="1" applyBorder="1" applyAlignment="1" applyProtection="1">
      <alignment vertical="center"/>
      <protection hidden="1"/>
    </xf>
    <xf numFmtId="0" fontId="6" fillId="9" borderId="32" xfId="0" applyFont="1" applyFill="1" applyBorder="1" applyAlignment="1" applyProtection="1">
      <alignment horizontal="center" vertical="center"/>
      <protection hidden="1"/>
    </xf>
    <xf numFmtId="0" fontId="9" fillId="8" borderId="32" xfId="0" applyFont="1" applyFill="1" applyBorder="1" applyAlignment="1" applyProtection="1">
      <alignment vertical="center"/>
      <protection hidden="1"/>
    </xf>
    <xf numFmtId="0" fontId="6" fillId="9" borderId="33" xfId="0" applyFont="1" applyFill="1" applyBorder="1" applyAlignment="1" applyProtection="1">
      <alignment horizontal="center" vertical="center"/>
      <protection hidden="1"/>
    </xf>
    <xf numFmtId="0" fontId="6" fillId="3" borderId="0" xfId="0" applyFont="1" applyFill="1" applyProtection="1">
      <protection hidden="1"/>
    </xf>
    <xf numFmtId="0" fontId="9" fillId="6" borderId="32" xfId="0" applyFont="1" applyFill="1" applyBorder="1" applyAlignment="1" applyProtection="1">
      <alignment vertical="center"/>
      <protection hidden="1"/>
    </xf>
    <xf numFmtId="0" fontId="5" fillId="3" borderId="0" xfId="0" applyFont="1" applyFill="1" applyProtection="1">
      <protection hidden="1"/>
    </xf>
    <xf numFmtId="0" fontId="9" fillId="6" borderId="3" xfId="0" applyFont="1" applyFill="1" applyBorder="1" applyAlignment="1" applyProtection="1">
      <alignment vertical="center"/>
      <protection hidden="1"/>
    </xf>
    <xf numFmtId="0" fontId="6" fillId="9" borderId="2" xfId="0" applyFont="1" applyFill="1" applyBorder="1" applyAlignment="1" applyProtection="1">
      <alignment horizontal="center" vertical="center"/>
      <protection hidden="1"/>
    </xf>
    <xf numFmtId="0" fontId="9" fillId="6" borderId="2" xfId="0" applyFont="1" applyFill="1" applyBorder="1" applyAlignment="1" applyProtection="1">
      <alignment vertical="center"/>
      <protection hidden="1"/>
    </xf>
    <xf numFmtId="0" fontId="6" fillId="9" borderId="10" xfId="0" applyFont="1" applyFill="1" applyBorder="1" applyAlignment="1" applyProtection="1">
      <alignment horizontal="center" vertical="center"/>
      <protection hidden="1"/>
    </xf>
    <xf numFmtId="0" fontId="6" fillId="9" borderId="10" xfId="0" applyFont="1" applyFill="1" applyBorder="1" applyAlignment="1" applyProtection="1">
      <alignment horizontal="center" vertical="center" wrapText="1"/>
      <protection hidden="1"/>
    </xf>
    <xf numFmtId="0" fontId="9" fillId="6" borderId="3" xfId="0" applyFont="1" applyFill="1" applyBorder="1" applyAlignment="1" applyProtection="1">
      <alignment vertical="center" wrapText="1"/>
      <protection hidden="1"/>
    </xf>
    <xf numFmtId="0" fontId="9" fillId="6" borderId="2" xfId="0" applyFont="1" applyFill="1" applyBorder="1" applyAlignment="1" applyProtection="1">
      <alignment horizontal="center" vertical="center" wrapText="1"/>
      <protection hidden="1"/>
    </xf>
    <xf numFmtId="164" fontId="6" fillId="9" borderId="10" xfId="0" applyNumberFormat="1" applyFont="1" applyFill="1" applyBorder="1" applyAlignment="1" applyProtection="1">
      <alignment horizontal="center" vertical="center"/>
      <protection hidden="1"/>
    </xf>
    <xf numFmtId="185" fontId="57" fillId="0" borderId="0" xfId="0" applyNumberFormat="1" applyFont="1" applyAlignment="1" applyProtection="1">
      <alignment vertical="center"/>
      <protection hidden="1"/>
    </xf>
    <xf numFmtId="165" fontId="6" fillId="9" borderId="2"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185" fontId="6" fillId="9" borderId="2" xfId="0" applyNumberFormat="1" applyFont="1" applyFill="1" applyBorder="1" applyAlignment="1" applyProtection="1">
      <alignment horizontal="center" vertical="center"/>
      <protection hidden="1"/>
    </xf>
    <xf numFmtId="0" fontId="5" fillId="3" borderId="0" xfId="0" applyFont="1" applyFill="1" applyAlignment="1" applyProtection="1">
      <alignment vertical="center"/>
      <protection hidden="1"/>
    </xf>
    <xf numFmtId="0" fontId="6" fillId="3" borderId="0" xfId="0" applyFont="1" applyFill="1" applyAlignment="1" applyProtection="1">
      <alignment vertical="center"/>
      <protection hidden="1"/>
    </xf>
    <xf numFmtId="0" fontId="6" fillId="9" borderId="5" xfId="0" applyFont="1" applyFill="1" applyBorder="1" applyAlignment="1" applyProtection="1">
      <alignment horizontal="center" vertical="center"/>
      <protection hidden="1"/>
    </xf>
    <xf numFmtId="0" fontId="6" fillId="9" borderId="6" xfId="0" applyFont="1" applyFill="1" applyBorder="1" applyAlignment="1" applyProtection="1">
      <alignment horizontal="center" vertical="center"/>
      <protection hidden="1"/>
    </xf>
    <xf numFmtId="0" fontId="5" fillId="3" borderId="33" xfId="0" applyFont="1" applyFill="1" applyBorder="1" applyAlignment="1" applyProtection="1">
      <alignment vertical="center"/>
      <protection hidden="1"/>
    </xf>
    <xf numFmtId="0" fontId="9" fillId="6" borderId="12" xfId="0" applyFont="1" applyFill="1" applyBorder="1" applyAlignment="1" applyProtection="1">
      <alignment vertical="center" wrapText="1"/>
      <protection hidden="1"/>
    </xf>
    <xf numFmtId="0" fontId="6" fillId="8" borderId="5" xfId="0" applyFont="1" applyFill="1" applyBorder="1" applyAlignment="1" applyProtection="1">
      <alignment horizontal="center" vertical="center" wrapText="1"/>
      <protection hidden="1"/>
    </xf>
    <xf numFmtId="0" fontId="9" fillId="6" borderId="43" xfId="0" applyFont="1" applyFill="1" applyBorder="1" applyAlignment="1" applyProtection="1">
      <alignment horizontal="left" vertical="center" wrapText="1"/>
      <protection hidden="1"/>
    </xf>
    <xf numFmtId="0" fontId="32" fillId="9" borderId="48" xfId="0" applyFont="1" applyFill="1" applyBorder="1" applyAlignment="1" applyProtection="1">
      <alignment horizontal="center" vertical="center" wrapText="1"/>
      <protection hidden="1"/>
    </xf>
    <xf numFmtId="0" fontId="9" fillId="6" borderId="48" xfId="0" applyFont="1" applyFill="1" applyBorder="1" applyAlignment="1" applyProtection="1">
      <alignment horizontal="left" vertical="center" wrapText="1"/>
      <protection hidden="1"/>
    </xf>
    <xf numFmtId="1" fontId="32" fillId="9" borderId="48" xfId="0" applyNumberFormat="1" applyFont="1" applyFill="1" applyBorder="1" applyAlignment="1" applyProtection="1">
      <alignment horizontal="center" vertical="center" wrapText="1"/>
      <protection hidden="1"/>
    </xf>
    <xf numFmtId="0" fontId="40" fillId="6" borderId="48" xfId="0" applyFont="1" applyFill="1" applyBorder="1" applyAlignment="1" applyProtection="1">
      <alignment horizontal="left" vertical="center" wrapText="1"/>
      <protection hidden="1"/>
    </xf>
    <xf numFmtId="164" fontId="6" fillId="9" borderId="43" xfId="0" applyNumberFormat="1" applyFont="1" applyFill="1" applyBorder="1" applyAlignment="1" applyProtection="1">
      <alignment horizontal="center" vertical="center" wrapText="1"/>
      <protection hidden="1"/>
    </xf>
    <xf numFmtId="0" fontId="40" fillId="6" borderId="67" xfId="0" applyFont="1" applyFill="1" applyBorder="1" applyAlignment="1" applyProtection="1">
      <alignment horizontal="center" vertical="center" wrapText="1"/>
      <protection hidden="1"/>
    </xf>
    <xf numFmtId="166" fontId="32" fillId="9" borderId="67" xfId="0" applyNumberFormat="1" applyFont="1" applyFill="1" applyBorder="1" applyAlignment="1" applyProtection="1">
      <alignment horizontal="center" vertical="center" wrapText="1"/>
      <protection hidden="1"/>
    </xf>
    <xf numFmtId="0" fontId="16" fillId="3" borderId="0" xfId="0" applyFont="1" applyFill="1" applyProtection="1">
      <protection hidden="1"/>
    </xf>
    <xf numFmtId="0" fontId="16" fillId="0" borderId="0" xfId="0" applyFont="1" applyProtection="1">
      <protection hidden="1"/>
    </xf>
    <xf numFmtId="0" fontId="17" fillId="3" borderId="21" xfId="0" applyFont="1" applyFill="1" applyBorder="1" applyAlignment="1" applyProtection="1">
      <alignment horizontal="center" vertical="center"/>
      <protection hidden="1"/>
    </xf>
    <xf numFmtId="0" fontId="17" fillId="3" borderId="0" xfId="0" applyFont="1" applyFill="1" applyAlignment="1" applyProtection="1">
      <alignment horizontal="center" vertical="center"/>
      <protection hidden="1"/>
    </xf>
    <xf numFmtId="0" fontId="17" fillId="3" borderId="29" xfId="0" applyFont="1" applyFill="1" applyBorder="1" applyAlignment="1" applyProtection="1">
      <alignment horizontal="center" vertical="center"/>
      <protection hidden="1"/>
    </xf>
    <xf numFmtId="0" fontId="9" fillId="6" borderId="15" xfId="0" applyFont="1" applyFill="1" applyBorder="1" applyAlignment="1" applyProtection="1">
      <alignment vertical="center" wrapText="1"/>
      <protection hidden="1"/>
    </xf>
    <xf numFmtId="166" fontId="9" fillId="6" borderId="9" xfId="0" applyNumberFormat="1" applyFont="1" applyFill="1" applyBorder="1" applyAlignment="1" applyProtection="1">
      <alignment horizontal="right" vertical="center" wrapText="1"/>
      <protection hidden="1"/>
    </xf>
    <xf numFmtId="0" fontId="25" fillId="6" borderId="7" xfId="0" applyFont="1" applyFill="1" applyBorder="1" applyAlignment="1" applyProtection="1">
      <alignment horizontal="center" vertical="center" wrapText="1"/>
      <protection hidden="1"/>
    </xf>
    <xf numFmtId="0" fontId="5" fillId="6" borderId="30" xfId="0" applyFont="1" applyFill="1" applyBorder="1" applyAlignment="1" applyProtection="1">
      <alignment horizontal="center" vertical="center"/>
      <protection hidden="1"/>
    </xf>
    <xf numFmtId="0" fontId="25" fillId="6" borderId="8" xfId="0" applyFont="1" applyFill="1" applyBorder="1" applyAlignment="1" applyProtection="1">
      <alignment horizontal="center" vertical="center"/>
      <protection hidden="1"/>
    </xf>
    <xf numFmtId="0" fontId="25" fillId="6" borderId="9" xfId="0" applyFont="1" applyFill="1" applyBorder="1" applyAlignment="1" applyProtection="1">
      <alignment horizontal="center" vertical="center"/>
      <protection hidden="1"/>
    </xf>
    <xf numFmtId="0" fontId="25" fillId="6" borderId="13" xfId="0" applyFont="1" applyFill="1" applyBorder="1" applyAlignment="1" applyProtection="1">
      <alignment horizontal="center" vertical="center"/>
      <protection hidden="1"/>
    </xf>
    <xf numFmtId="0" fontId="25" fillId="6" borderId="14" xfId="0" applyFont="1" applyFill="1" applyBorder="1" applyAlignment="1" applyProtection="1">
      <alignment horizontal="center" vertical="center"/>
      <protection hidden="1"/>
    </xf>
    <xf numFmtId="0" fontId="25" fillId="6" borderId="4" xfId="0" applyFont="1" applyFill="1" applyBorder="1" applyAlignment="1" applyProtection="1">
      <alignment horizontal="center" vertical="center"/>
      <protection hidden="1"/>
    </xf>
    <xf numFmtId="0" fontId="25" fillId="6" borderId="7" xfId="0" applyFont="1" applyFill="1" applyBorder="1" applyAlignment="1" applyProtection="1">
      <alignment vertical="center" wrapText="1"/>
      <protection hidden="1"/>
    </xf>
    <xf numFmtId="166" fontId="9" fillId="6" borderId="8" xfId="0" applyNumberFormat="1" applyFont="1" applyFill="1" applyBorder="1" applyAlignment="1" applyProtection="1">
      <alignment horizontal="right" vertical="center" wrapText="1"/>
      <protection hidden="1"/>
    </xf>
    <xf numFmtId="0" fontId="16" fillId="3" borderId="26" xfId="0" applyFont="1" applyFill="1" applyBorder="1" applyProtection="1">
      <protection hidden="1"/>
    </xf>
    <xf numFmtId="0" fontId="25" fillId="6" borderId="38" xfId="0" applyFont="1" applyFill="1" applyBorder="1" applyAlignment="1" applyProtection="1">
      <alignment horizontal="center" vertical="center"/>
      <protection hidden="1"/>
    </xf>
    <xf numFmtId="0" fontId="25" fillId="6" borderId="40" xfId="0" applyFont="1" applyFill="1" applyBorder="1" applyAlignment="1" applyProtection="1">
      <alignment horizontal="center" vertical="center"/>
      <protection hidden="1"/>
    </xf>
    <xf numFmtId="0" fontId="25" fillId="6" borderId="32" xfId="0" applyFont="1" applyFill="1" applyBorder="1" applyAlignment="1" applyProtection="1">
      <alignment horizontal="center" vertical="center"/>
      <protection hidden="1"/>
    </xf>
    <xf numFmtId="0" fontId="25" fillId="6" borderId="33" xfId="0" applyFont="1" applyFill="1" applyBorder="1" applyAlignment="1" applyProtection="1">
      <alignment horizontal="center" vertical="center"/>
      <protection hidden="1"/>
    </xf>
    <xf numFmtId="0" fontId="16" fillId="3" borderId="29" xfId="0" applyFont="1" applyFill="1" applyBorder="1" applyAlignment="1" applyProtection="1">
      <alignment vertical="center"/>
      <protection hidden="1"/>
    </xf>
    <xf numFmtId="0" fontId="25" fillId="6" borderId="39" xfId="0" applyFont="1" applyFill="1" applyBorder="1" applyAlignment="1" applyProtection="1">
      <alignment horizontal="center" vertical="center"/>
      <protection hidden="1"/>
    </xf>
    <xf numFmtId="167" fontId="5" fillId="6" borderId="40" xfId="0" applyNumberFormat="1" applyFont="1" applyFill="1" applyBorder="1" applyAlignment="1" applyProtection="1">
      <alignment horizontal="center" vertical="center"/>
      <protection hidden="1"/>
    </xf>
    <xf numFmtId="167" fontId="5" fillId="6" borderId="32" xfId="0" applyNumberFormat="1" applyFont="1" applyFill="1" applyBorder="1" applyAlignment="1" applyProtection="1">
      <alignment horizontal="center" vertical="center"/>
      <protection hidden="1"/>
    </xf>
    <xf numFmtId="167" fontId="5" fillId="6" borderId="33" xfId="0" applyNumberFormat="1" applyFont="1" applyFill="1" applyBorder="1" applyAlignment="1" applyProtection="1">
      <alignment horizontal="center" vertical="center"/>
      <protection hidden="1"/>
    </xf>
    <xf numFmtId="0" fontId="25" fillId="6" borderId="41" xfId="0" applyFont="1" applyFill="1" applyBorder="1" applyAlignment="1" applyProtection="1">
      <alignment horizontal="center" vertical="center"/>
      <protection hidden="1"/>
    </xf>
    <xf numFmtId="167" fontId="5" fillId="6" borderId="19" xfId="0" applyNumberFormat="1" applyFont="1" applyFill="1" applyBorder="1" applyAlignment="1" applyProtection="1">
      <alignment horizontal="center" vertical="center"/>
      <protection hidden="1"/>
    </xf>
    <xf numFmtId="167" fontId="5" fillId="6" borderId="2" xfId="0" applyNumberFormat="1" applyFont="1" applyFill="1" applyBorder="1" applyAlignment="1" applyProtection="1">
      <alignment horizontal="center" vertical="center"/>
      <protection hidden="1"/>
    </xf>
    <xf numFmtId="167" fontId="5" fillId="6" borderId="10" xfId="0" applyNumberFormat="1" applyFont="1" applyFill="1" applyBorder="1" applyAlignment="1" applyProtection="1">
      <alignment horizontal="center" vertical="center"/>
      <protection hidden="1"/>
    </xf>
    <xf numFmtId="0" fontId="25" fillId="6" borderId="42" xfId="0" applyFont="1" applyFill="1" applyBorder="1" applyAlignment="1" applyProtection="1">
      <alignment horizontal="center" vertical="center"/>
      <protection hidden="1"/>
    </xf>
    <xf numFmtId="167" fontId="5" fillId="6" borderId="37" xfId="0" applyNumberFormat="1" applyFont="1" applyFill="1" applyBorder="1" applyAlignment="1" applyProtection="1">
      <alignment horizontal="center" vertical="center"/>
      <protection hidden="1"/>
    </xf>
    <xf numFmtId="167" fontId="5" fillId="6" borderId="5" xfId="0" applyNumberFormat="1" applyFont="1" applyFill="1" applyBorder="1" applyAlignment="1" applyProtection="1">
      <alignment horizontal="center" vertical="center"/>
      <protection hidden="1"/>
    </xf>
    <xf numFmtId="167" fontId="5" fillId="6" borderId="6" xfId="0" applyNumberFormat="1" applyFont="1" applyFill="1" applyBorder="1" applyAlignment="1" applyProtection="1">
      <alignment horizontal="center" vertical="center"/>
      <protection hidden="1"/>
    </xf>
    <xf numFmtId="0" fontId="7" fillId="5" borderId="7" xfId="0" applyFont="1" applyFill="1" applyBorder="1" applyAlignment="1" applyProtection="1">
      <alignment horizontal="center" vertical="top" wrapText="1"/>
      <protection hidden="1"/>
    </xf>
    <xf numFmtId="167" fontId="25" fillId="6" borderId="16" xfId="0" applyNumberFormat="1" applyFont="1" applyFill="1" applyBorder="1" applyAlignment="1" applyProtection="1">
      <alignment horizontal="center" vertical="center"/>
      <protection hidden="1"/>
    </xf>
    <xf numFmtId="0" fontId="7" fillId="5" borderId="43" xfId="0" applyFont="1" applyFill="1" applyBorder="1" applyAlignment="1" applyProtection="1">
      <alignment horizontal="center" vertical="center" wrapText="1"/>
      <protection hidden="1"/>
    </xf>
    <xf numFmtId="189" fontId="25" fillId="6" borderId="23" xfId="0" applyNumberFormat="1" applyFont="1" applyFill="1" applyBorder="1" applyAlignment="1" applyProtection="1">
      <alignment horizontal="center" vertical="center"/>
      <protection hidden="1"/>
    </xf>
    <xf numFmtId="165" fontId="16" fillId="3" borderId="0" xfId="0" applyNumberFormat="1" applyFont="1" applyFill="1" applyProtection="1">
      <protection hidden="1"/>
    </xf>
    <xf numFmtId="0" fontId="25" fillId="6" borderId="60" xfId="0" applyFont="1" applyFill="1" applyBorder="1" applyAlignment="1" applyProtection="1">
      <alignment horizontal="center" vertical="center" wrapText="1"/>
      <protection hidden="1"/>
    </xf>
    <xf numFmtId="0" fontId="25" fillId="6" borderId="27" xfId="0" applyFont="1" applyFill="1" applyBorder="1" applyAlignment="1" applyProtection="1">
      <alignment horizontal="center" vertical="center" wrapText="1"/>
      <protection hidden="1"/>
    </xf>
    <xf numFmtId="0" fontId="25" fillId="6" borderId="59" xfId="0" applyFont="1" applyFill="1" applyBorder="1" applyAlignment="1" applyProtection="1">
      <alignment vertical="center" wrapText="1"/>
      <protection hidden="1"/>
    </xf>
    <xf numFmtId="168" fontId="25" fillId="8" borderId="13" xfId="0" applyNumberFormat="1" applyFont="1" applyFill="1" applyBorder="1" applyAlignment="1" applyProtection="1">
      <alignment horizontal="center" vertical="center"/>
      <protection hidden="1"/>
    </xf>
    <xf numFmtId="0" fontId="25" fillId="8" borderId="44" xfId="0" applyFont="1" applyFill="1" applyBorder="1" applyAlignment="1" applyProtection="1">
      <alignment horizontal="center" vertical="center"/>
      <protection hidden="1"/>
    </xf>
    <xf numFmtId="166" fontId="5" fillId="8" borderId="11" xfId="0" applyNumberFormat="1" applyFont="1" applyFill="1" applyBorder="1" applyAlignment="1" applyProtection="1">
      <alignment horizontal="center" vertical="center" wrapText="1"/>
      <protection hidden="1"/>
    </xf>
    <xf numFmtId="166" fontId="5" fillId="8" borderId="32" xfId="0" applyNumberFormat="1" applyFont="1" applyFill="1" applyBorder="1" applyAlignment="1" applyProtection="1">
      <alignment horizontal="center" vertical="center" wrapText="1"/>
      <protection hidden="1"/>
    </xf>
    <xf numFmtId="166" fontId="5" fillId="8" borderId="33" xfId="0" applyNumberFormat="1" applyFont="1" applyFill="1" applyBorder="1" applyAlignment="1" applyProtection="1">
      <alignment horizontal="center" vertical="center" wrapText="1"/>
      <protection hidden="1"/>
    </xf>
    <xf numFmtId="168" fontId="25" fillId="8" borderId="4" xfId="0" applyNumberFormat="1" applyFont="1" applyFill="1" applyBorder="1" applyAlignment="1" applyProtection="1">
      <alignment horizontal="center" vertical="center"/>
      <protection hidden="1"/>
    </xf>
    <xf numFmtId="0" fontId="25" fillId="6" borderId="35" xfId="0" applyFont="1" applyFill="1" applyBorder="1" applyAlignment="1" applyProtection="1">
      <alignment horizontal="center" vertical="center"/>
      <protection hidden="1"/>
    </xf>
    <xf numFmtId="11" fontId="16" fillId="0" borderId="0" xfId="0" applyNumberFormat="1" applyFont="1" applyProtection="1">
      <protection hidden="1"/>
    </xf>
    <xf numFmtId="166" fontId="5" fillId="8" borderId="12" xfId="0" applyNumberFormat="1" applyFont="1" applyFill="1" applyBorder="1" applyAlignment="1" applyProtection="1">
      <alignment horizontal="center" vertical="center" wrapText="1"/>
      <protection hidden="1"/>
    </xf>
    <xf numFmtId="166" fontId="5" fillId="8" borderId="5" xfId="0" applyNumberFormat="1" applyFont="1" applyFill="1" applyBorder="1" applyAlignment="1" applyProtection="1">
      <alignment horizontal="center" vertical="center" wrapText="1"/>
      <protection hidden="1"/>
    </xf>
    <xf numFmtId="166" fontId="5" fillId="8" borderId="6" xfId="0" applyNumberFormat="1" applyFont="1" applyFill="1" applyBorder="1" applyAlignment="1" applyProtection="1">
      <alignment horizontal="center" vertical="center" wrapText="1"/>
      <protection hidden="1"/>
    </xf>
    <xf numFmtId="2" fontId="25" fillId="6" borderId="4" xfId="0" applyNumberFormat="1" applyFont="1" applyFill="1" applyBorder="1" applyAlignment="1" applyProtection="1">
      <alignment horizontal="center" vertical="center"/>
      <protection hidden="1"/>
    </xf>
    <xf numFmtId="0" fontId="5" fillId="6" borderId="57" xfId="0" applyFont="1" applyFill="1" applyBorder="1" applyAlignment="1" applyProtection="1">
      <alignment horizontal="center" wrapText="1"/>
      <protection hidden="1"/>
    </xf>
    <xf numFmtId="0" fontId="5" fillId="6" borderId="53" xfId="0" applyFont="1" applyFill="1" applyBorder="1" applyAlignment="1" applyProtection="1">
      <alignment horizontal="center"/>
      <protection hidden="1"/>
    </xf>
    <xf numFmtId="0" fontId="5" fillId="6" borderId="47" xfId="0" applyFont="1" applyFill="1" applyBorder="1" applyAlignment="1" applyProtection="1">
      <alignment horizontal="center" wrapText="1"/>
      <protection hidden="1"/>
    </xf>
    <xf numFmtId="0" fontId="27" fillId="6" borderId="53" xfId="0" applyFont="1" applyFill="1" applyBorder="1" applyAlignment="1" applyProtection="1">
      <alignment horizontal="center" vertical="center"/>
      <protection hidden="1"/>
    </xf>
    <xf numFmtId="167" fontId="5" fillId="6" borderId="36" xfId="0" applyNumberFormat="1" applyFont="1" applyFill="1" applyBorder="1" applyAlignment="1" applyProtection="1">
      <alignment horizontal="center" vertical="center"/>
      <protection hidden="1"/>
    </xf>
    <xf numFmtId="0" fontId="5" fillId="8" borderId="37" xfId="0" applyFont="1" applyFill="1" applyBorder="1" applyAlignment="1" applyProtection="1">
      <alignment horizontal="center" vertical="center"/>
      <protection hidden="1"/>
    </xf>
    <xf numFmtId="167" fontId="5" fillId="8" borderId="4" xfId="0" applyNumberFormat="1" applyFont="1" applyFill="1" applyBorder="1" applyAlignment="1" applyProtection="1">
      <alignment horizontal="center" vertical="center"/>
      <protection hidden="1"/>
    </xf>
    <xf numFmtId="11" fontId="5" fillId="8" borderId="4" xfId="0" applyNumberFormat="1" applyFont="1" applyFill="1" applyBorder="1" applyAlignment="1" applyProtection="1">
      <alignment horizontal="center" vertical="center"/>
      <protection hidden="1"/>
    </xf>
    <xf numFmtId="0" fontId="5" fillId="6" borderId="37" xfId="0" applyFont="1" applyFill="1" applyBorder="1" applyAlignment="1" applyProtection="1">
      <alignment horizontal="center"/>
      <protection hidden="1"/>
    </xf>
    <xf numFmtId="11" fontId="25" fillId="8" borderId="4" xfId="0" applyNumberFormat="1" applyFont="1" applyFill="1" applyBorder="1" applyAlignment="1" applyProtection="1">
      <alignment horizontal="center" vertical="center"/>
      <protection hidden="1"/>
    </xf>
    <xf numFmtId="0" fontId="43" fillId="15" borderId="22" xfId="0" applyFont="1" applyFill="1" applyBorder="1" applyAlignment="1" applyProtection="1">
      <alignment horizontal="center" wrapText="1"/>
      <protection hidden="1"/>
    </xf>
    <xf numFmtId="0" fontId="46" fillId="0" borderId="0" xfId="0" applyFont="1" applyProtection="1">
      <protection hidden="1"/>
    </xf>
    <xf numFmtId="0" fontId="9" fillId="6" borderId="7" xfId="0" applyFont="1" applyFill="1" applyBorder="1" applyAlignment="1" applyProtection="1">
      <alignment horizontal="center" vertical="center" wrapText="1"/>
      <protection hidden="1"/>
    </xf>
    <xf numFmtId="0" fontId="25" fillId="6" borderId="8" xfId="0" applyFont="1" applyFill="1" applyBorder="1" applyAlignment="1" applyProtection="1">
      <alignment vertical="top" wrapText="1"/>
      <protection hidden="1"/>
    </xf>
    <xf numFmtId="165" fontId="25" fillId="6" borderId="8" xfId="0" applyNumberFormat="1" applyFont="1" applyFill="1" applyBorder="1" applyAlignment="1" applyProtection="1">
      <alignment horizontal="center" vertical="center"/>
      <protection hidden="1"/>
    </xf>
    <xf numFmtId="165" fontId="7" fillId="0" borderId="0" xfId="0" applyNumberFormat="1" applyFont="1" applyAlignment="1" applyProtection="1">
      <alignment horizontal="center" vertical="center"/>
      <protection hidden="1"/>
    </xf>
    <xf numFmtId="2" fontId="16" fillId="3" borderId="0" xfId="0" applyNumberFormat="1" applyFont="1" applyFill="1" applyProtection="1">
      <protection hidden="1"/>
    </xf>
    <xf numFmtId="0" fontId="9" fillId="6" borderId="46" xfId="0" applyFont="1" applyFill="1" applyBorder="1" applyAlignment="1" applyProtection="1">
      <alignment horizontal="center" vertical="center" wrapText="1"/>
      <protection hidden="1"/>
    </xf>
    <xf numFmtId="0" fontId="5" fillId="6" borderId="1" xfId="0" applyFont="1" applyFill="1" applyBorder="1" applyAlignment="1" applyProtection="1">
      <alignment horizontal="center" vertical="center"/>
      <protection hidden="1"/>
    </xf>
    <xf numFmtId="0" fontId="5" fillId="7" borderId="1" xfId="0" applyFont="1" applyFill="1" applyBorder="1" applyAlignment="1" applyProtection="1">
      <alignment horizontal="center" vertical="center"/>
      <protection hidden="1"/>
    </xf>
    <xf numFmtId="0" fontId="5" fillId="9" borderId="1" xfId="0" applyFont="1" applyFill="1" applyBorder="1" applyAlignment="1" applyProtection="1">
      <alignment horizontal="center" vertical="center"/>
      <protection hidden="1"/>
    </xf>
    <xf numFmtId="165" fontId="7" fillId="0" borderId="0" xfId="7" applyNumberFormat="1" applyFont="1" applyFill="1" applyAlignment="1" applyProtection="1">
      <alignment horizontal="center" vertical="center"/>
      <protection hidden="1"/>
    </xf>
    <xf numFmtId="0" fontId="9" fillId="6" borderId="58" xfId="0" applyFont="1" applyFill="1" applyBorder="1" applyAlignment="1" applyProtection="1">
      <alignment horizontal="center" vertical="center" wrapText="1"/>
      <protection hidden="1"/>
    </xf>
    <xf numFmtId="0" fontId="5" fillId="6" borderId="20" xfId="0" applyFont="1" applyFill="1" applyBorder="1" applyProtection="1">
      <protection hidden="1"/>
    </xf>
    <xf numFmtId="2" fontId="5" fillId="7" borderId="20" xfId="0" applyNumberFormat="1" applyFont="1" applyFill="1" applyBorder="1" applyAlignment="1" applyProtection="1">
      <alignment horizontal="center" vertical="center"/>
      <protection hidden="1"/>
    </xf>
    <xf numFmtId="0" fontId="5" fillId="7" borderId="20" xfId="0" applyFont="1" applyFill="1" applyBorder="1" applyAlignment="1" applyProtection="1">
      <alignment horizontal="center" vertical="center"/>
      <protection hidden="1"/>
    </xf>
    <xf numFmtId="0" fontId="35" fillId="8" borderId="8" xfId="0" applyFont="1" applyFill="1" applyBorder="1" applyAlignment="1" applyProtection="1">
      <alignment horizontal="center" vertical="center"/>
      <protection hidden="1"/>
    </xf>
    <xf numFmtId="0" fontId="25" fillId="6" borderId="8" xfId="0" applyFont="1" applyFill="1" applyBorder="1" applyProtection="1">
      <protection hidden="1"/>
    </xf>
    <xf numFmtId="2" fontId="25" fillId="6" borderId="8" xfId="0" applyNumberFormat="1" applyFont="1" applyFill="1" applyBorder="1" applyAlignment="1" applyProtection="1">
      <alignment horizontal="center" vertical="center"/>
      <protection hidden="1"/>
    </xf>
    <xf numFmtId="2" fontId="5" fillId="9" borderId="1" xfId="0" applyNumberFormat="1" applyFont="1" applyFill="1" applyBorder="1" applyAlignment="1" applyProtection="1">
      <alignment horizontal="center" vertical="center"/>
      <protection hidden="1"/>
    </xf>
    <xf numFmtId="0" fontId="9" fillId="6" borderId="3" xfId="0" applyFont="1" applyFill="1" applyBorder="1" applyAlignment="1" applyProtection="1">
      <alignment horizontal="center" vertical="center" wrapText="1"/>
      <protection hidden="1"/>
    </xf>
    <xf numFmtId="0" fontId="5" fillId="6" borderId="2" xfId="0" applyFont="1" applyFill="1" applyBorder="1" applyAlignment="1" applyProtection="1">
      <alignment horizontal="center" vertical="center"/>
      <protection hidden="1"/>
    </xf>
    <xf numFmtId="1" fontId="5" fillId="7" borderId="2" xfId="0" applyNumberFormat="1" applyFont="1" applyFill="1" applyBorder="1" applyAlignment="1" applyProtection="1">
      <alignment horizontal="center" vertical="center"/>
      <protection hidden="1"/>
    </xf>
    <xf numFmtId="0" fontId="5" fillId="7" borderId="2" xfId="0" applyFont="1" applyFill="1" applyBorder="1" applyAlignment="1" applyProtection="1">
      <alignment horizontal="center" vertical="center"/>
      <protection hidden="1"/>
    </xf>
    <xf numFmtId="0" fontId="5" fillId="6" borderId="20" xfId="0" applyFont="1" applyFill="1" applyBorder="1" applyAlignment="1" applyProtection="1">
      <alignment horizontal="center" vertical="center"/>
      <protection hidden="1"/>
    </xf>
    <xf numFmtId="1" fontId="5" fillId="7" borderId="20" xfId="0" applyNumberFormat="1" applyFont="1" applyFill="1" applyBorder="1" applyAlignment="1" applyProtection="1">
      <alignment horizontal="center" vertical="center"/>
      <protection hidden="1"/>
    </xf>
    <xf numFmtId="0" fontId="25" fillId="8" borderId="8" xfId="0" applyFont="1" applyFill="1" applyBorder="1" applyAlignment="1" applyProtection="1">
      <alignment horizontal="center" vertical="center"/>
      <protection hidden="1"/>
    </xf>
    <xf numFmtId="0" fontId="9" fillId="6" borderId="43" xfId="0" applyFont="1" applyFill="1" applyBorder="1" applyAlignment="1" applyProtection="1">
      <alignment horizontal="center" vertical="center" wrapText="1"/>
      <protection hidden="1"/>
    </xf>
    <xf numFmtId="0" fontId="25" fillId="6" borderId="48" xfId="0" applyFont="1" applyFill="1" applyBorder="1" applyProtection="1">
      <protection hidden="1"/>
    </xf>
    <xf numFmtId="167" fontId="25" fillId="6" borderId="48" xfId="0" applyNumberFormat="1" applyFont="1" applyFill="1" applyBorder="1" applyAlignment="1" applyProtection="1">
      <alignment horizontal="center" vertical="center"/>
      <protection hidden="1"/>
    </xf>
    <xf numFmtId="0" fontId="25" fillId="8" borderId="48" xfId="0" applyFont="1" applyFill="1" applyBorder="1" applyAlignment="1" applyProtection="1">
      <alignment horizontal="center" vertical="center"/>
      <protection hidden="1"/>
    </xf>
    <xf numFmtId="0" fontId="25" fillId="8" borderId="15" xfId="0" applyFont="1" applyFill="1" applyBorder="1" applyAlignment="1" applyProtection="1">
      <alignment horizontal="center" vertical="center" wrapText="1"/>
      <protection hidden="1"/>
    </xf>
    <xf numFmtId="0" fontId="25" fillId="8" borderId="16" xfId="0" applyFont="1" applyFill="1" applyBorder="1" applyAlignment="1" applyProtection="1">
      <alignment horizontal="center" vertical="center" wrapText="1"/>
      <protection hidden="1"/>
    </xf>
    <xf numFmtId="0" fontId="9" fillId="8" borderId="43" xfId="0" applyFont="1" applyFill="1" applyBorder="1" applyAlignment="1" applyProtection="1">
      <alignment horizontal="center" vertical="center" wrapText="1"/>
      <protection hidden="1"/>
    </xf>
    <xf numFmtId="0" fontId="25" fillId="8" borderId="48" xfId="0" applyFont="1" applyFill="1" applyBorder="1" applyProtection="1">
      <protection hidden="1"/>
    </xf>
    <xf numFmtId="167" fontId="5" fillId="8" borderId="48" xfId="0" applyNumberFormat="1" applyFont="1" applyFill="1" applyBorder="1" applyAlignment="1" applyProtection="1">
      <alignment horizontal="center" vertical="center"/>
      <protection hidden="1"/>
    </xf>
    <xf numFmtId="0" fontId="5" fillId="8" borderId="55" xfId="0" applyFont="1" applyFill="1" applyBorder="1" applyAlignment="1" applyProtection="1">
      <alignment horizontal="center" vertical="center"/>
      <protection hidden="1"/>
    </xf>
    <xf numFmtId="0" fontId="25" fillId="9" borderId="16" xfId="0" applyFont="1" applyFill="1" applyBorder="1" applyAlignment="1" applyProtection="1">
      <alignment wrapText="1"/>
      <protection hidden="1"/>
    </xf>
    <xf numFmtId="165" fontId="25" fillId="8" borderId="22" xfId="0" applyNumberFormat="1" applyFont="1" applyFill="1" applyBorder="1" applyAlignment="1" applyProtection="1">
      <alignment horizontal="center" vertical="center"/>
      <protection hidden="1"/>
    </xf>
    <xf numFmtId="0" fontId="25" fillId="9" borderId="44" xfId="0" applyFont="1" applyFill="1" applyBorder="1" applyAlignment="1" applyProtection="1">
      <alignment horizontal="center" vertical="center"/>
      <protection hidden="1"/>
    </xf>
    <xf numFmtId="0" fontId="25" fillId="9" borderId="16" xfId="0" applyFont="1" applyFill="1" applyBorder="1" applyAlignment="1" applyProtection="1">
      <alignment vertical="center" wrapText="1"/>
      <protection hidden="1"/>
    </xf>
    <xf numFmtId="0" fontId="25" fillId="9" borderId="35" xfId="0" applyFont="1" applyFill="1" applyBorder="1" applyAlignment="1" applyProtection="1">
      <alignment horizontal="center" vertical="center"/>
      <protection hidden="1"/>
    </xf>
    <xf numFmtId="0" fontId="49" fillId="0" borderId="0" xfId="0" applyFont="1" applyProtection="1">
      <protection hidden="1"/>
    </xf>
    <xf numFmtId="0" fontId="16" fillId="3" borderId="25" xfId="0" applyFont="1" applyFill="1" applyBorder="1" applyAlignment="1" applyProtection="1">
      <alignment vertical="center" wrapText="1"/>
      <protection hidden="1"/>
    </xf>
    <xf numFmtId="0" fontId="16" fillId="3" borderId="24" xfId="0" applyFont="1" applyFill="1" applyBorder="1" applyAlignment="1" applyProtection="1">
      <alignment vertical="center" wrapText="1"/>
      <protection hidden="1"/>
    </xf>
    <xf numFmtId="166" fontId="9" fillId="8" borderId="32" xfId="0" applyNumberFormat="1" applyFont="1" applyFill="1" applyBorder="1" applyAlignment="1" applyProtection="1">
      <alignment horizontal="center" vertical="center" wrapText="1"/>
      <protection hidden="1"/>
    </xf>
    <xf numFmtId="0" fontId="9" fillId="8" borderId="32" xfId="0" applyFont="1" applyFill="1" applyBorder="1" applyAlignment="1" applyProtection="1">
      <alignment horizontal="center" vertical="center"/>
      <protection hidden="1"/>
    </xf>
    <xf numFmtId="0" fontId="35" fillId="8" borderId="32" xfId="0" applyFont="1" applyFill="1" applyBorder="1" applyAlignment="1" applyProtection="1">
      <alignment horizontal="center" vertical="center"/>
      <protection hidden="1"/>
    </xf>
    <xf numFmtId="165" fontId="5" fillId="6" borderId="3" xfId="0" applyNumberFormat="1" applyFont="1" applyFill="1" applyBorder="1" applyAlignment="1" applyProtection="1">
      <alignment horizontal="center" vertical="center"/>
      <protection hidden="1"/>
    </xf>
    <xf numFmtId="165" fontId="5" fillId="8" borderId="2" xfId="0" applyNumberFormat="1" applyFont="1" applyFill="1" applyBorder="1" applyAlignment="1" applyProtection="1">
      <alignment horizontal="center" vertical="center"/>
      <protection hidden="1"/>
    </xf>
    <xf numFmtId="165" fontId="5" fillId="6" borderId="2" xfId="0" applyNumberFormat="1" applyFont="1" applyFill="1" applyBorder="1" applyAlignment="1" applyProtection="1">
      <alignment horizontal="center" vertical="center"/>
      <protection hidden="1"/>
    </xf>
    <xf numFmtId="165" fontId="25" fillId="8" borderId="2" xfId="0" applyNumberFormat="1" applyFont="1" applyFill="1" applyBorder="1" applyAlignment="1" applyProtection="1">
      <alignment horizontal="center" vertical="center"/>
      <protection hidden="1"/>
    </xf>
    <xf numFmtId="2" fontId="25" fillId="8" borderId="2" xfId="0" applyNumberFormat="1" applyFont="1" applyFill="1" applyBorder="1" applyAlignment="1" applyProtection="1">
      <alignment horizontal="center" vertical="center"/>
      <protection hidden="1"/>
    </xf>
    <xf numFmtId="165" fontId="5" fillId="8" borderId="12" xfId="0" applyNumberFormat="1" applyFont="1" applyFill="1" applyBorder="1" applyAlignment="1" applyProtection="1">
      <alignment horizontal="center" vertical="center"/>
      <protection hidden="1"/>
    </xf>
    <xf numFmtId="165" fontId="5" fillId="8" borderId="5" xfId="0" applyNumberFormat="1" applyFont="1" applyFill="1" applyBorder="1" applyAlignment="1" applyProtection="1">
      <alignment horizontal="center" vertical="center"/>
      <protection hidden="1"/>
    </xf>
    <xf numFmtId="165" fontId="25" fillId="8" borderId="5" xfId="0" applyNumberFormat="1" applyFont="1" applyFill="1" applyBorder="1" applyAlignment="1" applyProtection="1">
      <alignment horizontal="center" vertical="center"/>
      <protection hidden="1"/>
    </xf>
    <xf numFmtId="167" fontId="25" fillId="8" borderId="5" xfId="0" applyNumberFormat="1" applyFont="1" applyFill="1" applyBorder="1" applyAlignment="1" applyProtection="1">
      <alignment horizontal="center" vertical="center"/>
      <protection hidden="1"/>
    </xf>
    <xf numFmtId="167" fontId="5" fillId="8" borderId="5" xfId="0" applyNumberFormat="1" applyFont="1" applyFill="1" applyBorder="1" applyAlignment="1" applyProtection="1">
      <alignment horizontal="center" vertical="center"/>
      <protection hidden="1"/>
    </xf>
    <xf numFmtId="165" fontId="5" fillId="3" borderId="0" xfId="0" applyNumberFormat="1" applyFont="1" applyFill="1" applyAlignment="1" applyProtection="1">
      <alignment horizontal="center" vertical="center" wrapText="1"/>
      <protection hidden="1"/>
    </xf>
    <xf numFmtId="0" fontId="57" fillId="0" borderId="0" xfId="0" applyFont="1" applyAlignment="1" applyProtection="1">
      <alignment vertical="center"/>
      <protection hidden="1"/>
    </xf>
    <xf numFmtId="0" fontId="25" fillId="6" borderId="51" xfId="0" applyFont="1" applyFill="1" applyBorder="1" applyAlignment="1" applyProtection="1">
      <alignment horizontal="center" vertical="center" wrapText="1"/>
      <protection hidden="1"/>
    </xf>
    <xf numFmtId="0" fontId="5" fillId="6" borderId="62" xfId="0" applyFont="1" applyFill="1" applyBorder="1" applyAlignment="1" applyProtection="1">
      <alignment horizontal="center" vertical="center"/>
      <protection hidden="1"/>
    </xf>
    <xf numFmtId="0" fontId="25" fillId="6" borderId="7" xfId="0" applyFont="1" applyFill="1" applyBorder="1" applyAlignment="1" applyProtection="1">
      <alignment horizontal="center" vertical="center"/>
      <protection hidden="1"/>
    </xf>
    <xf numFmtId="167" fontId="25" fillId="6" borderId="23" xfId="0" applyNumberFormat="1" applyFont="1" applyFill="1" applyBorder="1" applyAlignment="1" applyProtection="1">
      <alignment horizontal="center" vertical="center"/>
      <protection hidden="1"/>
    </xf>
    <xf numFmtId="168" fontId="39" fillId="8" borderId="13" xfId="0" applyNumberFormat="1" applyFont="1" applyFill="1" applyBorder="1" applyAlignment="1" applyProtection="1">
      <alignment horizontal="center" vertical="center"/>
      <protection hidden="1"/>
    </xf>
    <xf numFmtId="0" fontId="25" fillId="8" borderId="35" xfId="0" applyFont="1" applyFill="1" applyBorder="1" applyAlignment="1" applyProtection="1">
      <alignment horizontal="center" vertical="center"/>
      <protection hidden="1"/>
    </xf>
    <xf numFmtId="0" fontId="5" fillId="6" borderId="37" xfId="0" applyFont="1" applyFill="1" applyBorder="1" applyAlignment="1" applyProtection="1">
      <alignment horizontal="center" vertical="center"/>
      <protection hidden="1"/>
    </xf>
    <xf numFmtId="0" fontId="5" fillId="6" borderId="4" xfId="0" applyFont="1" applyFill="1" applyBorder="1" applyAlignment="1" applyProtection="1">
      <alignment horizontal="center" vertical="center"/>
      <protection hidden="1"/>
    </xf>
    <xf numFmtId="11" fontId="5" fillId="6" borderId="4" xfId="0" applyNumberFormat="1" applyFont="1" applyFill="1" applyBorder="1" applyAlignment="1" applyProtection="1">
      <alignment horizontal="center" vertical="center"/>
      <protection hidden="1"/>
    </xf>
    <xf numFmtId="11" fontId="25" fillId="6" borderId="4" xfId="0" applyNumberFormat="1" applyFont="1" applyFill="1" applyBorder="1" applyAlignment="1" applyProtection="1">
      <alignment horizontal="center" vertical="center"/>
      <protection hidden="1"/>
    </xf>
    <xf numFmtId="0" fontId="35" fillId="8" borderId="22" xfId="0" applyFont="1" applyFill="1" applyBorder="1" applyAlignment="1" applyProtection="1">
      <alignment horizontal="center" vertical="center"/>
      <protection hidden="1"/>
    </xf>
    <xf numFmtId="2" fontId="25" fillId="8" borderId="5" xfId="0" applyNumberFormat="1" applyFont="1" applyFill="1" applyBorder="1" applyAlignment="1" applyProtection="1">
      <alignment horizontal="center" vertical="center"/>
      <protection hidden="1"/>
    </xf>
    <xf numFmtId="167" fontId="5" fillId="6" borderId="11" xfId="0" applyNumberFormat="1" applyFont="1" applyFill="1" applyBorder="1" applyAlignment="1" applyProtection="1">
      <alignment horizontal="center" vertical="center"/>
      <protection hidden="1"/>
    </xf>
    <xf numFmtId="167" fontId="5" fillId="6" borderId="3" xfId="0" applyNumberFormat="1" applyFont="1" applyFill="1" applyBorder="1" applyAlignment="1" applyProtection="1">
      <alignment horizontal="center" vertical="center"/>
      <protection hidden="1"/>
    </xf>
    <xf numFmtId="167" fontId="5" fillId="6" borderId="12" xfId="0" applyNumberFormat="1" applyFont="1" applyFill="1" applyBorder="1" applyAlignment="1" applyProtection="1">
      <alignment horizontal="center" vertical="center"/>
      <protection hidden="1"/>
    </xf>
    <xf numFmtId="165" fontId="5" fillId="6" borderId="40" xfId="0" applyNumberFormat="1" applyFont="1" applyFill="1" applyBorder="1" applyAlignment="1" applyProtection="1">
      <alignment horizontal="center" vertical="center"/>
      <protection hidden="1"/>
    </xf>
    <xf numFmtId="165" fontId="5" fillId="6" borderId="32" xfId="0" applyNumberFormat="1" applyFont="1" applyFill="1" applyBorder="1" applyAlignment="1" applyProtection="1">
      <alignment horizontal="center" vertical="center"/>
      <protection hidden="1"/>
    </xf>
    <xf numFmtId="165" fontId="5" fillId="6" borderId="33" xfId="0" applyNumberFormat="1" applyFont="1" applyFill="1" applyBorder="1" applyAlignment="1" applyProtection="1">
      <alignment horizontal="center" vertical="center"/>
      <protection hidden="1"/>
    </xf>
    <xf numFmtId="165" fontId="5" fillId="6" borderId="19" xfId="0" applyNumberFormat="1" applyFont="1" applyFill="1" applyBorder="1" applyAlignment="1" applyProtection="1">
      <alignment horizontal="center" vertical="center"/>
      <protection hidden="1"/>
    </xf>
    <xf numFmtId="165" fontId="5" fillId="6" borderId="10" xfId="0" applyNumberFormat="1" applyFont="1" applyFill="1" applyBorder="1" applyAlignment="1" applyProtection="1">
      <alignment horizontal="center" vertical="center"/>
      <protection hidden="1"/>
    </xf>
    <xf numFmtId="165" fontId="5" fillId="6" borderId="37" xfId="0" applyNumberFormat="1" applyFont="1" applyFill="1" applyBorder="1" applyAlignment="1" applyProtection="1">
      <alignment horizontal="center" vertical="center"/>
      <protection hidden="1"/>
    </xf>
    <xf numFmtId="165" fontId="5" fillId="6" borderId="5" xfId="0" applyNumberFormat="1" applyFont="1" applyFill="1" applyBorder="1" applyAlignment="1" applyProtection="1">
      <alignment horizontal="center" vertical="center"/>
      <protection hidden="1"/>
    </xf>
    <xf numFmtId="165" fontId="5" fillId="6" borderId="6" xfId="0" applyNumberFormat="1" applyFont="1" applyFill="1" applyBorder="1" applyAlignment="1" applyProtection="1">
      <alignment horizontal="center" vertical="center"/>
      <protection hidden="1"/>
    </xf>
    <xf numFmtId="165" fontId="25" fillId="6" borderId="16" xfId="0" applyNumberFormat="1" applyFont="1" applyFill="1" applyBorder="1" applyAlignment="1" applyProtection="1">
      <alignment horizontal="center" vertical="center"/>
      <protection hidden="1"/>
    </xf>
    <xf numFmtId="165" fontId="5" fillId="6" borderId="4" xfId="0" applyNumberFormat="1" applyFont="1" applyFill="1" applyBorder="1" applyAlignment="1" applyProtection="1">
      <alignment horizontal="center" vertical="center"/>
      <protection hidden="1"/>
    </xf>
    <xf numFmtId="168" fontId="25" fillId="8" borderId="5" xfId="0" applyNumberFormat="1" applyFont="1" applyFill="1" applyBorder="1" applyAlignment="1" applyProtection="1">
      <alignment horizontal="center" vertical="center"/>
      <protection hidden="1"/>
    </xf>
    <xf numFmtId="186" fontId="25" fillId="6" borderId="23" xfId="0" applyNumberFormat="1" applyFont="1" applyFill="1" applyBorder="1" applyAlignment="1" applyProtection="1">
      <alignment horizontal="center" vertical="center"/>
      <protection hidden="1"/>
    </xf>
    <xf numFmtId="0" fontId="17" fillId="3" borderId="25" xfId="0" applyFont="1" applyFill="1" applyBorder="1" applyAlignment="1" applyProtection="1">
      <alignment horizontal="center" vertical="center"/>
      <protection hidden="1"/>
    </xf>
    <xf numFmtId="0" fontId="17" fillId="3" borderId="26" xfId="0" applyFont="1" applyFill="1" applyBorder="1" applyAlignment="1" applyProtection="1">
      <alignment horizontal="center" vertical="center"/>
      <protection hidden="1"/>
    </xf>
    <xf numFmtId="0" fontId="17" fillId="3" borderId="24" xfId="0" applyFont="1" applyFill="1" applyBorder="1" applyAlignment="1" applyProtection="1">
      <alignment horizontal="center" vertical="center"/>
      <protection hidden="1"/>
    </xf>
    <xf numFmtId="0" fontId="16" fillId="3" borderId="28" xfId="0" applyFont="1" applyFill="1" applyBorder="1" applyProtection="1">
      <protection hidden="1"/>
    </xf>
    <xf numFmtId="164" fontId="6" fillId="3" borderId="0" xfId="0" applyNumberFormat="1" applyFont="1" applyFill="1" applyProtection="1">
      <protection hidden="1"/>
    </xf>
    <xf numFmtId="186" fontId="25" fillId="8" borderId="5" xfId="0" applyNumberFormat="1" applyFont="1" applyFill="1" applyBorder="1" applyAlignment="1" applyProtection="1">
      <alignment horizontal="center" vertical="center"/>
      <protection hidden="1"/>
    </xf>
    <xf numFmtId="0" fontId="9" fillId="6" borderId="7" xfId="0" applyFont="1" applyFill="1" applyBorder="1" applyAlignment="1" applyProtection="1">
      <alignment horizontal="left" vertical="center" wrapText="1"/>
      <protection hidden="1"/>
    </xf>
    <xf numFmtId="0" fontId="32" fillId="9" borderId="8" xfId="0" applyFont="1" applyFill="1" applyBorder="1" applyAlignment="1" applyProtection="1">
      <alignment horizontal="center" vertical="center" wrapText="1"/>
      <protection hidden="1"/>
    </xf>
    <xf numFmtId="0" fontId="9" fillId="6" borderId="8" xfId="0" applyFont="1" applyFill="1" applyBorder="1" applyAlignment="1" applyProtection="1">
      <alignment horizontal="left" vertical="center" wrapText="1"/>
      <protection hidden="1"/>
    </xf>
    <xf numFmtId="1" fontId="32" fillId="9" borderId="8" xfId="0" applyNumberFormat="1" applyFont="1" applyFill="1" applyBorder="1" applyAlignment="1" applyProtection="1">
      <alignment horizontal="center" vertical="center" wrapText="1"/>
      <protection hidden="1"/>
    </xf>
    <xf numFmtId="0" fontId="40" fillId="6" borderId="8" xfId="0" applyFont="1" applyFill="1" applyBorder="1" applyAlignment="1" applyProtection="1">
      <alignment horizontal="left" vertical="center" wrapText="1"/>
      <protection hidden="1"/>
    </xf>
    <xf numFmtId="0" fontId="25" fillId="6" borderId="11" xfId="0" applyFont="1" applyFill="1" applyBorder="1" applyAlignment="1" applyProtection="1">
      <alignment horizontal="center" vertical="center"/>
      <protection hidden="1"/>
    </xf>
    <xf numFmtId="1" fontId="6" fillId="9" borderId="2" xfId="0" applyNumberFormat="1" applyFont="1" applyFill="1" applyBorder="1" applyAlignment="1" applyProtection="1">
      <alignment horizontal="center" vertical="center"/>
      <protection hidden="1"/>
    </xf>
    <xf numFmtId="0" fontId="25" fillId="6" borderId="2" xfId="0" applyFont="1" applyFill="1" applyBorder="1" applyAlignment="1" applyProtection="1">
      <alignment horizontal="center" vertical="center"/>
      <protection hidden="1"/>
    </xf>
    <xf numFmtId="0" fontId="25" fillId="6" borderId="5" xfId="0" applyFont="1" applyFill="1" applyBorder="1" applyAlignment="1" applyProtection="1">
      <alignment horizontal="center" vertical="center"/>
      <protection hidden="1"/>
    </xf>
    <xf numFmtId="2" fontId="7" fillId="0" borderId="0" xfId="0" applyNumberFormat="1" applyFont="1" applyAlignment="1" applyProtection="1">
      <alignment horizontal="center" vertical="center"/>
      <protection hidden="1"/>
    </xf>
    <xf numFmtId="2" fontId="16" fillId="3" borderId="0" xfId="0" applyNumberFormat="1" applyFont="1" applyFill="1" applyAlignment="1" applyProtection="1">
      <alignment horizontal="center" vertical="center"/>
      <protection hidden="1"/>
    </xf>
    <xf numFmtId="9" fontId="7" fillId="0" borderId="0" xfId="7" applyFont="1" applyFill="1" applyAlignment="1" applyProtection="1">
      <alignment horizontal="center" vertical="center"/>
      <protection hidden="1"/>
    </xf>
    <xf numFmtId="165" fontId="5" fillId="8" borderId="48" xfId="0" applyNumberFormat="1" applyFont="1" applyFill="1" applyBorder="1" applyAlignment="1" applyProtection="1">
      <alignment horizontal="center" vertical="center"/>
      <protection hidden="1"/>
    </xf>
    <xf numFmtId="1" fontId="5" fillId="6" borderId="3" xfId="0" applyNumberFormat="1" applyFont="1" applyFill="1" applyBorder="1" applyAlignment="1" applyProtection="1">
      <alignment horizontal="center" vertical="center"/>
      <protection hidden="1"/>
    </xf>
    <xf numFmtId="166" fontId="25" fillId="8" borderId="2" xfId="0" applyNumberFormat="1" applyFont="1" applyFill="1" applyBorder="1" applyAlignment="1" applyProtection="1">
      <alignment horizontal="center" vertical="center"/>
      <protection hidden="1"/>
    </xf>
    <xf numFmtId="1" fontId="5" fillId="8" borderId="12" xfId="0" applyNumberFormat="1" applyFont="1" applyFill="1" applyBorder="1" applyAlignment="1" applyProtection="1">
      <alignment horizontal="center" vertical="center"/>
      <protection hidden="1"/>
    </xf>
    <xf numFmtId="166" fontId="25" fillId="8" borderId="5" xfId="0" applyNumberFormat="1" applyFont="1" applyFill="1" applyBorder="1" applyAlignment="1" applyProtection="1">
      <alignment horizontal="center" vertical="center"/>
      <protection hidden="1"/>
    </xf>
    <xf numFmtId="2" fontId="5" fillId="6" borderId="40" xfId="0" applyNumberFormat="1" applyFont="1" applyFill="1" applyBorder="1" applyAlignment="1" applyProtection="1">
      <alignment horizontal="center" vertical="center"/>
      <protection hidden="1"/>
    </xf>
    <xf numFmtId="2" fontId="5" fillId="6" borderId="32" xfId="0" applyNumberFormat="1" applyFont="1" applyFill="1" applyBorder="1" applyAlignment="1" applyProtection="1">
      <alignment horizontal="center" vertical="center"/>
      <protection hidden="1"/>
    </xf>
    <xf numFmtId="2" fontId="5" fillId="6" borderId="33" xfId="0" applyNumberFormat="1" applyFont="1" applyFill="1" applyBorder="1" applyAlignment="1" applyProtection="1">
      <alignment horizontal="center" vertical="center"/>
      <protection hidden="1"/>
    </xf>
    <xf numFmtId="2" fontId="5" fillId="6" borderId="19" xfId="0" applyNumberFormat="1" applyFont="1" applyFill="1" applyBorder="1" applyAlignment="1" applyProtection="1">
      <alignment horizontal="center" vertical="center"/>
      <protection hidden="1"/>
    </xf>
    <xf numFmtId="2" fontId="5" fillId="6" borderId="2" xfId="0" applyNumberFormat="1" applyFont="1" applyFill="1" applyBorder="1" applyAlignment="1" applyProtection="1">
      <alignment horizontal="center" vertical="center"/>
      <protection hidden="1"/>
    </xf>
    <xf numFmtId="2" fontId="5" fillId="6" borderId="10" xfId="0" applyNumberFormat="1" applyFont="1" applyFill="1" applyBorder="1" applyAlignment="1" applyProtection="1">
      <alignment horizontal="center" vertical="center"/>
      <protection hidden="1"/>
    </xf>
    <xf numFmtId="2" fontId="5" fillId="6" borderId="37" xfId="0" applyNumberFormat="1" applyFont="1" applyFill="1" applyBorder="1" applyAlignment="1" applyProtection="1">
      <alignment horizontal="center" vertical="center"/>
      <protection hidden="1"/>
    </xf>
    <xf numFmtId="2" fontId="5" fillId="6" borderId="5" xfId="0" applyNumberFormat="1" applyFont="1" applyFill="1" applyBorder="1" applyAlignment="1" applyProtection="1">
      <alignment horizontal="center" vertical="center"/>
      <protection hidden="1"/>
    </xf>
    <xf numFmtId="2" fontId="5" fillId="6" borderId="6" xfId="0" applyNumberFormat="1" applyFont="1" applyFill="1" applyBorder="1" applyAlignment="1" applyProtection="1">
      <alignment horizontal="center" vertical="center"/>
      <protection hidden="1"/>
    </xf>
    <xf numFmtId="2" fontId="25" fillId="6" borderId="16" xfId="0" applyNumberFormat="1" applyFont="1" applyFill="1" applyBorder="1" applyAlignment="1" applyProtection="1">
      <alignment horizontal="center" vertical="center"/>
      <protection hidden="1"/>
    </xf>
    <xf numFmtId="2" fontId="25" fillId="6" borderId="23" xfId="0" applyNumberFormat="1" applyFont="1" applyFill="1" applyBorder="1" applyAlignment="1" applyProtection="1">
      <alignment horizontal="center" vertical="center"/>
      <protection hidden="1"/>
    </xf>
    <xf numFmtId="1" fontId="25" fillId="6" borderId="2" xfId="0" applyNumberFormat="1" applyFont="1" applyFill="1" applyBorder="1" applyAlignment="1" applyProtection="1">
      <alignment horizontal="center" vertical="center"/>
      <protection hidden="1"/>
    </xf>
    <xf numFmtId="0" fontId="25" fillId="8" borderId="7" xfId="0" applyFont="1" applyFill="1" applyBorder="1" applyAlignment="1" applyProtection="1">
      <alignment horizontal="center" vertical="center" wrapText="1"/>
      <protection hidden="1"/>
    </xf>
    <xf numFmtId="0" fontId="25" fillId="8" borderId="9" xfId="0" applyFont="1" applyFill="1" applyBorder="1" applyAlignment="1" applyProtection="1">
      <alignment horizontal="center" vertical="center" wrapText="1"/>
      <protection hidden="1"/>
    </xf>
    <xf numFmtId="187" fontId="25" fillId="8" borderId="5" xfId="9" applyNumberFormat="1" applyFont="1" applyFill="1" applyBorder="1" applyAlignment="1" applyProtection="1">
      <alignment horizontal="center" vertical="center"/>
      <protection hidden="1"/>
    </xf>
    <xf numFmtId="165" fontId="5" fillId="6" borderId="11" xfId="0" applyNumberFormat="1" applyFont="1" applyFill="1" applyBorder="1" applyAlignment="1" applyProtection="1">
      <alignment horizontal="center" vertical="center"/>
      <protection hidden="1"/>
    </xf>
    <xf numFmtId="165" fontId="5" fillId="6" borderId="12" xfId="0" applyNumberFormat="1" applyFont="1" applyFill="1" applyBorder="1" applyAlignment="1" applyProtection="1">
      <alignment horizontal="center" vertical="center"/>
      <protection hidden="1"/>
    </xf>
    <xf numFmtId="2" fontId="41" fillId="8" borderId="22" xfId="0" applyNumberFormat="1" applyFont="1" applyFill="1" applyBorder="1" applyAlignment="1" applyProtection="1">
      <alignment horizontal="center" vertical="center"/>
      <protection hidden="1"/>
    </xf>
    <xf numFmtId="9" fontId="25" fillId="8" borderId="16" xfId="7" applyFont="1" applyFill="1" applyBorder="1" applyAlignment="1" applyProtection="1">
      <alignment horizontal="center" vertical="center"/>
      <protection hidden="1"/>
    </xf>
    <xf numFmtId="167" fontId="25" fillId="8" borderId="48" xfId="0" applyNumberFormat="1" applyFont="1" applyFill="1" applyBorder="1" applyAlignment="1" applyProtection="1">
      <alignment horizontal="center" vertical="center"/>
      <protection hidden="1"/>
    </xf>
    <xf numFmtId="0" fontId="25" fillId="8" borderId="55" xfId="0" applyFont="1" applyFill="1" applyBorder="1" applyAlignment="1" applyProtection="1">
      <alignment horizontal="center" vertical="center"/>
      <protection hidden="1"/>
    </xf>
    <xf numFmtId="1" fontId="5" fillId="31" borderId="16" xfId="2" applyNumberFormat="1" applyFill="1" applyBorder="1" applyAlignment="1">
      <alignment horizontal="center" vertical="center"/>
      <protection hidden="1"/>
    </xf>
    <xf numFmtId="165" fontId="25" fillId="6" borderId="23" xfId="0" applyNumberFormat="1" applyFont="1" applyFill="1" applyBorder="1" applyAlignment="1" applyProtection="1">
      <alignment horizontal="center" vertical="center"/>
      <protection hidden="1"/>
    </xf>
    <xf numFmtId="165" fontId="5" fillId="6" borderId="36" xfId="0" applyNumberFormat="1" applyFont="1" applyFill="1" applyBorder="1" applyAlignment="1" applyProtection="1">
      <alignment horizontal="center" vertical="center"/>
      <protection hidden="1"/>
    </xf>
    <xf numFmtId="0" fontId="35" fillId="8" borderId="30" xfId="0" applyFont="1" applyFill="1" applyBorder="1" applyAlignment="1" applyProtection="1">
      <alignment horizontal="center" vertical="center"/>
      <protection hidden="1"/>
    </xf>
    <xf numFmtId="167" fontId="25" fillId="6" borderId="8" xfId="0" applyNumberFormat="1" applyFont="1" applyFill="1" applyBorder="1" applyAlignment="1" applyProtection="1">
      <alignment horizontal="center" vertical="center"/>
      <protection hidden="1"/>
    </xf>
    <xf numFmtId="9" fontId="16" fillId="0" borderId="0" xfId="7" applyFont="1" applyFill="1" applyProtection="1">
      <protection hidden="1"/>
    </xf>
    <xf numFmtId="185" fontId="37" fillId="9" borderId="49" xfId="0" applyNumberFormat="1" applyFont="1" applyFill="1" applyBorder="1" applyAlignment="1">
      <alignment horizontal="center" vertical="center"/>
    </xf>
    <xf numFmtId="185" fontId="37" fillId="9" borderId="5" xfId="0" applyNumberFormat="1" applyFont="1" applyFill="1" applyBorder="1" applyAlignment="1">
      <alignment horizontal="center" vertical="center"/>
    </xf>
    <xf numFmtId="0" fontId="37" fillId="26" borderId="38" xfId="0" applyFont="1" applyFill="1" applyBorder="1" applyAlignment="1">
      <alignment vertical="center" wrapText="1"/>
    </xf>
    <xf numFmtId="0" fontId="35" fillId="0" borderId="2" xfId="0" applyFont="1" applyBorder="1" applyAlignment="1" applyProtection="1">
      <alignment horizontal="center" vertical="center"/>
      <protection hidden="1"/>
    </xf>
    <xf numFmtId="0" fontId="37" fillId="9" borderId="5" xfId="0" applyFont="1" applyFill="1" applyBorder="1" applyAlignment="1">
      <alignment horizontal="center" vertical="center" wrapText="1"/>
    </xf>
    <xf numFmtId="185" fontId="37" fillId="30" borderId="5" xfId="0" applyNumberFormat="1" applyFont="1" applyFill="1" applyBorder="1" applyAlignment="1">
      <alignment horizontal="center" vertical="center" wrapText="1"/>
    </xf>
    <xf numFmtId="0" fontId="37" fillId="9" borderId="6" xfId="0" applyFont="1" applyFill="1" applyBorder="1" applyAlignment="1">
      <alignment horizontal="center" vertical="center" wrapText="1"/>
    </xf>
    <xf numFmtId="0" fontId="37" fillId="26" borderId="22" xfId="0" applyFont="1" applyFill="1" applyBorder="1" applyAlignment="1">
      <alignment horizontal="center" vertical="center" wrapText="1"/>
    </xf>
    <xf numFmtId="2" fontId="6" fillId="9" borderId="2" xfId="0" applyNumberFormat="1" applyFont="1" applyFill="1" applyBorder="1" applyAlignment="1" applyProtection="1">
      <alignment horizontal="center" vertical="center"/>
      <protection hidden="1"/>
    </xf>
    <xf numFmtId="165" fontId="5" fillId="7" borderId="20" xfId="0" applyNumberFormat="1" applyFont="1" applyFill="1" applyBorder="1" applyAlignment="1" applyProtection="1">
      <alignment horizontal="center" vertical="center"/>
      <protection hidden="1"/>
    </xf>
    <xf numFmtId="168" fontId="37" fillId="9" borderId="2" xfId="0" applyNumberFormat="1" applyFont="1" applyFill="1" applyBorder="1" applyAlignment="1">
      <alignment horizontal="center" vertical="center" wrapText="1"/>
    </xf>
    <xf numFmtId="168" fontId="37" fillId="9" borderId="32" xfId="0" applyNumberFormat="1" applyFont="1" applyFill="1" applyBorder="1" applyAlignment="1">
      <alignment horizontal="center" vertical="center" wrapText="1"/>
    </xf>
    <xf numFmtId="168" fontId="37" fillId="9" borderId="5" xfId="0" applyNumberFormat="1" applyFont="1" applyFill="1" applyBorder="1" applyAlignment="1">
      <alignment horizontal="center" vertical="center" wrapText="1"/>
    </xf>
    <xf numFmtId="0" fontId="6" fillId="9" borderId="74" xfId="0" applyFont="1" applyFill="1" applyBorder="1" applyAlignment="1">
      <alignment horizontal="center" vertical="center"/>
    </xf>
    <xf numFmtId="165" fontId="37" fillId="9" borderId="32" xfId="0" applyNumberFormat="1" applyFont="1" applyFill="1" applyBorder="1" applyAlignment="1">
      <alignment horizontal="center" vertical="center" wrapText="1"/>
    </xf>
    <xf numFmtId="165" fontId="37" fillId="9" borderId="2" xfId="0" applyNumberFormat="1" applyFont="1" applyFill="1" applyBorder="1" applyAlignment="1">
      <alignment horizontal="center" vertical="center" wrapText="1"/>
    </xf>
    <xf numFmtId="165" fontId="37" fillId="9" borderId="5" xfId="0" applyNumberFormat="1" applyFont="1" applyFill="1" applyBorder="1" applyAlignment="1">
      <alignment horizontal="center" vertical="center" wrapText="1"/>
    </xf>
    <xf numFmtId="192" fontId="6" fillId="9" borderId="2" xfId="0" applyNumberFormat="1" applyFont="1" applyFill="1" applyBorder="1" applyAlignment="1">
      <alignment horizontal="center" vertical="center"/>
    </xf>
    <xf numFmtId="1" fontId="41" fillId="8" borderId="50" xfId="0" applyNumberFormat="1" applyFont="1" applyFill="1" applyBorder="1" applyAlignment="1" applyProtection="1">
      <alignment horizontal="center" vertical="center"/>
      <protection hidden="1"/>
    </xf>
    <xf numFmtId="1" fontId="41" fillId="8" borderId="34" xfId="0" applyNumberFormat="1" applyFont="1" applyFill="1" applyBorder="1" applyAlignment="1" applyProtection="1">
      <alignment horizontal="center" vertical="center"/>
      <protection hidden="1"/>
    </xf>
    <xf numFmtId="1" fontId="41" fillId="8" borderId="10" xfId="0" applyNumberFormat="1" applyFont="1" applyFill="1" applyBorder="1" applyAlignment="1" applyProtection="1">
      <alignment horizontal="center" vertical="center"/>
      <protection hidden="1"/>
    </xf>
    <xf numFmtId="166" fontId="6" fillId="9" borderId="2" xfId="0" applyNumberFormat="1" applyFont="1" applyFill="1" applyBorder="1" applyAlignment="1" applyProtection="1">
      <alignment horizontal="center" vertical="center"/>
      <protection hidden="1"/>
    </xf>
    <xf numFmtId="165" fontId="25" fillId="8" borderId="8" xfId="0" applyNumberFormat="1" applyFont="1" applyFill="1" applyBorder="1" applyAlignment="1">
      <alignment horizontal="center" vertical="center"/>
    </xf>
    <xf numFmtId="9" fontId="41" fillId="8" borderId="22" xfId="7" applyFont="1" applyFill="1" applyBorder="1" applyAlignment="1">
      <alignment horizontal="center" vertical="center"/>
    </xf>
    <xf numFmtId="10" fontId="70" fillId="3" borderId="0" xfId="7" applyNumberFormat="1" applyFont="1" applyFill="1" applyAlignment="1">
      <alignment horizontal="center" vertical="center"/>
    </xf>
    <xf numFmtId="165" fontId="16" fillId="0" borderId="0" xfId="0" applyNumberFormat="1" applyFont="1" applyAlignment="1">
      <alignment horizontal="center" vertical="center"/>
    </xf>
    <xf numFmtId="0" fontId="37" fillId="9" borderId="58" xfId="0" applyFont="1" applyFill="1" applyBorder="1" applyAlignment="1">
      <alignment horizontal="center" vertical="center" wrapText="1"/>
    </xf>
    <xf numFmtId="0" fontId="37" fillId="9" borderId="20" xfId="0" applyFont="1" applyFill="1" applyBorder="1" applyAlignment="1">
      <alignment horizontal="center" vertical="center"/>
    </xf>
    <xf numFmtId="0" fontId="37" fillId="30" borderId="20" xfId="0" applyFont="1" applyFill="1" applyBorder="1" applyAlignment="1">
      <alignment horizontal="center" vertical="center"/>
    </xf>
    <xf numFmtId="164" fontId="37" fillId="30" borderId="20" xfId="0" applyNumberFormat="1" applyFont="1" applyFill="1" applyBorder="1" applyAlignment="1">
      <alignment horizontal="center" vertical="center"/>
    </xf>
    <xf numFmtId="165" fontId="37" fillId="9" borderId="20" xfId="0" applyNumberFormat="1" applyFont="1" applyFill="1" applyBorder="1" applyAlignment="1">
      <alignment horizontal="center" vertical="center" wrapText="1"/>
    </xf>
    <xf numFmtId="185" fontId="37" fillId="30" borderId="20" xfId="0" applyNumberFormat="1" applyFont="1" applyFill="1" applyBorder="1" applyAlignment="1">
      <alignment horizontal="center" vertical="center"/>
    </xf>
    <xf numFmtId="0" fontId="37" fillId="9" borderId="34" xfId="0" applyFont="1" applyFill="1" applyBorder="1" applyAlignment="1">
      <alignment horizontal="center" vertical="center"/>
    </xf>
    <xf numFmtId="1" fontId="37" fillId="9" borderId="1" xfId="0" applyNumberFormat="1" applyFont="1" applyFill="1" applyBorder="1" applyAlignment="1">
      <alignment horizontal="center" vertical="center"/>
    </xf>
    <xf numFmtId="165" fontId="37" fillId="30" borderId="1" xfId="0" applyNumberFormat="1" applyFont="1" applyFill="1" applyBorder="1" applyAlignment="1">
      <alignment horizontal="center" vertical="center"/>
    </xf>
    <xf numFmtId="165" fontId="37" fillId="9" borderId="1" xfId="0" applyNumberFormat="1" applyFont="1" applyFill="1" applyBorder="1" applyAlignment="1">
      <alignment horizontal="center" vertical="center" wrapText="1"/>
    </xf>
    <xf numFmtId="0" fontId="37" fillId="9" borderId="50" xfId="0" applyFont="1" applyFill="1" applyBorder="1" applyAlignment="1">
      <alignment horizontal="center" vertical="center"/>
    </xf>
    <xf numFmtId="2" fontId="25" fillId="8" borderId="52" xfId="0" applyNumberFormat="1" applyFont="1" applyFill="1" applyBorder="1" applyAlignment="1" applyProtection="1">
      <alignment horizontal="center" vertical="center"/>
      <protection hidden="1"/>
    </xf>
    <xf numFmtId="2" fontId="25" fillId="8" borderId="55" xfId="0" applyNumberFormat="1" applyFont="1" applyFill="1" applyBorder="1" applyAlignment="1" applyProtection="1">
      <alignment horizontal="center" vertical="center"/>
      <protection hidden="1"/>
    </xf>
    <xf numFmtId="1" fontId="41" fillId="8" borderId="9" xfId="0" applyNumberFormat="1" applyFont="1" applyFill="1" applyBorder="1" applyAlignment="1" applyProtection="1">
      <alignment horizontal="center" vertical="center"/>
      <protection hidden="1"/>
    </xf>
    <xf numFmtId="9" fontId="41" fillId="8" borderId="22" xfId="7" applyFont="1" applyFill="1" applyBorder="1" applyAlignment="1" applyProtection="1">
      <alignment horizontal="center" vertical="center"/>
      <protection hidden="1"/>
    </xf>
    <xf numFmtId="0" fontId="72" fillId="0" borderId="0" xfId="0" applyFont="1" applyProtection="1">
      <protection hidden="1"/>
    </xf>
    <xf numFmtId="9" fontId="16" fillId="0" borderId="0" xfId="0" applyNumberFormat="1" applyFont="1" applyProtection="1">
      <protection hidden="1"/>
    </xf>
    <xf numFmtId="2" fontId="37" fillId="9" borderId="5" xfId="0" applyNumberFormat="1" applyFont="1" applyFill="1" applyBorder="1" applyAlignment="1">
      <alignment horizontal="center" vertical="center" wrapText="1"/>
    </xf>
    <xf numFmtId="2" fontId="37" fillId="9" borderId="2" xfId="0" applyNumberFormat="1" applyFont="1" applyFill="1" applyBorder="1" applyAlignment="1">
      <alignment horizontal="center" vertical="center" wrapText="1"/>
    </xf>
    <xf numFmtId="181" fontId="5" fillId="0" borderId="22" xfId="0" quotePrefix="1" applyNumberFormat="1" applyFont="1" applyBorder="1" applyAlignment="1">
      <alignment horizontal="center" vertical="center" wrapText="1"/>
    </xf>
    <xf numFmtId="0" fontId="5" fillId="6" borderId="8" xfId="0" applyFont="1" applyFill="1" applyBorder="1" applyAlignment="1">
      <alignment horizontal="center" vertical="center"/>
    </xf>
    <xf numFmtId="0" fontId="5" fillId="7" borderId="8" xfId="0" applyFont="1" applyFill="1" applyBorder="1" applyAlignment="1">
      <alignment horizontal="center" vertical="center"/>
    </xf>
    <xf numFmtId="0" fontId="5" fillId="9" borderId="8" xfId="0" applyFont="1" applyFill="1" applyBorder="1" applyAlignment="1">
      <alignment horizontal="center" vertical="center"/>
    </xf>
    <xf numFmtId="0" fontId="5" fillId="6" borderId="8" xfId="0" applyFont="1" applyFill="1" applyBorder="1"/>
    <xf numFmtId="165" fontId="5" fillId="7" borderId="8" xfId="0" applyNumberFormat="1" applyFont="1" applyFill="1" applyBorder="1" applyAlignment="1">
      <alignment horizontal="center" vertical="center"/>
    </xf>
    <xf numFmtId="2" fontId="5" fillId="9" borderId="8" xfId="0" applyNumberFormat="1" applyFont="1" applyFill="1" applyBorder="1" applyAlignment="1">
      <alignment horizontal="center" vertical="center"/>
    </xf>
    <xf numFmtId="1" fontId="5" fillId="7" borderId="8" xfId="0" applyNumberFormat="1" applyFont="1" applyFill="1" applyBorder="1" applyAlignment="1">
      <alignment horizontal="center" vertical="center"/>
    </xf>
    <xf numFmtId="167" fontId="25" fillId="8" borderId="8" xfId="0" applyNumberFormat="1" applyFont="1" applyFill="1" applyBorder="1" applyAlignment="1">
      <alignment horizontal="center" vertical="center"/>
    </xf>
    <xf numFmtId="0" fontId="10" fillId="6" borderId="7" xfId="0" applyFont="1" applyFill="1" applyBorder="1" applyAlignment="1">
      <alignment horizontal="center" vertical="center" wrapText="1"/>
    </xf>
    <xf numFmtId="0" fontId="41" fillId="6" borderId="8" xfId="0" applyFont="1" applyFill="1" applyBorder="1"/>
    <xf numFmtId="167" fontId="41" fillId="8" borderId="8" xfId="0" applyNumberFormat="1" applyFont="1" applyFill="1" applyBorder="1" applyAlignment="1">
      <alignment horizontal="center" vertical="center"/>
    </xf>
    <xf numFmtId="0" fontId="41" fillId="8" borderId="8" xfId="0" applyFont="1" applyFill="1" applyBorder="1" applyAlignment="1">
      <alignment horizontal="center" vertical="center"/>
    </xf>
    <xf numFmtId="0" fontId="35" fillId="0" borderId="14" xfId="0" applyFont="1" applyBorder="1" applyAlignment="1" applyProtection="1">
      <alignment horizontal="center" vertical="center"/>
      <protection hidden="1"/>
    </xf>
    <xf numFmtId="0" fontId="35" fillId="0" borderId="3" xfId="0" applyFont="1" applyBorder="1" applyAlignment="1" applyProtection="1">
      <alignment horizontal="center" vertical="center"/>
      <protection hidden="1"/>
    </xf>
    <xf numFmtId="0" fontId="35" fillId="0" borderId="10" xfId="0" applyFont="1" applyBorder="1" applyAlignment="1" applyProtection="1">
      <alignment horizontal="center" vertical="center"/>
      <protection hidden="1"/>
    </xf>
    <xf numFmtId="0" fontId="35" fillId="0" borderId="12" xfId="0" applyFont="1" applyBorder="1" applyAlignment="1" applyProtection="1">
      <alignment horizontal="center" vertical="center"/>
      <protection hidden="1"/>
    </xf>
    <xf numFmtId="0" fontId="35" fillId="0" borderId="6" xfId="0" applyFont="1" applyBorder="1" applyAlignment="1" applyProtection="1">
      <alignment horizontal="center" vertical="center"/>
      <protection hidden="1"/>
    </xf>
    <xf numFmtId="0" fontId="37" fillId="0" borderId="5" xfId="0" applyFont="1" applyBorder="1" applyAlignment="1">
      <alignment horizontal="center" vertical="center"/>
    </xf>
    <xf numFmtId="0" fontId="37" fillId="0" borderId="2" xfId="0" applyFont="1" applyBorder="1" applyAlignment="1">
      <alignment horizontal="center" vertical="center"/>
    </xf>
    <xf numFmtId="0" fontId="37" fillId="0" borderId="32" xfId="0" applyFont="1" applyBorder="1" applyAlignment="1">
      <alignment horizontal="center" vertical="center"/>
    </xf>
    <xf numFmtId="1" fontId="37" fillId="0" borderId="32" xfId="0" applyNumberFormat="1" applyFont="1" applyBorder="1" applyAlignment="1">
      <alignment horizontal="center" vertical="center" wrapText="1"/>
    </xf>
    <xf numFmtId="0" fontId="37" fillId="9" borderId="1" xfId="0" applyFont="1" applyFill="1" applyBorder="1" applyAlignment="1">
      <alignment horizontal="center" vertical="center" wrapText="1"/>
    </xf>
    <xf numFmtId="0" fontId="37" fillId="30" borderId="1" xfId="0" applyFont="1" applyFill="1" applyBorder="1" applyAlignment="1">
      <alignment horizontal="center" vertical="center" wrapText="1"/>
    </xf>
    <xf numFmtId="164" fontId="37" fillId="30" borderId="1" xfId="0" applyNumberFormat="1" applyFont="1" applyFill="1" applyBorder="1" applyAlignment="1">
      <alignment horizontal="center" vertical="center" wrapText="1"/>
    </xf>
    <xf numFmtId="185" fontId="37" fillId="30" borderId="1" xfId="0" applyNumberFormat="1" applyFont="1" applyFill="1" applyBorder="1" applyAlignment="1">
      <alignment horizontal="center" vertical="center" wrapText="1"/>
    </xf>
    <xf numFmtId="0" fontId="37" fillId="9" borderId="50" xfId="0" applyFont="1" applyFill="1" applyBorder="1" applyAlignment="1">
      <alignment horizontal="center" vertical="center" wrapText="1"/>
    </xf>
    <xf numFmtId="164" fontId="37" fillId="25" borderId="1" xfId="8" applyFont="1" applyBorder="1" applyAlignment="1" applyProtection="1">
      <alignment horizontal="center" vertical="center" wrapText="1"/>
      <protection locked="0" hidden="1"/>
    </xf>
    <xf numFmtId="3" fontId="37" fillId="0" borderId="1" xfId="0" applyNumberFormat="1" applyFont="1" applyBorder="1" applyAlignment="1">
      <alignment horizontal="center" vertical="center" wrapText="1"/>
    </xf>
    <xf numFmtId="0" fontId="37" fillId="0" borderId="12" xfId="0" applyFont="1" applyBorder="1" applyAlignment="1">
      <alignment horizontal="center" vertical="center" wrapText="1"/>
    </xf>
    <xf numFmtId="3" fontId="37" fillId="0" borderId="5" xfId="0" applyNumberFormat="1" applyFont="1" applyBorder="1" applyAlignment="1">
      <alignment horizontal="center" vertical="center" wrapText="1"/>
    </xf>
    <xf numFmtId="164" fontId="37" fillId="25" borderId="32" xfId="8" applyFont="1" applyBorder="1" applyAlignment="1" applyProtection="1">
      <alignment horizontal="center" vertical="center" wrapText="1"/>
      <protection locked="0" hidden="1"/>
    </xf>
    <xf numFmtId="164" fontId="37" fillId="25" borderId="5" xfId="8" applyFont="1" applyBorder="1" applyAlignment="1" applyProtection="1">
      <alignment horizontal="center" vertical="center" wrapText="1"/>
      <protection locked="0" hidden="1"/>
    </xf>
    <xf numFmtId="0" fontId="37" fillId="22" borderId="2" xfId="0" applyFont="1" applyFill="1" applyBorder="1" applyAlignment="1">
      <alignment horizontal="center" vertical="center"/>
    </xf>
    <xf numFmtId="0" fontId="37" fillId="22" borderId="5" xfId="0" applyFont="1" applyFill="1" applyBorder="1" applyAlignment="1">
      <alignment horizontal="center" vertical="center"/>
    </xf>
    <xf numFmtId="2" fontId="37" fillId="0" borderId="10" xfId="0" applyNumberFormat="1" applyFont="1" applyBorder="1" applyAlignment="1">
      <alignment horizontal="center" vertical="center" wrapText="1"/>
    </xf>
    <xf numFmtId="2" fontId="37" fillId="0" borderId="50" xfId="0" applyNumberFormat="1" applyFont="1" applyBorder="1" applyAlignment="1">
      <alignment horizontal="center" vertical="center" wrapText="1"/>
    </xf>
    <xf numFmtId="164" fontId="37" fillId="25" borderId="48" xfId="8" applyFont="1" applyBorder="1" applyAlignment="1" applyProtection="1">
      <alignment horizontal="center" vertical="center" wrapText="1"/>
      <protection locked="0" hidden="1"/>
    </xf>
    <xf numFmtId="2" fontId="37" fillId="0" borderId="6" xfId="0" applyNumberFormat="1" applyFont="1" applyBorder="1" applyAlignment="1">
      <alignment horizontal="center" vertical="center" wrapText="1"/>
    </xf>
    <xf numFmtId="0" fontId="37" fillId="0" borderId="7" xfId="0" applyFont="1" applyBorder="1" applyAlignment="1">
      <alignment horizontal="center" vertical="center" wrapText="1"/>
    </xf>
    <xf numFmtId="2" fontId="37" fillId="14" borderId="8" xfId="2" applyFont="1" applyBorder="1" applyAlignment="1" applyProtection="1">
      <alignment horizontal="center" vertical="center" wrapText="1"/>
      <protection locked="0"/>
    </xf>
    <xf numFmtId="164" fontId="37" fillId="14" borderId="8" xfId="2" applyNumberFormat="1" applyFont="1" applyBorder="1" applyAlignment="1" applyProtection="1">
      <alignment horizontal="center" vertical="center" wrapText="1"/>
      <protection locked="0" hidden="1"/>
    </xf>
    <xf numFmtId="2" fontId="37" fillId="14" borderId="8" xfId="2" applyFont="1" applyBorder="1" applyAlignment="1" applyProtection="1">
      <alignment horizontal="center" vertical="center" wrapText="1"/>
      <protection locked="0" hidden="1"/>
    </xf>
    <xf numFmtId="164" fontId="37" fillId="25" borderId="8" xfId="8" applyFont="1" applyBorder="1" applyAlignment="1" applyProtection="1">
      <alignment horizontal="center" vertical="center" wrapText="1"/>
      <protection locked="0" hidden="1"/>
    </xf>
    <xf numFmtId="2" fontId="37" fillId="14" borderId="9" xfId="2" applyFont="1" applyBorder="1" applyAlignment="1" applyProtection="1">
      <alignment horizontal="center" vertical="center" wrapText="1"/>
      <protection locked="0" hidden="1"/>
    </xf>
    <xf numFmtId="2" fontId="37" fillId="14" borderId="8" xfId="2" applyFont="1" applyBorder="1" applyAlignment="1" applyProtection="1">
      <alignment horizontal="center" vertical="center" wrapText="1"/>
    </xf>
    <xf numFmtId="2" fontId="37" fillId="24" borderId="1" xfId="2" applyFont="1" applyFill="1" applyBorder="1" applyAlignment="1">
      <alignment horizontal="center" vertical="center" wrapText="1"/>
      <protection hidden="1"/>
    </xf>
    <xf numFmtId="164" fontId="37" fillId="3" borderId="1" xfId="0" applyNumberFormat="1" applyFont="1" applyFill="1" applyBorder="1" applyAlignment="1">
      <alignment horizontal="center" vertical="center" wrapText="1"/>
    </xf>
    <xf numFmtId="164" fontId="37" fillId="3" borderId="2" xfId="0" applyNumberFormat="1" applyFont="1" applyFill="1" applyBorder="1" applyAlignment="1">
      <alignment horizontal="center" vertical="center" wrapText="1"/>
    </xf>
    <xf numFmtId="164" fontId="37" fillId="3" borderId="5" xfId="0" applyNumberFormat="1" applyFont="1" applyFill="1" applyBorder="1" applyAlignment="1">
      <alignment horizontal="center" vertical="center" wrapText="1"/>
    </xf>
    <xf numFmtId="2" fontId="37" fillId="24" borderId="32" xfId="2" applyFont="1" applyFill="1" applyBorder="1" applyAlignment="1">
      <alignment horizontal="center" vertical="center" wrapText="1"/>
      <protection hidden="1"/>
    </xf>
    <xf numFmtId="164" fontId="37" fillId="3" borderId="32" xfId="0" applyNumberFormat="1" applyFont="1" applyFill="1" applyBorder="1" applyAlignment="1">
      <alignment horizontal="center" vertical="center" wrapText="1"/>
    </xf>
    <xf numFmtId="3" fontId="37" fillId="0" borderId="32" xfId="0" applyNumberFormat="1" applyFont="1" applyBorder="1" applyAlignment="1">
      <alignment horizontal="center" vertical="center" wrapText="1"/>
    </xf>
    <xf numFmtId="2" fontId="37" fillId="0" borderId="33" xfId="0" applyNumberFormat="1" applyFont="1" applyBorder="1" applyAlignment="1">
      <alignment horizontal="center" vertical="center" wrapText="1"/>
    </xf>
    <xf numFmtId="2" fontId="37" fillId="24" borderId="48" xfId="2" applyFont="1" applyFill="1" applyBorder="1" applyAlignment="1">
      <alignment horizontal="center" vertical="center" wrapText="1"/>
      <protection hidden="1"/>
    </xf>
    <xf numFmtId="2" fontId="5" fillId="14" borderId="25" xfId="2" applyBorder="1" applyAlignment="1">
      <alignment horizontal="center" vertical="center"/>
      <protection hidden="1"/>
    </xf>
    <xf numFmtId="0" fontId="37" fillId="14" borderId="49" xfId="2" applyNumberFormat="1" applyFont="1" applyBorder="1" applyAlignment="1" applyProtection="1">
      <alignment horizontal="center" vertical="center"/>
      <protection locked="0" hidden="1"/>
    </xf>
    <xf numFmtId="2" fontId="37" fillId="14" borderId="49" xfId="2" applyFont="1" applyBorder="1" applyAlignment="1" applyProtection="1">
      <alignment horizontal="center" vertical="center"/>
      <protection locked="0" hidden="1"/>
    </xf>
    <xf numFmtId="1" fontId="37" fillId="14" borderId="49" xfId="2" applyNumberFormat="1" applyFont="1" applyBorder="1" applyAlignment="1" applyProtection="1">
      <alignment horizontal="center" vertical="center"/>
      <protection locked="0" hidden="1"/>
    </xf>
    <xf numFmtId="49" fontId="37" fillId="25" borderId="49" xfId="8" applyNumberFormat="1" applyFont="1" applyBorder="1" applyProtection="1">
      <alignment horizontal="center" vertical="center"/>
      <protection locked="0" hidden="1"/>
    </xf>
    <xf numFmtId="1" fontId="37" fillId="34" borderId="2" xfId="2" applyNumberFormat="1" applyFont="1" applyFill="1" applyBorder="1" applyAlignment="1">
      <alignment horizontal="center" vertical="center"/>
      <protection hidden="1"/>
    </xf>
    <xf numFmtId="1" fontId="37" fillId="34" borderId="32" xfId="2" applyNumberFormat="1" applyFont="1" applyFill="1" applyBorder="1" applyAlignment="1">
      <alignment horizontal="center" vertical="center"/>
      <protection hidden="1"/>
    </xf>
    <xf numFmtId="1" fontId="37" fillId="34" borderId="5" xfId="2" applyNumberFormat="1" applyFont="1" applyFill="1" applyBorder="1" applyAlignment="1">
      <alignment horizontal="center" vertical="center"/>
      <protection hidden="1"/>
    </xf>
    <xf numFmtId="0" fontId="37" fillId="24" borderId="32" xfId="2" applyNumberFormat="1" applyFont="1" applyFill="1" applyBorder="1" applyAlignment="1">
      <alignment horizontal="center" vertical="center"/>
      <protection hidden="1"/>
    </xf>
    <xf numFmtId="2" fontId="37" fillId="24" borderId="32" xfId="2" applyFont="1" applyFill="1" applyBorder="1" applyAlignment="1">
      <alignment horizontal="center" vertical="center"/>
      <protection hidden="1"/>
    </xf>
    <xf numFmtId="0" fontId="37" fillId="24" borderId="2" xfId="2" applyNumberFormat="1" applyFont="1" applyFill="1" applyBorder="1" applyAlignment="1">
      <alignment horizontal="center" vertical="center"/>
      <protection hidden="1"/>
    </xf>
    <xf numFmtId="2" fontId="37" fillId="24" borderId="2" xfId="2" applyFont="1" applyFill="1" applyBorder="1" applyAlignment="1">
      <alignment horizontal="center" vertical="center"/>
      <protection hidden="1"/>
    </xf>
    <xf numFmtId="0" fontId="37" fillId="24" borderId="5" xfId="2" applyNumberFormat="1" applyFont="1" applyFill="1" applyBorder="1" applyAlignment="1">
      <alignment horizontal="center" vertical="center"/>
      <protection hidden="1"/>
    </xf>
    <xf numFmtId="2" fontId="37" fillId="24" borderId="5" xfId="2" applyFont="1" applyFill="1" applyBorder="1" applyAlignment="1">
      <alignment horizontal="center" vertical="center"/>
      <protection hidden="1"/>
    </xf>
    <xf numFmtId="185" fontId="37" fillId="24" borderId="32" xfId="2" applyNumberFormat="1" applyFont="1" applyFill="1" applyBorder="1" applyAlignment="1">
      <alignment horizontal="center" vertical="center"/>
      <protection hidden="1"/>
    </xf>
    <xf numFmtId="185" fontId="37" fillId="24" borderId="2" xfId="2" applyNumberFormat="1" applyFont="1" applyFill="1" applyBorder="1" applyAlignment="1">
      <alignment horizontal="center" vertical="center"/>
      <protection hidden="1"/>
    </xf>
    <xf numFmtId="185" fontId="37" fillId="24" borderId="5" xfId="2" applyNumberFormat="1" applyFont="1" applyFill="1" applyBorder="1" applyAlignment="1">
      <alignment horizontal="center" vertical="center"/>
      <protection hidden="1"/>
    </xf>
    <xf numFmtId="1" fontId="37" fillId="0" borderId="5" xfId="0" applyNumberFormat="1" applyFont="1" applyBorder="1" applyAlignment="1">
      <alignment horizontal="center" vertical="center" wrapText="1"/>
    </xf>
    <xf numFmtId="0" fontId="37" fillId="22" borderId="1" xfId="0" applyFont="1" applyFill="1" applyBorder="1" applyAlignment="1">
      <alignment horizontal="center" vertical="center"/>
    </xf>
    <xf numFmtId="166" fontId="37" fillId="30" borderId="33" xfId="0" applyNumberFormat="1" applyFont="1" applyFill="1" applyBorder="1" applyAlignment="1">
      <alignment horizontal="center" vertical="center" wrapText="1"/>
    </xf>
    <xf numFmtId="165" fontId="37" fillId="22" borderId="46" xfId="0" applyNumberFormat="1" applyFont="1" applyFill="1" applyBorder="1" applyAlignment="1">
      <alignment horizontal="center" vertical="center"/>
    </xf>
    <xf numFmtId="165" fontId="37" fillId="22" borderId="50" xfId="0" applyNumberFormat="1" applyFont="1" applyFill="1" applyBorder="1" applyAlignment="1">
      <alignment horizontal="center" vertical="center" wrapText="1"/>
    </xf>
    <xf numFmtId="165" fontId="37" fillId="22" borderId="3" xfId="0" applyNumberFormat="1" applyFont="1" applyFill="1" applyBorder="1" applyAlignment="1">
      <alignment horizontal="center" vertical="center"/>
    </xf>
    <xf numFmtId="165" fontId="37" fillId="22" borderId="2" xfId="0" applyNumberFormat="1" applyFont="1" applyFill="1" applyBorder="1" applyAlignment="1">
      <alignment horizontal="center" vertical="center"/>
    </xf>
    <xf numFmtId="165" fontId="47" fillId="22" borderId="10" xfId="0" applyNumberFormat="1" applyFont="1" applyFill="1" applyBorder="1" applyAlignment="1">
      <alignment horizontal="center" vertical="center" wrapText="1"/>
    </xf>
    <xf numFmtId="165" fontId="37" fillId="22" borderId="12" xfId="0" applyNumberFormat="1" applyFont="1" applyFill="1" applyBorder="1" applyAlignment="1">
      <alignment horizontal="center" vertical="center"/>
    </xf>
    <xf numFmtId="165" fontId="47" fillId="22" borderId="6" xfId="0" applyNumberFormat="1" applyFont="1" applyFill="1" applyBorder="1" applyAlignment="1">
      <alignment horizontal="center" vertical="center" wrapText="1"/>
    </xf>
    <xf numFmtId="0" fontId="47" fillId="30" borderId="33" xfId="0" applyFont="1" applyFill="1" applyBorder="1" applyAlignment="1">
      <alignment horizontal="center" vertical="center" wrapText="1"/>
    </xf>
    <xf numFmtId="180" fontId="37" fillId="30" borderId="32" xfId="0" applyNumberFormat="1" applyFont="1" applyFill="1" applyBorder="1" applyAlignment="1">
      <alignment horizontal="center" vertical="center" wrapText="1"/>
    </xf>
    <xf numFmtId="180" fontId="37" fillId="30" borderId="33" xfId="0" applyNumberFormat="1" applyFont="1" applyFill="1" applyBorder="1" applyAlignment="1">
      <alignment horizontal="center" vertical="center" wrapText="1"/>
    </xf>
    <xf numFmtId="0" fontId="37" fillId="30" borderId="48" xfId="0" applyFont="1" applyFill="1" applyBorder="1" applyAlignment="1">
      <alignment horizontal="center" vertical="center"/>
    </xf>
    <xf numFmtId="49" fontId="37" fillId="35" borderId="49" xfId="8" applyNumberFormat="1" applyFont="1" applyFill="1" applyBorder="1" applyProtection="1">
      <alignment horizontal="center" vertical="center"/>
      <protection locked="0" hidden="1"/>
    </xf>
    <xf numFmtId="49" fontId="37" fillId="35" borderId="32" xfId="8" applyNumberFormat="1" applyFont="1" applyFill="1" applyBorder="1" applyProtection="1">
      <alignment horizontal="center" vertical="center"/>
      <protection locked="0" hidden="1"/>
    </xf>
    <xf numFmtId="49" fontId="37" fillId="35" borderId="2" xfId="8" applyNumberFormat="1" applyFont="1" applyFill="1" applyBorder="1" applyProtection="1">
      <alignment horizontal="center" vertical="center"/>
      <protection locked="0" hidden="1"/>
    </xf>
    <xf numFmtId="49" fontId="37" fillId="35" borderId="5" xfId="8" applyNumberFormat="1" applyFont="1" applyFill="1" applyBorder="1" applyProtection="1">
      <alignment horizontal="center" vertical="center"/>
      <protection locked="0" hidden="1"/>
    </xf>
    <xf numFmtId="0" fontId="5" fillId="4" borderId="30" xfId="0" applyFont="1" applyFill="1" applyBorder="1" applyAlignment="1">
      <alignment horizontal="center" vertical="center"/>
    </xf>
    <xf numFmtId="165" fontId="25" fillId="3" borderId="0" xfId="0" applyNumberFormat="1" applyFont="1" applyFill="1" applyAlignment="1">
      <alignment horizontal="center" vertical="center"/>
    </xf>
    <xf numFmtId="165" fontId="76" fillId="3" borderId="0" xfId="7" applyNumberFormat="1" applyFont="1" applyFill="1" applyAlignment="1" applyProtection="1">
      <alignment horizontal="center" vertical="center"/>
    </xf>
    <xf numFmtId="1" fontId="41" fillId="8" borderId="9" xfId="0" applyNumberFormat="1" applyFont="1" applyFill="1" applyBorder="1" applyAlignment="1" applyProtection="1">
      <alignment horizontal="center" vertical="center" wrapText="1"/>
      <protection hidden="1"/>
    </xf>
    <xf numFmtId="1" fontId="41" fillId="8" borderId="33" xfId="0" applyNumberFormat="1" applyFont="1" applyFill="1" applyBorder="1" applyAlignment="1" applyProtection="1">
      <alignment horizontal="center" vertical="center" wrapText="1"/>
      <protection hidden="1"/>
    </xf>
    <xf numFmtId="1" fontId="41" fillId="8" borderId="8" xfId="0" applyNumberFormat="1"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0" fontId="1" fillId="0" borderId="0" xfId="0" applyFont="1" applyProtection="1">
      <protection hidden="1"/>
    </xf>
    <xf numFmtId="184" fontId="37" fillId="30" borderId="46" xfId="0" applyNumberFormat="1" applyFont="1" applyFill="1" applyBorder="1" applyAlignment="1">
      <alignment horizontal="center" vertical="center"/>
    </xf>
    <xf numFmtId="0" fontId="37" fillId="30" borderId="50" xfId="0" applyFont="1" applyFill="1" applyBorder="1" applyAlignment="1">
      <alignment horizontal="center" vertical="center"/>
    </xf>
    <xf numFmtId="184" fontId="37" fillId="30" borderId="3" xfId="0" applyNumberFormat="1" applyFont="1" applyFill="1" applyBorder="1" applyAlignment="1">
      <alignment horizontal="center" vertical="center"/>
    </xf>
    <xf numFmtId="0" fontId="37" fillId="30" borderId="10" xfId="0" applyFont="1" applyFill="1" applyBorder="1" applyAlignment="1">
      <alignment horizontal="center" vertical="center"/>
    </xf>
    <xf numFmtId="184" fontId="37" fillId="30" borderId="12" xfId="0" applyNumberFormat="1" applyFont="1" applyFill="1" applyBorder="1" applyAlignment="1">
      <alignment horizontal="center" vertical="center"/>
    </xf>
    <xf numFmtId="0" fontId="37" fillId="30" borderId="6" xfId="0" applyFont="1" applyFill="1" applyBorder="1" applyAlignment="1">
      <alignment horizontal="center" vertical="center"/>
    </xf>
    <xf numFmtId="0" fontId="37" fillId="22" borderId="11" xfId="0" applyFont="1" applyFill="1" applyBorder="1" applyAlignment="1">
      <alignment horizontal="center" vertical="center"/>
    </xf>
    <xf numFmtId="0" fontId="37" fillId="22" borderId="32" xfId="0" applyFont="1" applyFill="1" applyBorder="1" applyAlignment="1">
      <alignment horizontal="center" vertical="center"/>
    </xf>
    <xf numFmtId="166" fontId="37" fillId="22" borderId="32" xfId="0" applyNumberFormat="1" applyFont="1" applyFill="1" applyBorder="1" applyAlignment="1">
      <alignment horizontal="center" vertical="center"/>
    </xf>
    <xf numFmtId="166" fontId="47" fillId="22" borderId="33" xfId="0" applyNumberFormat="1" applyFont="1" applyFill="1" applyBorder="1" applyAlignment="1">
      <alignment horizontal="center" vertical="center" wrapText="1"/>
    </xf>
    <xf numFmtId="166" fontId="37" fillId="22" borderId="3" xfId="0" applyNumberFormat="1" applyFont="1" applyFill="1" applyBorder="1" applyAlignment="1">
      <alignment horizontal="center" vertical="center"/>
    </xf>
    <xf numFmtId="166" fontId="37" fillId="22" borderId="2" xfId="0" applyNumberFormat="1" applyFont="1" applyFill="1" applyBorder="1" applyAlignment="1">
      <alignment horizontal="center" vertical="center"/>
    </xf>
    <xf numFmtId="166" fontId="47" fillId="22" borderId="10" xfId="0" applyNumberFormat="1" applyFont="1" applyFill="1" applyBorder="1" applyAlignment="1">
      <alignment horizontal="center" vertical="center" wrapText="1"/>
    </xf>
    <xf numFmtId="166" fontId="37" fillId="22" borderId="12" xfId="0" applyNumberFormat="1" applyFont="1" applyFill="1" applyBorder="1" applyAlignment="1">
      <alignment horizontal="center" vertical="center"/>
    </xf>
    <xf numFmtId="166" fontId="37" fillId="22" borderId="5" xfId="0" applyNumberFormat="1" applyFont="1" applyFill="1" applyBorder="1" applyAlignment="1">
      <alignment horizontal="center" vertical="center"/>
    </xf>
    <xf numFmtId="166" fontId="47" fillId="22" borderId="6" xfId="0" applyNumberFormat="1" applyFont="1" applyFill="1" applyBorder="1" applyAlignment="1">
      <alignment horizontal="center" vertical="center" wrapText="1"/>
    </xf>
    <xf numFmtId="0" fontId="37" fillId="22" borderId="33" xfId="0" applyFont="1" applyFill="1" applyBorder="1" applyAlignment="1">
      <alignment horizontal="center" vertical="center" wrapText="1"/>
    </xf>
    <xf numFmtId="0" fontId="37" fillId="22" borderId="3" xfId="0" applyFont="1" applyFill="1" applyBorder="1" applyAlignment="1">
      <alignment horizontal="center" vertical="center"/>
    </xf>
    <xf numFmtId="0" fontId="47" fillId="22" borderId="10" xfId="0" applyFont="1" applyFill="1" applyBorder="1" applyAlignment="1">
      <alignment horizontal="center" vertical="center" wrapText="1"/>
    </xf>
    <xf numFmtId="0" fontId="37" fillId="22" borderId="12" xfId="0" applyFont="1" applyFill="1" applyBorder="1" applyAlignment="1">
      <alignment horizontal="center" vertical="center"/>
    </xf>
    <xf numFmtId="0" fontId="47" fillId="22" borderId="6" xfId="0" applyFont="1" applyFill="1" applyBorder="1" applyAlignment="1">
      <alignment horizontal="center" vertical="center" wrapText="1"/>
    </xf>
    <xf numFmtId="0" fontId="25" fillId="8" borderId="22"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1" fontId="50" fillId="8" borderId="32" xfId="0" applyNumberFormat="1" applyFont="1" applyFill="1" applyBorder="1" applyAlignment="1" applyProtection="1">
      <alignment horizontal="center" vertical="center" wrapText="1"/>
      <protection hidden="1"/>
    </xf>
    <xf numFmtId="0" fontId="25" fillId="8" borderId="33" xfId="0" applyFont="1" applyFill="1" applyBorder="1" applyAlignment="1" applyProtection="1">
      <alignment horizontal="center" vertical="center" wrapText="1"/>
      <protection hidden="1"/>
    </xf>
    <xf numFmtId="166" fontId="41" fillId="8" borderId="12" xfId="0" applyNumberFormat="1" applyFont="1" applyFill="1" applyBorder="1" applyAlignment="1" applyProtection="1">
      <alignment horizontal="center" vertical="center"/>
      <protection hidden="1"/>
    </xf>
    <xf numFmtId="2" fontId="50" fillId="8" borderId="5" xfId="0" applyNumberFormat="1" applyFont="1" applyFill="1" applyBorder="1" applyAlignment="1" applyProtection="1">
      <alignment horizontal="center" vertical="center"/>
      <protection hidden="1"/>
    </xf>
    <xf numFmtId="168" fontId="35" fillId="0" borderId="0" xfId="0" applyNumberFormat="1" applyFont="1" applyAlignment="1">
      <alignment horizontal="center" vertical="center" wrapText="1"/>
    </xf>
    <xf numFmtId="0" fontId="35" fillId="26" borderId="38" xfId="0" applyFont="1" applyFill="1" applyBorder="1" applyAlignment="1">
      <alignment horizontal="center" vertical="center" wrapText="1"/>
    </xf>
    <xf numFmtId="0" fontId="35" fillId="22" borderId="33" xfId="0" applyFont="1" applyFill="1" applyBorder="1" applyAlignment="1">
      <alignment horizontal="center" vertical="center" wrapText="1"/>
    </xf>
    <xf numFmtId="0" fontId="35" fillId="22" borderId="10" xfId="0" applyFont="1" applyFill="1" applyBorder="1" applyAlignment="1">
      <alignment horizontal="center" vertical="center" wrapText="1"/>
    </xf>
    <xf numFmtId="0" fontId="35" fillId="22" borderId="6" xfId="0" applyFont="1" applyFill="1" applyBorder="1" applyAlignment="1">
      <alignment horizontal="center" vertical="center" wrapText="1"/>
    </xf>
    <xf numFmtId="164" fontId="1" fillId="0" borderId="0" xfId="0" applyNumberFormat="1" applyFont="1" applyAlignment="1" applyProtection="1">
      <alignment vertical="center" wrapText="1"/>
      <protection hidden="1"/>
    </xf>
    <xf numFmtId="0" fontId="1" fillId="0" borderId="0" xfId="0" applyFont="1" applyAlignment="1" applyProtection="1">
      <alignment horizontal="center"/>
      <protection hidden="1"/>
    </xf>
    <xf numFmtId="0" fontId="1" fillId="0" borderId="0" xfId="0" applyFont="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14" fontId="1" fillId="0" borderId="0" xfId="0" applyNumberFormat="1" applyFont="1" applyAlignment="1" applyProtection="1">
      <alignment horizontal="left" vertical="center" wrapText="1"/>
      <protection hidden="1"/>
    </xf>
    <xf numFmtId="0" fontId="1" fillId="0" borderId="0" xfId="0" applyFont="1" applyAlignment="1" applyProtection="1">
      <alignment horizontal="left" vertical="justify" wrapText="1"/>
      <protection hidden="1"/>
    </xf>
    <xf numFmtId="185" fontId="1" fillId="0" borderId="22" xfId="0" applyNumberFormat="1"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1" fontId="1" fillId="0" borderId="22" xfId="0" applyNumberFormat="1" applyFont="1" applyBorder="1" applyAlignment="1" applyProtection="1">
      <alignment horizontal="center" vertical="center" wrapText="1"/>
      <protection hidden="1"/>
    </xf>
    <xf numFmtId="0" fontId="1" fillId="0" borderId="16" xfId="0" applyFont="1" applyBorder="1" applyAlignment="1" applyProtection="1">
      <alignment horizontal="center" vertical="center" wrapText="1"/>
      <protection hidden="1"/>
    </xf>
    <xf numFmtId="1" fontId="1" fillId="3" borderId="22" xfId="0"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0" borderId="0" xfId="0" applyFont="1" applyAlignment="1" applyProtection="1">
      <alignment horizontal="justify" vertical="center" wrapText="1"/>
      <protection hidden="1"/>
    </xf>
    <xf numFmtId="1" fontId="5" fillId="24" borderId="22" xfId="2" applyNumberFormat="1" applyFill="1" applyBorder="1" applyAlignment="1" applyProtection="1">
      <alignment horizontal="center" vertical="center"/>
    </xf>
    <xf numFmtId="0" fontId="1" fillId="0" borderId="0" xfId="0" applyFont="1" applyAlignment="1" applyProtection="1">
      <alignment horizontal="justify" vertical="justify" wrapText="1"/>
      <protection hidden="1"/>
    </xf>
    <xf numFmtId="0" fontId="25" fillId="3" borderId="38" xfId="0" applyFont="1" applyFill="1" applyBorder="1" applyAlignment="1" applyProtection="1">
      <alignment horizontal="center" vertical="center"/>
      <protection hidden="1"/>
    </xf>
    <xf numFmtId="0" fontId="1" fillId="0" borderId="45" xfId="0" applyFont="1" applyBorder="1" applyAlignment="1" applyProtection="1">
      <alignment horizontal="center" vertical="center" wrapText="1"/>
      <protection hidden="1"/>
    </xf>
    <xf numFmtId="1" fontId="1" fillId="0" borderId="11" xfId="0" applyNumberFormat="1" applyFont="1" applyBorder="1" applyAlignment="1">
      <alignment horizontal="center" vertical="center" wrapText="1"/>
    </xf>
    <xf numFmtId="1" fontId="1" fillId="3" borderId="32" xfId="0" applyNumberFormat="1" applyFont="1" applyFill="1" applyBorder="1" applyAlignment="1">
      <alignment horizontal="center" vertical="center" wrapText="1"/>
    </xf>
    <xf numFmtId="182" fontId="1" fillId="0" borderId="32" xfId="0" quotePrefix="1" applyNumberFormat="1" applyFont="1" applyBorder="1" applyAlignment="1">
      <alignment horizontal="center" vertical="center" wrapText="1"/>
    </xf>
    <xf numFmtId="166" fontId="1" fillId="0" borderId="32" xfId="0" applyNumberFormat="1" applyFont="1" applyBorder="1" applyAlignment="1" applyProtection="1">
      <alignment horizontal="center" vertical="center"/>
      <protection hidden="1"/>
    </xf>
    <xf numFmtId="2" fontId="1" fillId="3" borderId="33" xfId="0" applyNumberFormat="1" applyFont="1" applyFill="1" applyBorder="1" applyAlignment="1">
      <alignment horizontal="center" vertical="center" wrapText="1"/>
    </xf>
    <xf numFmtId="0" fontId="1" fillId="0" borderId="75" xfId="0" applyFont="1" applyBorder="1" applyAlignment="1" applyProtection="1">
      <alignment horizontal="center" vertical="center" wrapText="1"/>
      <protection hidden="1"/>
    </xf>
    <xf numFmtId="1" fontId="1" fillId="0" borderId="3" xfId="0" applyNumberFormat="1" applyFont="1" applyBorder="1" applyAlignment="1">
      <alignment horizontal="center" vertical="center" wrapText="1"/>
    </xf>
    <xf numFmtId="1" fontId="1" fillId="3" borderId="2" xfId="0" applyNumberFormat="1" applyFont="1" applyFill="1" applyBorder="1" applyAlignment="1">
      <alignment horizontal="center" vertical="center" wrapText="1"/>
    </xf>
    <xf numFmtId="182" fontId="1" fillId="0" borderId="2" xfId="0" quotePrefix="1" applyNumberFormat="1" applyFont="1" applyBorder="1" applyAlignment="1">
      <alignment horizontal="center" vertical="center" wrapText="1"/>
    </xf>
    <xf numFmtId="166" fontId="1" fillId="0" borderId="2" xfId="0" applyNumberFormat="1" applyFont="1" applyBorder="1" applyAlignment="1" applyProtection="1">
      <alignment horizontal="center" vertical="center"/>
      <protection hidden="1"/>
    </xf>
    <xf numFmtId="2" fontId="1" fillId="3" borderId="10" xfId="0" applyNumberFormat="1" applyFont="1" applyFill="1" applyBorder="1" applyAlignment="1">
      <alignment horizontal="center" vertical="center" wrapText="1"/>
    </xf>
    <xf numFmtId="0" fontId="1" fillId="9" borderId="0" xfId="0" applyFont="1" applyFill="1" applyProtection="1">
      <protection hidden="1"/>
    </xf>
    <xf numFmtId="182" fontId="1" fillId="3" borderId="2" xfId="0" quotePrefix="1" applyNumberFormat="1" applyFont="1" applyFill="1" applyBorder="1" applyAlignment="1">
      <alignment horizontal="center" vertical="center" wrapText="1"/>
    </xf>
    <xf numFmtId="181" fontId="1" fillId="0" borderId="2" xfId="0" quotePrefix="1" applyNumberFormat="1" applyFont="1" applyBorder="1" applyAlignment="1">
      <alignment horizontal="center" vertical="center" wrapText="1"/>
    </xf>
    <xf numFmtId="181" fontId="1" fillId="3" borderId="2" xfId="0" quotePrefix="1" applyNumberFormat="1" applyFont="1" applyFill="1" applyBorder="1" applyAlignment="1">
      <alignment horizontal="center" vertical="center" wrapText="1"/>
    </xf>
    <xf numFmtId="183" fontId="1" fillId="0" borderId="2" xfId="0" quotePrefix="1" applyNumberFormat="1" applyFont="1" applyBorder="1" applyAlignment="1">
      <alignment horizontal="center" vertical="center" wrapText="1"/>
    </xf>
    <xf numFmtId="183" fontId="1" fillId="3" borderId="2" xfId="0" quotePrefix="1" applyNumberFormat="1" applyFont="1" applyFill="1" applyBorder="1" applyAlignment="1">
      <alignment horizontal="center" vertical="center" wrapText="1"/>
    </xf>
    <xf numFmtId="1" fontId="1" fillId="3" borderId="2" xfId="0" applyNumberFormat="1" applyFont="1" applyFill="1" applyBorder="1" applyAlignment="1" applyProtection="1">
      <alignment horizontal="center" vertical="center" wrapText="1"/>
      <protection hidden="1"/>
    </xf>
    <xf numFmtId="181" fontId="1" fillId="0" borderId="2" xfId="0" quotePrefix="1" applyNumberFormat="1" applyFont="1" applyBorder="1" applyAlignment="1" applyProtection="1">
      <alignment horizontal="center" vertical="center" wrapText="1"/>
      <protection hidden="1"/>
    </xf>
    <xf numFmtId="181" fontId="1" fillId="3" borderId="2" xfId="0" quotePrefix="1" applyNumberFormat="1" applyFont="1" applyFill="1" applyBorder="1" applyAlignment="1" applyProtection="1">
      <alignment horizontal="center" vertical="center" wrapText="1"/>
      <protection hidden="1"/>
    </xf>
    <xf numFmtId="1" fontId="1" fillId="0" borderId="2" xfId="0" applyNumberFormat="1" applyFont="1" applyBorder="1" applyAlignment="1" applyProtection="1">
      <alignment horizontal="center" vertical="center" wrapText="1"/>
      <protection hidden="1"/>
    </xf>
    <xf numFmtId="183" fontId="1" fillId="0" borderId="2" xfId="0" quotePrefix="1" applyNumberFormat="1" applyFont="1" applyBorder="1" applyAlignment="1" applyProtection="1">
      <alignment horizontal="center" vertical="center" wrapText="1"/>
      <protection hidden="1"/>
    </xf>
    <xf numFmtId="183" fontId="1" fillId="3" borderId="2" xfId="0" quotePrefix="1" applyNumberFormat="1" applyFont="1" applyFill="1" applyBorder="1" applyAlignment="1" applyProtection="1">
      <alignment horizontal="center" vertical="center" wrapText="1"/>
      <protection hidden="1"/>
    </xf>
    <xf numFmtId="0" fontId="1" fillId="0" borderId="36" xfId="0" applyFont="1" applyBorder="1" applyAlignment="1" applyProtection="1">
      <alignment horizontal="center" vertical="center" wrapText="1"/>
      <protection hidden="1"/>
    </xf>
    <xf numFmtId="1" fontId="1" fillId="0" borderId="12" xfId="0" applyNumberFormat="1" applyFont="1" applyBorder="1" applyAlignment="1">
      <alignment horizontal="center" vertical="center" wrapText="1"/>
    </xf>
    <xf numFmtId="1" fontId="1" fillId="3" borderId="5" xfId="0" applyNumberFormat="1" applyFont="1" applyFill="1" applyBorder="1" applyAlignment="1" applyProtection="1">
      <alignment horizontal="center" vertical="center" wrapText="1"/>
      <protection hidden="1"/>
    </xf>
    <xf numFmtId="183" fontId="1" fillId="0" borderId="5" xfId="0" quotePrefix="1" applyNumberFormat="1" applyFont="1" applyBorder="1" applyAlignment="1" applyProtection="1">
      <alignment horizontal="center" vertical="center" wrapText="1"/>
      <protection hidden="1"/>
    </xf>
    <xf numFmtId="183" fontId="1" fillId="3" borderId="5" xfId="0" quotePrefix="1" applyNumberFormat="1" applyFont="1" applyFill="1" applyBorder="1" applyAlignment="1" applyProtection="1">
      <alignment horizontal="center" vertical="center" wrapText="1"/>
      <protection hidden="1"/>
    </xf>
    <xf numFmtId="188" fontId="1" fillId="3" borderId="5" xfId="0" quotePrefix="1" applyNumberFormat="1" applyFont="1" applyFill="1" applyBorder="1" applyAlignment="1" applyProtection="1">
      <alignment horizontal="center" vertical="center" wrapText="1"/>
      <protection hidden="1"/>
    </xf>
    <xf numFmtId="166" fontId="1" fillId="0" borderId="5" xfId="0" applyNumberFormat="1" applyFont="1" applyBorder="1" applyAlignment="1" applyProtection="1">
      <alignment horizontal="center" vertical="center"/>
      <protection hidden="1"/>
    </xf>
    <xf numFmtId="2" fontId="1" fillId="3" borderId="6" xfId="0" applyNumberFormat="1" applyFont="1" applyFill="1" applyBorder="1" applyAlignment="1">
      <alignment horizontal="center" vertical="center" wrapText="1"/>
    </xf>
    <xf numFmtId="1" fontId="1" fillId="3" borderId="0" xfId="0" quotePrefix="1" applyNumberFormat="1" applyFont="1" applyFill="1" applyAlignment="1" applyProtection="1">
      <alignment horizontal="center" vertical="center" wrapText="1"/>
      <protection hidden="1"/>
    </xf>
    <xf numFmtId="166" fontId="1" fillId="0" borderId="0" xfId="0" applyNumberFormat="1" applyFont="1" applyAlignment="1" applyProtection="1">
      <alignment horizontal="center" vertical="center" wrapText="1"/>
      <protection hidden="1"/>
    </xf>
    <xf numFmtId="2" fontId="1" fillId="3" borderId="0" xfId="0" applyNumberFormat="1" applyFont="1" applyFill="1" applyAlignment="1" applyProtection="1">
      <alignment horizontal="center" vertical="center" wrapText="1"/>
      <protection hidden="1"/>
    </xf>
    <xf numFmtId="0" fontId="1" fillId="3" borderId="0" xfId="0" applyFont="1" applyFill="1" applyAlignment="1" applyProtection="1">
      <alignment horizontal="justify" vertical="justify" wrapText="1"/>
      <protection hidden="1"/>
    </xf>
    <xf numFmtId="0" fontId="1" fillId="3" borderId="0" xfId="0" applyFont="1" applyFill="1" applyAlignment="1" applyProtection="1">
      <alignment vertical="justify" wrapText="1"/>
      <protection hidden="1"/>
    </xf>
    <xf numFmtId="0" fontId="1" fillId="0" borderId="0" xfId="0" applyFont="1" applyAlignment="1" applyProtection="1">
      <alignment horizontal="justify" vertical="center"/>
      <protection hidden="1"/>
    </xf>
    <xf numFmtId="0" fontId="1" fillId="10" borderId="0" xfId="0" applyFont="1" applyFill="1" applyAlignment="1" applyProtection="1">
      <alignment horizontal="center"/>
      <protection hidden="1"/>
    </xf>
    <xf numFmtId="2" fontId="1" fillId="0" borderId="10" xfId="0" applyNumberFormat="1" applyFont="1" applyBorder="1" applyAlignment="1">
      <alignment horizontal="center" vertical="center" wrapText="1"/>
    </xf>
    <xf numFmtId="190" fontId="1" fillId="0" borderId="32" xfId="0" quotePrefix="1" applyNumberFormat="1" applyFont="1" applyBorder="1" applyAlignment="1">
      <alignment horizontal="center" vertical="center" wrapText="1"/>
    </xf>
    <xf numFmtId="190" fontId="1" fillId="0" borderId="2" xfId="0" quotePrefix="1" applyNumberFormat="1" applyFont="1" applyBorder="1" applyAlignment="1">
      <alignment horizontal="center" vertical="center" wrapText="1"/>
    </xf>
    <xf numFmtId="1" fontId="1" fillId="8" borderId="11" xfId="0" applyNumberFormat="1" applyFont="1" applyFill="1" applyBorder="1" applyAlignment="1" applyProtection="1">
      <alignment horizontal="center" vertical="center"/>
      <protection hidden="1"/>
    </xf>
    <xf numFmtId="1" fontId="1" fillId="8" borderId="11" xfId="0" applyNumberFormat="1" applyFont="1" applyFill="1" applyBorder="1" applyAlignment="1">
      <alignment horizontal="center" vertical="center"/>
    </xf>
    <xf numFmtId="0" fontId="1" fillId="0" borderId="2" xfId="0" applyFont="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46"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166" fontId="1" fillId="11" borderId="11" xfId="0" applyNumberFormat="1" applyFont="1" applyFill="1" applyBorder="1" applyAlignment="1" applyProtection="1">
      <alignment horizontal="center" vertical="center" wrapText="1"/>
      <protection locked="0" hidden="1"/>
    </xf>
    <xf numFmtId="166" fontId="1" fillId="11" borderId="32" xfId="0" applyNumberFormat="1" applyFont="1" applyFill="1" applyBorder="1" applyAlignment="1" applyProtection="1">
      <alignment horizontal="center" vertical="center" wrapText="1"/>
      <protection locked="0" hidden="1"/>
    </xf>
    <xf numFmtId="166" fontId="1" fillId="11" borderId="33" xfId="0" applyNumberFormat="1" applyFont="1" applyFill="1" applyBorder="1" applyAlignment="1" applyProtection="1">
      <alignment horizontal="center" vertical="center" wrapText="1"/>
      <protection locked="0" hidden="1"/>
    </xf>
    <xf numFmtId="166" fontId="1" fillId="11" borderId="40" xfId="0" applyNumberFormat="1" applyFont="1" applyFill="1" applyBorder="1" applyAlignment="1" applyProtection="1">
      <alignment horizontal="center" vertical="center" wrapText="1"/>
      <protection locked="0" hidden="1"/>
    </xf>
    <xf numFmtId="166" fontId="1" fillId="11" borderId="12" xfId="0" applyNumberFormat="1" applyFont="1" applyFill="1" applyBorder="1" applyAlignment="1" applyProtection="1">
      <alignment horizontal="center" vertical="center" wrapText="1"/>
      <protection locked="0" hidden="1"/>
    </xf>
    <xf numFmtId="166" fontId="1" fillId="11" borderId="5" xfId="0" applyNumberFormat="1" applyFont="1" applyFill="1" applyBorder="1" applyAlignment="1" applyProtection="1">
      <alignment horizontal="center" vertical="center" wrapText="1"/>
      <protection locked="0" hidden="1"/>
    </xf>
    <xf numFmtId="166" fontId="1" fillId="11" borderId="6" xfId="0" applyNumberFormat="1" applyFont="1" applyFill="1" applyBorder="1" applyAlignment="1" applyProtection="1">
      <alignment horizontal="center" vertical="center" wrapText="1"/>
      <protection locked="0" hidden="1"/>
    </xf>
    <xf numFmtId="166" fontId="1" fillId="11" borderId="37" xfId="0" applyNumberFormat="1" applyFont="1" applyFill="1" applyBorder="1" applyAlignment="1" applyProtection="1">
      <alignment horizontal="center" vertical="center" wrapText="1"/>
      <protection locked="0" hidden="1"/>
    </xf>
    <xf numFmtId="166" fontId="1" fillId="11" borderId="72" xfId="0" applyNumberFormat="1" applyFont="1" applyFill="1" applyBorder="1" applyAlignment="1" applyProtection="1">
      <alignment horizontal="center" vertical="center" wrapText="1"/>
      <protection locked="0" hidden="1"/>
    </xf>
    <xf numFmtId="166" fontId="1" fillId="11" borderId="20" xfId="0" applyNumberFormat="1" applyFont="1" applyFill="1" applyBorder="1" applyAlignment="1" applyProtection="1">
      <alignment horizontal="center" vertical="center" wrapText="1"/>
      <protection locked="0" hidden="1"/>
    </xf>
    <xf numFmtId="166" fontId="1" fillId="11" borderId="34" xfId="0" applyNumberFormat="1" applyFont="1" applyFill="1" applyBorder="1" applyAlignment="1" applyProtection="1">
      <alignment horizontal="center" vertical="center" wrapText="1"/>
      <protection locked="0" hidden="1"/>
    </xf>
    <xf numFmtId="166" fontId="1" fillId="7" borderId="11" xfId="0" applyNumberFormat="1" applyFont="1" applyFill="1" applyBorder="1" applyAlignment="1" applyProtection="1">
      <alignment horizontal="center" vertical="center"/>
      <protection hidden="1"/>
    </xf>
    <xf numFmtId="166" fontId="1" fillId="7" borderId="32" xfId="0" applyNumberFormat="1" applyFont="1" applyFill="1" applyBorder="1" applyAlignment="1" applyProtection="1">
      <alignment horizontal="center" vertical="center"/>
      <protection hidden="1"/>
    </xf>
    <xf numFmtId="166" fontId="1" fillId="7" borderId="33" xfId="0" applyNumberFormat="1" applyFont="1" applyFill="1" applyBorder="1" applyAlignment="1" applyProtection="1">
      <alignment horizontal="center" vertical="center"/>
      <protection hidden="1"/>
    </xf>
    <xf numFmtId="166" fontId="1" fillId="7" borderId="11" xfId="0" applyNumberFormat="1" applyFont="1" applyFill="1" applyBorder="1" applyAlignment="1" applyProtection="1">
      <alignment horizontal="center" vertical="center" wrapText="1"/>
      <protection hidden="1"/>
    </xf>
    <xf numFmtId="166" fontId="1" fillId="7" borderId="40" xfId="0" applyNumberFormat="1" applyFont="1" applyFill="1" applyBorder="1" applyAlignment="1" applyProtection="1">
      <alignment horizontal="center" vertical="center" wrapText="1"/>
      <protection hidden="1"/>
    </xf>
    <xf numFmtId="166" fontId="1" fillId="7" borderId="44" xfId="0" applyNumberFormat="1" applyFont="1" applyFill="1" applyBorder="1" applyAlignment="1" applyProtection="1">
      <alignment horizontal="center" vertical="center" wrapText="1"/>
      <protection hidden="1"/>
    </xf>
    <xf numFmtId="166" fontId="1" fillId="7" borderId="12" xfId="0" applyNumberFormat="1" applyFont="1" applyFill="1" applyBorder="1" applyAlignment="1" applyProtection="1">
      <alignment horizontal="center" vertical="center" wrapText="1"/>
      <protection hidden="1"/>
    </xf>
    <xf numFmtId="166" fontId="1" fillId="7" borderId="5" xfId="0" applyNumberFormat="1" applyFont="1" applyFill="1" applyBorder="1" applyAlignment="1" applyProtection="1">
      <alignment horizontal="center" vertical="center" wrapText="1"/>
      <protection hidden="1"/>
    </xf>
    <xf numFmtId="166" fontId="1" fillId="7" borderId="6" xfId="0" applyNumberFormat="1" applyFont="1" applyFill="1" applyBorder="1" applyAlignment="1" applyProtection="1">
      <alignment horizontal="center" vertical="center" wrapText="1"/>
      <protection hidden="1"/>
    </xf>
    <xf numFmtId="166" fontId="1" fillId="7" borderId="37" xfId="0" applyNumberFormat="1" applyFont="1" applyFill="1" applyBorder="1" applyAlignment="1" applyProtection="1">
      <alignment horizontal="center" vertical="center" wrapText="1"/>
      <protection hidden="1"/>
    </xf>
    <xf numFmtId="166" fontId="1" fillId="7" borderId="35" xfId="0" applyNumberFormat="1" applyFont="1" applyFill="1" applyBorder="1" applyAlignment="1" applyProtection="1">
      <alignment horizontal="center" vertical="center" wrapText="1"/>
      <protection hidden="1"/>
    </xf>
    <xf numFmtId="166" fontId="1" fillId="7" borderId="32" xfId="0" applyNumberFormat="1" applyFont="1" applyFill="1" applyBorder="1" applyAlignment="1">
      <alignment horizontal="center" vertical="center" wrapText="1"/>
    </xf>
    <xf numFmtId="166" fontId="1" fillId="7" borderId="33" xfId="0" applyNumberFormat="1" applyFont="1" applyFill="1" applyBorder="1" applyAlignment="1">
      <alignment horizontal="center" vertical="center" wrapText="1"/>
    </xf>
    <xf numFmtId="166" fontId="1" fillId="7" borderId="12" xfId="0" applyNumberFormat="1" applyFont="1" applyFill="1" applyBorder="1" applyAlignment="1">
      <alignment horizontal="center" vertical="center" wrapText="1"/>
    </xf>
    <xf numFmtId="166" fontId="1" fillId="7" borderId="5" xfId="0" applyNumberFormat="1" applyFont="1" applyFill="1" applyBorder="1" applyAlignment="1">
      <alignment horizontal="center" vertical="center" wrapText="1"/>
    </xf>
    <xf numFmtId="166" fontId="1" fillId="7" borderId="6" xfId="0" applyNumberFormat="1" applyFont="1" applyFill="1" applyBorder="1" applyAlignment="1">
      <alignment horizontal="center" vertical="center" wrapText="1"/>
    </xf>
    <xf numFmtId="166" fontId="1" fillId="7" borderId="11" xfId="0" applyNumberFormat="1" applyFont="1" applyFill="1" applyBorder="1" applyAlignment="1">
      <alignment horizontal="center" vertical="center" wrapText="1"/>
    </xf>
    <xf numFmtId="22" fontId="1" fillId="0" borderId="0" xfId="0" applyNumberFormat="1" applyFont="1" applyAlignment="1" applyProtection="1">
      <alignment horizontal="center" vertical="center" wrapText="1"/>
      <protection hidden="1"/>
    </xf>
    <xf numFmtId="0" fontId="1" fillId="0" borderId="0" xfId="0" applyFont="1" applyAlignment="1">
      <alignment horizontal="center"/>
    </xf>
    <xf numFmtId="0" fontId="1" fillId="0" borderId="0" xfId="0" applyFont="1"/>
    <xf numFmtId="0" fontId="1" fillId="0" borderId="11" xfId="0" applyFont="1" applyBorder="1" applyAlignment="1">
      <alignment horizontal="center" vertical="center" wrapText="1"/>
    </xf>
    <xf numFmtId="1" fontId="1" fillId="0" borderId="32" xfId="0" applyNumberFormat="1" applyFont="1" applyBorder="1" applyAlignment="1">
      <alignment horizontal="center" vertical="center"/>
    </xf>
    <xf numFmtId="193" fontId="1" fillId="22" borderId="32" xfId="0" quotePrefix="1" applyNumberFormat="1" applyFont="1" applyFill="1" applyBorder="1" applyAlignment="1">
      <alignment horizontal="center" vertical="center" wrapText="1"/>
    </xf>
    <xf numFmtId="191" fontId="1" fillId="0" borderId="32" xfId="7" applyNumberFormat="1" applyFont="1" applyFill="1" applyBorder="1" applyAlignment="1">
      <alignment horizontal="center" vertical="center" wrapText="1"/>
    </xf>
    <xf numFmtId="191" fontId="1" fillId="0" borderId="32" xfId="0" applyNumberFormat="1" applyFont="1" applyBorder="1" applyAlignment="1">
      <alignment horizontal="center" vertical="center" wrapText="1"/>
    </xf>
    <xf numFmtId="166" fontId="1" fillId="0" borderId="32" xfId="0" applyNumberFormat="1" applyFont="1" applyBorder="1" applyAlignment="1">
      <alignment horizontal="center" vertical="center" wrapText="1"/>
    </xf>
    <xf numFmtId="2" fontId="1" fillId="0" borderId="32" xfId="0" applyNumberFormat="1" applyFont="1" applyBorder="1" applyAlignment="1">
      <alignment horizontal="center" vertical="center" wrapText="1"/>
    </xf>
    <xf numFmtId="2" fontId="1" fillId="8" borderId="11" xfId="0" applyNumberFormat="1" applyFont="1" applyFill="1" applyBorder="1" applyAlignment="1">
      <alignment horizontal="center" vertical="center"/>
    </xf>
    <xf numFmtId="2" fontId="1" fillId="8" borderId="32" xfId="0" applyNumberFormat="1" applyFont="1" applyFill="1" applyBorder="1" applyAlignment="1">
      <alignment horizontal="center" vertical="center"/>
    </xf>
    <xf numFmtId="2" fontId="1" fillId="8" borderId="33" xfId="0" applyNumberFormat="1" applyFont="1" applyFill="1" applyBorder="1" applyAlignment="1">
      <alignment horizontal="center" vertical="center"/>
    </xf>
    <xf numFmtId="2" fontId="1" fillId="8" borderId="40" xfId="0" applyNumberFormat="1" applyFont="1" applyFill="1" applyBorder="1" applyAlignment="1">
      <alignment horizontal="center" vertical="center"/>
    </xf>
    <xf numFmtId="0" fontId="1" fillId="0" borderId="3" xfId="0" applyFont="1" applyBorder="1" applyAlignment="1">
      <alignment horizontal="center" vertical="center" wrapText="1"/>
    </xf>
    <xf numFmtId="1" fontId="1" fillId="0" borderId="2" xfId="0" applyNumberFormat="1" applyFont="1" applyBorder="1" applyAlignment="1">
      <alignment horizontal="center" vertical="center"/>
    </xf>
    <xf numFmtId="193" fontId="1" fillId="22" borderId="2" xfId="0" quotePrefix="1" applyNumberFormat="1" applyFont="1" applyFill="1" applyBorder="1" applyAlignment="1">
      <alignment horizontal="center" vertical="center" wrapText="1"/>
    </xf>
    <xf numFmtId="191" fontId="1" fillId="0" borderId="2" xfId="7" applyNumberFormat="1" applyFont="1" applyFill="1" applyBorder="1" applyAlignment="1">
      <alignment horizontal="center" vertical="center" wrapText="1"/>
    </xf>
    <xf numFmtId="191" fontId="1" fillId="0" borderId="2" xfId="0" applyNumberFormat="1" applyFont="1" applyBorder="1" applyAlignment="1">
      <alignment horizontal="center" vertical="center" wrapText="1"/>
    </xf>
    <xf numFmtId="166" fontId="1"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2" fontId="1" fillId="8" borderId="3" xfId="0" applyNumberFormat="1" applyFont="1" applyFill="1" applyBorder="1" applyAlignment="1">
      <alignment horizontal="center" vertical="center"/>
    </xf>
    <xf numFmtId="2" fontId="1" fillId="8" borderId="2" xfId="0" applyNumberFormat="1" applyFont="1" applyFill="1" applyBorder="1" applyAlignment="1">
      <alignment horizontal="center" vertical="center"/>
    </xf>
    <xf numFmtId="2" fontId="1" fillId="8" borderId="10" xfId="0" applyNumberFormat="1" applyFont="1" applyFill="1" applyBorder="1" applyAlignment="1">
      <alignment horizontal="center" vertical="center"/>
    </xf>
    <xf numFmtId="2" fontId="1" fillId="8" borderId="19" xfId="0" applyNumberFormat="1" applyFont="1" applyFill="1" applyBorder="1" applyAlignment="1">
      <alignment horizontal="center" vertical="center"/>
    </xf>
    <xf numFmtId="190" fontId="1" fillId="22" borderId="2" xfId="0" quotePrefix="1" applyNumberFormat="1" applyFont="1" applyFill="1" applyBorder="1" applyAlignment="1">
      <alignment horizontal="center" vertical="center" wrapText="1"/>
    </xf>
    <xf numFmtId="166" fontId="1" fillId="8" borderId="3" xfId="0" applyNumberFormat="1" applyFont="1" applyFill="1" applyBorder="1" applyAlignment="1">
      <alignment horizontal="center" vertical="center"/>
    </xf>
    <xf numFmtId="166" fontId="1" fillId="8" borderId="2" xfId="0" applyNumberFormat="1" applyFont="1" applyFill="1" applyBorder="1" applyAlignment="1">
      <alignment horizontal="center" vertical="center"/>
    </xf>
    <xf numFmtId="166" fontId="1" fillId="8" borderId="10" xfId="0" applyNumberFormat="1" applyFont="1" applyFill="1" applyBorder="1" applyAlignment="1">
      <alignment horizontal="center" vertical="center"/>
    </xf>
    <xf numFmtId="166" fontId="1" fillId="8" borderId="19" xfId="0" applyNumberFormat="1" applyFont="1" applyFill="1" applyBorder="1" applyAlignment="1">
      <alignment horizontal="center" vertical="center"/>
    </xf>
    <xf numFmtId="166" fontId="1" fillId="8" borderId="19" xfId="0" applyNumberFormat="1" applyFont="1" applyFill="1" applyBorder="1" applyAlignment="1">
      <alignment horizontal="center" vertical="center" wrapText="1"/>
    </xf>
    <xf numFmtId="166" fontId="1" fillId="8" borderId="2" xfId="0" applyNumberFormat="1" applyFont="1" applyFill="1" applyBorder="1" applyAlignment="1">
      <alignment horizontal="center" vertical="center" wrapText="1"/>
    </xf>
    <xf numFmtId="166" fontId="1" fillId="8" borderId="10" xfId="0" applyNumberFormat="1" applyFont="1" applyFill="1" applyBorder="1" applyAlignment="1">
      <alignment horizontal="center" vertical="center" wrapText="1"/>
    </xf>
    <xf numFmtId="0" fontId="1" fillId="0" borderId="12" xfId="0" applyFont="1" applyBorder="1" applyAlignment="1">
      <alignment horizontal="center" vertical="center" wrapText="1"/>
    </xf>
    <xf numFmtId="1" fontId="1" fillId="0" borderId="5" xfId="0" applyNumberFormat="1" applyFont="1" applyBorder="1" applyAlignment="1">
      <alignment horizontal="center" vertical="center"/>
    </xf>
    <xf numFmtId="190" fontId="1" fillId="0" borderId="5" xfId="0" quotePrefix="1" applyNumberFormat="1" applyFont="1" applyBorder="1" applyAlignment="1">
      <alignment horizontal="center" vertical="center" wrapText="1"/>
    </xf>
    <xf numFmtId="190" fontId="1" fillId="22" borderId="5" xfId="0" quotePrefix="1" applyNumberFormat="1" applyFont="1" applyFill="1" applyBorder="1" applyAlignment="1">
      <alignment horizontal="center" vertical="center" wrapText="1"/>
    </xf>
    <xf numFmtId="182" fontId="1" fillId="0" borderId="5" xfId="0" quotePrefix="1" applyNumberFormat="1" applyFont="1" applyBorder="1" applyAlignment="1">
      <alignment horizontal="center" vertical="center" wrapText="1"/>
    </xf>
    <xf numFmtId="191" fontId="1" fillId="0" borderId="5" xfId="7" applyNumberFormat="1" applyFont="1" applyFill="1" applyBorder="1" applyAlignment="1">
      <alignment horizontal="center" vertical="center" wrapText="1"/>
    </xf>
    <xf numFmtId="191" fontId="1" fillId="0" borderId="5" xfId="0" applyNumberFormat="1" applyFont="1" applyBorder="1" applyAlignment="1">
      <alignment horizontal="center" vertical="center" wrapText="1"/>
    </xf>
    <xf numFmtId="166" fontId="1" fillId="0" borderId="5" xfId="0" applyNumberFormat="1" applyFont="1" applyBorder="1" applyAlignment="1">
      <alignment horizontal="center" vertical="center" wrapText="1"/>
    </xf>
    <xf numFmtId="2" fontId="1" fillId="0" borderId="5" xfId="0" applyNumberFormat="1" applyFont="1" applyBorder="1" applyAlignment="1">
      <alignment horizontal="center" vertical="center" wrapText="1"/>
    </xf>
    <xf numFmtId="166" fontId="1" fillId="8" borderId="12" xfId="0" applyNumberFormat="1" applyFont="1" applyFill="1" applyBorder="1" applyAlignment="1">
      <alignment horizontal="center" vertical="center"/>
    </xf>
    <xf numFmtId="166" fontId="1" fillId="8" borderId="5" xfId="0" applyNumberFormat="1" applyFont="1" applyFill="1" applyBorder="1" applyAlignment="1">
      <alignment horizontal="center" vertical="center"/>
    </xf>
    <xf numFmtId="166" fontId="1" fillId="8" borderId="6" xfId="0" applyNumberFormat="1" applyFont="1" applyFill="1" applyBorder="1" applyAlignment="1">
      <alignment horizontal="center" vertical="center"/>
    </xf>
    <xf numFmtId="166" fontId="1" fillId="8" borderId="37" xfId="0" applyNumberFormat="1" applyFont="1" applyFill="1" applyBorder="1" applyAlignment="1">
      <alignment horizontal="center" vertical="center"/>
    </xf>
    <xf numFmtId="0" fontId="1" fillId="0" borderId="0" xfId="0" applyFont="1" applyAlignment="1">
      <alignment horizontal="center" vertical="center" wrapText="1"/>
    </xf>
    <xf numFmtId="1" fontId="1" fillId="0" borderId="0" xfId="0" applyNumberFormat="1" applyFont="1" applyAlignment="1">
      <alignment horizontal="center" vertical="center"/>
    </xf>
    <xf numFmtId="181" fontId="1" fillId="0" borderId="0" xfId="0" quotePrefix="1" applyNumberFormat="1" applyFont="1" applyAlignment="1">
      <alignment horizontal="center" vertical="center" wrapText="1"/>
    </xf>
    <xf numFmtId="182" fontId="1" fillId="0" borderId="0" xfId="0" quotePrefix="1" applyNumberFormat="1" applyFont="1" applyAlignment="1">
      <alignment horizontal="center" vertical="center" wrapText="1"/>
    </xf>
    <xf numFmtId="191" fontId="1" fillId="0" borderId="0" xfId="7" applyNumberFormat="1" applyFont="1" applyFill="1" applyBorder="1" applyAlignment="1">
      <alignment horizontal="center" vertical="center" wrapText="1"/>
    </xf>
    <xf numFmtId="191" fontId="1" fillId="0" borderId="0" xfId="0" applyNumberFormat="1" applyFont="1" applyAlignment="1">
      <alignment horizontal="center" vertical="center" wrapText="1"/>
    </xf>
    <xf numFmtId="166" fontId="1"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183" fontId="1" fillId="0" borderId="0" xfId="0" quotePrefix="1" applyNumberFormat="1" applyFont="1" applyAlignment="1">
      <alignment horizontal="center" vertical="center" wrapText="1"/>
    </xf>
    <xf numFmtId="2" fontId="1" fillId="0" borderId="0" xfId="0" applyNumberFormat="1" applyFont="1" applyAlignment="1">
      <alignment horizontal="center" vertical="center"/>
    </xf>
    <xf numFmtId="0" fontId="1" fillId="0" borderId="21"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pplyProtection="1">
      <alignment horizontal="left"/>
      <protection hidden="1"/>
    </xf>
    <xf numFmtId="2" fontId="1" fillId="0" borderId="0" xfId="0" applyNumberFormat="1" applyFont="1" applyProtection="1">
      <protection hidden="1"/>
    </xf>
    <xf numFmtId="0" fontId="1" fillId="0" borderId="0" xfId="0" applyFont="1" applyAlignment="1" applyProtection="1">
      <alignment vertical="center" wrapText="1"/>
      <protection locked="0" hidden="1"/>
    </xf>
    <xf numFmtId="2" fontId="1" fillId="0" borderId="46" xfId="2" applyFont="1" applyFill="1" applyBorder="1" applyAlignment="1">
      <alignment horizontal="center" vertical="center"/>
      <protection hidden="1"/>
    </xf>
    <xf numFmtId="178" fontId="1" fillId="0" borderId="3" xfId="0" applyNumberFormat="1" applyFont="1" applyBorder="1" applyAlignment="1">
      <alignment horizontal="center" vertical="center" wrapText="1"/>
    </xf>
    <xf numFmtId="179" fontId="1" fillId="0" borderId="3" xfId="0" applyNumberFormat="1" applyFont="1" applyBorder="1" applyAlignment="1">
      <alignment horizontal="center" vertical="center" wrapText="1"/>
    </xf>
    <xf numFmtId="179" fontId="1" fillId="0" borderId="12" xfId="0" applyNumberFormat="1" applyFont="1" applyBorder="1" applyAlignment="1">
      <alignment horizontal="center" vertical="center" wrapText="1"/>
    </xf>
    <xf numFmtId="2" fontId="1" fillId="14" borderId="52" xfId="2" applyFont="1" applyBorder="1" applyAlignment="1">
      <alignment horizontal="center" vertical="center"/>
      <protection hidden="1"/>
    </xf>
    <xf numFmtId="2" fontId="1" fillId="0" borderId="3" xfId="2" applyFont="1" applyFill="1" applyBorder="1" applyAlignment="1">
      <alignment horizontal="center" vertical="center"/>
      <protection hidden="1"/>
    </xf>
    <xf numFmtId="0" fontId="1" fillId="0" borderId="0" xfId="0" applyFont="1" applyAlignment="1">
      <alignment vertical="center"/>
    </xf>
    <xf numFmtId="166" fontId="1" fillId="7" borderId="11" xfId="0" applyNumberFormat="1" applyFont="1" applyFill="1" applyBorder="1" applyAlignment="1">
      <alignment horizontal="center" vertical="center"/>
    </xf>
    <xf numFmtId="166" fontId="1" fillId="7" borderId="32" xfId="0" applyNumberFormat="1" applyFont="1" applyFill="1" applyBorder="1" applyAlignment="1">
      <alignment horizontal="center" vertical="center"/>
    </xf>
    <xf numFmtId="166" fontId="1" fillId="7" borderId="33" xfId="0" applyNumberFormat="1" applyFont="1" applyFill="1" applyBorder="1" applyAlignment="1">
      <alignment horizontal="center" vertical="center"/>
    </xf>
    <xf numFmtId="166" fontId="1" fillId="7" borderId="40" xfId="0" applyNumberFormat="1" applyFont="1" applyFill="1" applyBorder="1" applyAlignment="1">
      <alignment horizontal="center" vertical="center" wrapText="1"/>
    </xf>
    <xf numFmtId="166" fontId="1" fillId="7" borderId="44" xfId="0" applyNumberFormat="1" applyFont="1" applyFill="1" applyBorder="1" applyAlignment="1">
      <alignment horizontal="center" vertical="center" wrapText="1"/>
    </xf>
    <xf numFmtId="166" fontId="1" fillId="7" borderId="37" xfId="0" applyNumberFormat="1" applyFont="1" applyFill="1" applyBorder="1" applyAlignment="1">
      <alignment horizontal="center" vertical="center" wrapText="1"/>
    </xf>
    <xf numFmtId="166" fontId="1" fillId="7" borderId="35" xfId="0" applyNumberFormat="1" applyFont="1" applyFill="1" applyBorder="1" applyAlignment="1">
      <alignment horizontal="center" vertical="center" wrapText="1"/>
    </xf>
    <xf numFmtId="166" fontId="1" fillId="11" borderId="58" xfId="0" applyNumberFormat="1" applyFont="1" applyFill="1" applyBorder="1" applyAlignment="1" applyProtection="1">
      <alignment horizontal="center" vertical="center" wrapText="1"/>
      <protection locked="0" hidden="1"/>
    </xf>
    <xf numFmtId="0" fontId="1" fillId="0" borderId="0" xfId="0" applyFont="1" applyAlignment="1" applyProtection="1">
      <alignment vertical="center"/>
      <protection locked="0"/>
    </xf>
    <xf numFmtId="166" fontId="1" fillId="7" borderId="3" xfId="0" applyNumberFormat="1" applyFont="1" applyFill="1" applyBorder="1" applyAlignment="1">
      <alignment horizontal="center" vertical="center" wrapText="1"/>
    </xf>
    <xf numFmtId="166" fontId="1" fillId="7" borderId="2" xfId="0" applyNumberFormat="1" applyFont="1" applyFill="1" applyBorder="1" applyAlignment="1">
      <alignment horizontal="center" vertical="center" wrapText="1"/>
    </xf>
    <xf numFmtId="166" fontId="1" fillId="7" borderId="10" xfId="0" applyNumberFormat="1" applyFont="1" applyFill="1" applyBorder="1" applyAlignment="1">
      <alignment horizontal="center" vertical="center" wrapText="1"/>
    </xf>
    <xf numFmtId="22" fontId="1" fillId="0" borderId="0" xfId="0" applyNumberFormat="1" applyFont="1" applyAlignment="1">
      <alignment horizontal="center" vertical="center" wrapText="1"/>
    </xf>
    <xf numFmtId="2" fontId="1" fillId="22" borderId="32" xfId="0" applyNumberFormat="1" applyFont="1" applyFill="1" applyBorder="1" applyAlignment="1">
      <alignment horizontal="center" vertical="center"/>
    </xf>
    <xf numFmtId="2" fontId="1" fillId="22" borderId="2" xfId="0" applyNumberFormat="1" applyFont="1" applyFill="1" applyBorder="1" applyAlignment="1">
      <alignment horizontal="center" vertical="center"/>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14" xfId="0" applyFont="1" applyFill="1" applyBorder="1" applyAlignment="1">
      <alignment horizontal="center" vertical="center"/>
    </xf>
    <xf numFmtId="166" fontId="1" fillId="8" borderId="14" xfId="0" applyNumberFormat="1" applyFont="1" applyFill="1" applyBorder="1" applyAlignment="1">
      <alignment horizontal="center" vertical="center"/>
    </xf>
    <xf numFmtId="166" fontId="1" fillId="22" borderId="2" xfId="0" applyNumberFormat="1" applyFont="1" applyFill="1" applyBorder="1" applyAlignment="1">
      <alignment horizontal="center" vertical="center"/>
    </xf>
    <xf numFmtId="0" fontId="1" fillId="8" borderId="3"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14" xfId="0" applyFont="1" applyFill="1" applyBorder="1" applyAlignment="1">
      <alignment horizontal="center" vertical="center" wrapText="1"/>
    </xf>
    <xf numFmtId="1" fontId="1" fillId="22" borderId="2" xfId="0" applyNumberFormat="1" applyFont="1" applyFill="1" applyBorder="1" applyAlignment="1">
      <alignment horizontal="center" vertical="center"/>
    </xf>
    <xf numFmtId="2" fontId="1" fillId="8" borderId="14" xfId="0" applyNumberFormat="1" applyFont="1" applyFill="1" applyBorder="1" applyAlignment="1">
      <alignment horizontal="center" vertical="center"/>
    </xf>
    <xf numFmtId="1" fontId="1" fillId="0" borderId="2" xfId="0" applyNumberFormat="1" applyFont="1" applyBorder="1" applyAlignment="1">
      <alignment horizontal="center" vertical="center" wrapText="1"/>
    </xf>
    <xf numFmtId="0" fontId="1" fillId="8" borderId="12"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4" xfId="0" applyFont="1" applyFill="1" applyBorder="1" applyAlignment="1">
      <alignment horizontal="center" vertical="center"/>
    </xf>
    <xf numFmtId="171" fontId="1" fillId="0" borderId="2" xfId="0" quotePrefix="1" applyNumberFormat="1" applyFont="1" applyBorder="1" applyAlignment="1">
      <alignment horizontal="center" vertical="center" wrapText="1"/>
    </xf>
    <xf numFmtId="1" fontId="1" fillId="0" borderId="5" xfId="0" applyNumberFormat="1" applyFont="1" applyBorder="1" applyAlignment="1">
      <alignment horizontal="center" vertical="center" wrapText="1"/>
    </xf>
    <xf numFmtId="183" fontId="1" fillId="0" borderId="5" xfId="0" quotePrefix="1" applyNumberFormat="1" applyFont="1" applyBorder="1" applyAlignment="1">
      <alignment horizontal="center" vertical="center" wrapText="1"/>
    </xf>
    <xf numFmtId="2" fontId="1" fillId="22" borderId="5" xfId="0" applyNumberFormat="1" applyFont="1" applyFill="1" applyBorder="1" applyAlignment="1">
      <alignment horizontal="center" vertical="center"/>
    </xf>
    <xf numFmtId="2" fontId="37" fillId="0" borderId="32" xfId="0" applyNumberFormat="1" applyFont="1" applyBorder="1" applyAlignment="1">
      <alignment horizontal="center" vertical="center"/>
    </xf>
    <xf numFmtId="2" fontId="37" fillId="0" borderId="32" xfId="0" applyNumberFormat="1" applyFont="1" applyBorder="1" applyAlignment="1">
      <alignment horizontal="center" vertical="center" wrapText="1"/>
    </xf>
    <xf numFmtId="2" fontId="37" fillId="0" borderId="2" xfId="0" applyNumberFormat="1" applyFont="1" applyBorder="1" applyAlignment="1">
      <alignment horizontal="center" vertical="center"/>
    </xf>
    <xf numFmtId="2" fontId="37" fillId="0" borderId="2" xfId="0" applyNumberFormat="1" applyFont="1" applyBorder="1" applyAlignment="1">
      <alignment horizontal="center" vertical="center" wrapText="1"/>
    </xf>
    <xf numFmtId="168" fontId="37" fillId="0" borderId="2" xfId="0" applyNumberFormat="1" applyFont="1" applyBorder="1" applyAlignment="1">
      <alignment horizontal="center" vertical="center" wrapText="1"/>
    </xf>
    <xf numFmtId="168" fontId="37" fillId="0" borderId="5" xfId="0" applyNumberFormat="1" applyFont="1" applyBorder="1" applyAlignment="1">
      <alignment horizontal="center" vertical="center" wrapText="1"/>
    </xf>
    <xf numFmtId="168" fontId="37" fillId="0" borderId="32" xfId="0" applyNumberFormat="1" applyFont="1" applyBorder="1" applyAlignment="1">
      <alignment horizontal="center" vertical="center" wrapText="1"/>
    </xf>
    <xf numFmtId="168" fontId="37" fillId="0" borderId="1" xfId="0" applyNumberFormat="1" applyFont="1" applyBorder="1" applyAlignment="1">
      <alignment horizontal="center" vertical="center" wrapText="1"/>
    </xf>
    <xf numFmtId="168" fontId="37" fillId="0" borderId="20" xfId="0" applyNumberFormat="1" applyFont="1" applyBorder="1" applyAlignment="1">
      <alignment horizontal="center" vertical="center"/>
    </xf>
    <xf numFmtId="168" fontId="37" fillId="0" borderId="32" xfId="0" applyNumberFormat="1" applyFont="1" applyBorder="1" applyAlignment="1">
      <alignment horizontal="center" vertical="center"/>
    </xf>
    <xf numFmtId="168" fontId="37" fillId="0" borderId="2" xfId="0" applyNumberFormat="1" applyFont="1" applyBorder="1" applyAlignment="1">
      <alignment horizontal="center" vertical="center"/>
    </xf>
    <xf numFmtId="168" fontId="37" fillId="0" borderId="5" xfId="0" applyNumberFormat="1" applyFont="1" applyBorder="1" applyAlignment="1">
      <alignment horizontal="center" vertical="center"/>
    </xf>
    <xf numFmtId="168" fontId="37" fillId="0" borderId="1" xfId="0" applyNumberFormat="1" applyFont="1" applyBorder="1" applyAlignment="1">
      <alignment horizontal="center" vertical="center"/>
    </xf>
    <xf numFmtId="168" fontId="37" fillId="0" borderId="49" xfId="0" applyNumberFormat="1" applyFont="1" applyBorder="1" applyAlignment="1">
      <alignment horizontal="center" vertical="center"/>
    </xf>
    <xf numFmtId="0" fontId="37" fillId="0" borderId="32" xfId="0" applyFont="1" applyBorder="1" applyAlignment="1">
      <alignment horizontal="center" vertical="center" wrapText="1"/>
    </xf>
    <xf numFmtId="0" fontId="37" fillId="0" borderId="2" xfId="0" applyFont="1" applyBorder="1" applyAlignment="1">
      <alignment horizontal="center" vertical="center" wrapText="1"/>
    </xf>
    <xf numFmtId="166" fontId="37" fillId="0" borderId="2" xfId="0" applyNumberFormat="1" applyFont="1" applyBorder="1" applyAlignment="1">
      <alignment horizontal="center" vertical="center" wrapText="1"/>
    </xf>
    <xf numFmtId="0" fontId="37" fillId="0" borderId="5"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20" xfId="0" applyFont="1" applyBorder="1" applyAlignment="1">
      <alignment horizontal="center" vertical="center" wrapText="1"/>
    </xf>
    <xf numFmtId="2" fontId="37" fillId="0" borderId="1" xfId="0" applyNumberFormat="1" applyFont="1" applyBorder="1" applyAlignment="1">
      <alignment horizontal="center" vertical="center"/>
    </xf>
    <xf numFmtId="166" fontId="37" fillId="0" borderId="2" xfId="0" applyNumberFormat="1" applyFont="1" applyBorder="1" applyAlignment="1">
      <alignment horizontal="center" vertical="center"/>
    </xf>
    <xf numFmtId="166" fontId="37" fillId="0" borderId="5" xfId="0" applyNumberFormat="1" applyFont="1" applyBorder="1" applyAlignment="1">
      <alignment horizontal="center" vertical="center"/>
    </xf>
    <xf numFmtId="0" fontId="37" fillId="0" borderId="20" xfId="0" applyFont="1" applyBorder="1" applyAlignment="1">
      <alignment horizontal="center" vertical="center"/>
    </xf>
    <xf numFmtId="165" fontId="37" fillId="0" borderId="2" xfId="0" applyNumberFormat="1" applyFont="1" applyBorder="1" applyAlignment="1">
      <alignment horizontal="center" vertical="center"/>
    </xf>
    <xf numFmtId="1" fontId="37" fillId="0" borderId="32" xfId="0" applyNumberFormat="1" applyFont="1" applyBorder="1" applyAlignment="1">
      <alignment horizontal="center" vertical="center"/>
    </xf>
    <xf numFmtId="1" fontId="37" fillId="0" borderId="2" xfId="0" applyNumberFormat="1" applyFont="1" applyBorder="1" applyAlignment="1">
      <alignment horizontal="center" vertical="center"/>
    </xf>
    <xf numFmtId="166" fontId="37" fillId="0" borderId="20" xfId="0" applyNumberFormat="1" applyFont="1" applyBorder="1" applyAlignment="1">
      <alignment horizontal="center" vertical="center"/>
    </xf>
    <xf numFmtId="165" fontId="37" fillId="0" borderId="32" xfId="0" applyNumberFormat="1" applyFont="1" applyBorder="1" applyAlignment="1">
      <alignment horizontal="center" vertical="center"/>
    </xf>
    <xf numFmtId="165" fontId="37" fillId="0" borderId="5" xfId="0" applyNumberFormat="1" applyFont="1" applyBorder="1" applyAlignment="1">
      <alignment horizontal="center" vertical="center"/>
    </xf>
    <xf numFmtId="165" fontId="37" fillId="0" borderId="32" xfId="0" applyNumberFormat="1" applyFont="1" applyBorder="1" applyAlignment="1">
      <alignment horizontal="center" vertical="center" wrapText="1"/>
    </xf>
    <xf numFmtId="165" fontId="37" fillId="0" borderId="2" xfId="0" applyNumberFormat="1" applyFont="1" applyBorder="1" applyAlignment="1">
      <alignment horizontal="center" vertical="center" wrapText="1"/>
    </xf>
    <xf numFmtId="166" fontId="37" fillId="0" borderId="5" xfId="0" applyNumberFormat="1" applyFont="1" applyBorder="1" applyAlignment="1">
      <alignment horizontal="center" vertical="center" wrapText="1"/>
    </xf>
    <xf numFmtId="168" fontId="37" fillId="30" borderId="1" xfId="0" applyNumberFormat="1" applyFont="1" applyFill="1" applyBorder="1" applyAlignment="1">
      <alignment horizontal="center" vertical="center"/>
    </xf>
    <xf numFmtId="168" fontId="37" fillId="30" borderId="2" xfId="0" applyNumberFormat="1" applyFont="1" applyFill="1" applyBorder="1" applyAlignment="1">
      <alignment horizontal="center" vertical="center"/>
    </xf>
    <xf numFmtId="49" fontId="37" fillId="0" borderId="0" xfId="8" applyNumberFormat="1" applyFont="1" applyFill="1" applyProtection="1">
      <alignment horizontal="center" vertical="center"/>
      <protection locked="0" hidden="1"/>
    </xf>
    <xf numFmtId="164" fontId="37" fillId="24" borderId="32" xfId="2" applyNumberFormat="1" applyFont="1" applyFill="1" applyBorder="1" applyAlignment="1">
      <alignment horizontal="center" vertical="center" wrapText="1"/>
      <protection hidden="1"/>
    </xf>
    <xf numFmtId="164" fontId="37" fillId="24" borderId="1" xfId="2" applyNumberFormat="1" applyFont="1" applyFill="1" applyBorder="1" applyAlignment="1">
      <alignment horizontal="center" vertical="center" wrapText="1"/>
      <protection hidden="1"/>
    </xf>
    <xf numFmtId="164" fontId="37" fillId="24" borderId="48" xfId="2" applyNumberFormat="1" applyFont="1" applyFill="1" applyBorder="1" applyAlignment="1">
      <alignment horizontal="center" vertical="center" wrapText="1"/>
      <protection hidden="1"/>
    </xf>
    <xf numFmtId="2" fontId="5" fillId="14" borderId="0" xfId="2" applyAlignment="1" applyProtection="1">
      <alignment horizontal="center" vertical="center"/>
      <protection locked="0"/>
    </xf>
    <xf numFmtId="0" fontId="1" fillId="8" borderId="46"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47" xfId="0" applyFont="1" applyFill="1" applyBorder="1" applyAlignment="1">
      <alignment horizontal="center" vertical="center"/>
    </xf>
    <xf numFmtId="2" fontId="25" fillId="22" borderId="0" xfId="0" applyNumberFormat="1" applyFont="1" applyFill="1" applyAlignment="1" applyProtection="1">
      <alignment horizontal="center" vertical="center"/>
      <protection hidden="1"/>
    </xf>
    <xf numFmtId="2" fontId="1" fillId="8" borderId="5" xfId="0" applyNumberFormat="1" applyFont="1" applyFill="1" applyBorder="1" applyAlignment="1">
      <alignment horizontal="center" vertical="center"/>
    </xf>
    <xf numFmtId="2" fontId="1" fillId="8" borderId="6" xfId="0" applyNumberFormat="1" applyFont="1" applyFill="1" applyBorder="1" applyAlignment="1">
      <alignment horizontal="center" vertical="center"/>
    </xf>
    <xf numFmtId="2" fontId="1" fillId="8" borderId="37" xfId="0" applyNumberFormat="1" applyFont="1" applyFill="1" applyBorder="1" applyAlignment="1">
      <alignment horizontal="center" vertical="center"/>
    </xf>
    <xf numFmtId="1" fontId="5" fillId="3" borderId="22" xfId="0" applyNumberFormat="1" applyFont="1" applyFill="1" applyBorder="1" applyAlignment="1">
      <alignment horizontal="center" vertical="center" wrapText="1"/>
    </xf>
    <xf numFmtId="0" fontId="37" fillId="0" borderId="1" xfId="0" applyFont="1" applyBorder="1" applyAlignment="1">
      <alignment horizontal="center" vertical="center"/>
    </xf>
    <xf numFmtId="0" fontId="37" fillId="0" borderId="0" xfId="0" quotePrefix="1" applyFont="1" applyAlignment="1">
      <alignment horizontal="center" vertical="center"/>
    </xf>
    <xf numFmtId="2" fontId="5" fillId="14" borderId="0" xfId="2" applyAlignment="1" applyProtection="1">
      <alignment wrapText="1"/>
      <protection locked="0"/>
    </xf>
    <xf numFmtId="182" fontId="1" fillId="22" borderId="2" xfId="0" quotePrefix="1" applyNumberFormat="1" applyFont="1" applyFill="1" applyBorder="1" applyAlignment="1">
      <alignment horizontal="center" vertical="center" wrapText="1"/>
    </xf>
    <xf numFmtId="181" fontId="1" fillId="22" borderId="2" xfId="0" quotePrefix="1" applyNumberFormat="1" applyFont="1" applyFill="1" applyBorder="1" applyAlignment="1">
      <alignment horizontal="center" vertical="center" wrapText="1"/>
    </xf>
    <xf numFmtId="194" fontId="1" fillId="22" borderId="2" xfId="0" quotePrefix="1" applyNumberFormat="1" applyFont="1" applyFill="1" applyBorder="1" applyAlignment="1">
      <alignment horizontal="center" vertical="center" wrapText="1"/>
    </xf>
    <xf numFmtId="171" fontId="1" fillId="22" borderId="2" xfId="0" quotePrefix="1" applyNumberFormat="1" applyFont="1" applyFill="1" applyBorder="1" applyAlignment="1">
      <alignment horizontal="center" vertical="center" wrapText="1"/>
    </xf>
    <xf numFmtId="194" fontId="1" fillId="22" borderId="5" xfId="0" quotePrefix="1" applyNumberFormat="1" applyFont="1" applyFill="1" applyBorder="1" applyAlignment="1">
      <alignment horizontal="center" vertical="center" wrapText="1"/>
    </xf>
    <xf numFmtId="0" fontId="25" fillId="22" borderId="22" xfId="0" applyFont="1" applyFill="1" applyBorder="1" applyAlignment="1" applyProtection="1">
      <alignment horizontal="center" vertical="center" wrapText="1"/>
      <protection hidden="1"/>
    </xf>
    <xf numFmtId="0" fontId="25" fillId="22" borderId="38" xfId="0" applyFont="1" applyFill="1" applyBorder="1" applyAlignment="1" applyProtection="1">
      <alignment horizontal="center" vertical="center" wrapText="1"/>
      <protection hidden="1"/>
    </xf>
    <xf numFmtId="0" fontId="35" fillId="26" borderId="26" xfId="0" applyFont="1" applyFill="1" applyBorder="1" applyAlignment="1">
      <alignment horizontal="center" vertical="center" wrapText="1"/>
    </xf>
    <xf numFmtId="0" fontId="35" fillId="22" borderId="2" xfId="0" applyFont="1" applyFill="1" applyBorder="1" applyAlignment="1">
      <alignment horizontal="center" vertical="center" wrapText="1"/>
    </xf>
    <xf numFmtId="2" fontId="5" fillId="14" borderId="0" xfId="2" applyAlignment="1">
      <alignment horizontal="center" wrapText="1"/>
      <protection hidden="1"/>
    </xf>
    <xf numFmtId="2" fontId="5" fillId="24" borderId="22" xfId="2" applyFill="1" applyBorder="1" applyAlignment="1" applyProtection="1">
      <alignment horizontal="center" vertical="center"/>
    </xf>
    <xf numFmtId="2" fontId="5" fillId="14" borderId="0" xfId="2" applyAlignment="1">
      <alignment horizontal="center"/>
      <protection hidden="1"/>
    </xf>
    <xf numFmtId="188" fontId="5" fillId="0" borderId="22" xfId="0" quotePrefix="1" applyNumberFormat="1" applyFont="1" applyBorder="1" applyAlignment="1">
      <alignment horizontal="center" vertical="center" wrapText="1"/>
    </xf>
    <xf numFmtId="0" fontId="25" fillId="0" borderId="39" xfId="0" applyFont="1" applyBorder="1" applyAlignment="1" applyProtection="1">
      <alignment horizontal="center" vertical="center" wrapText="1"/>
      <protection hidden="1"/>
    </xf>
    <xf numFmtId="0" fontId="25" fillId="0" borderId="42" xfId="0" applyFont="1" applyBorder="1" applyAlignment="1" applyProtection="1">
      <alignment horizontal="center" vertical="center" wrapText="1"/>
      <protection hidden="1"/>
    </xf>
    <xf numFmtId="2" fontId="5" fillId="14" borderId="0" xfId="2" applyAlignment="1" applyProtection="1">
      <alignment horizontal="center" wrapText="1"/>
      <protection locked="0"/>
    </xf>
    <xf numFmtId="1" fontId="5" fillId="3" borderId="11" xfId="0" applyNumberFormat="1" applyFont="1" applyFill="1" applyBorder="1" applyAlignment="1">
      <alignment horizontal="center" vertical="center" wrapText="1"/>
    </xf>
    <xf numFmtId="193" fontId="5" fillId="3" borderId="40" xfId="0" quotePrefix="1" applyNumberFormat="1" applyFont="1" applyFill="1" applyBorder="1" applyAlignment="1">
      <alignment horizontal="center" vertical="center" wrapText="1"/>
    </xf>
    <xf numFmtId="190" fontId="5" fillId="0" borderId="13" xfId="0" quotePrefix="1" applyNumberFormat="1" applyFont="1" applyBorder="1" applyAlignment="1">
      <alignment horizontal="center" vertical="center" wrapText="1"/>
    </xf>
    <xf numFmtId="1" fontId="5" fillId="3" borderId="3" xfId="0" applyNumberFormat="1" applyFont="1" applyFill="1" applyBorder="1" applyAlignment="1">
      <alignment horizontal="center" vertical="center" wrapText="1"/>
    </xf>
    <xf numFmtId="193" fontId="5" fillId="3" borderId="19" xfId="0" quotePrefix="1" applyNumberFormat="1" applyFont="1" applyFill="1" applyBorder="1" applyAlignment="1">
      <alignment horizontal="center" vertical="center" wrapText="1"/>
    </xf>
    <xf numFmtId="190" fontId="5" fillId="0" borderId="14" xfId="0" quotePrefix="1" applyNumberFormat="1" applyFont="1" applyBorder="1" applyAlignment="1">
      <alignment horizontal="center" vertical="center" wrapText="1"/>
    </xf>
    <xf numFmtId="190" fontId="5" fillId="3" borderId="19" xfId="0" quotePrefix="1" applyNumberFormat="1" applyFont="1" applyFill="1" applyBorder="1" applyAlignment="1">
      <alignment horizontal="center" vertical="center" wrapText="1"/>
    </xf>
    <xf numFmtId="182" fontId="5" fillId="0" borderId="14" xfId="0" quotePrefix="1" applyNumberFormat="1" applyFont="1" applyBorder="1" applyAlignment="1">
      <alignment horizontal="center" vertical="center" wrapText="1"/>
    </xf>
    <xf numFmtId="1" fontId="5" fillId="3" borderId="12" xfId="0" applyNumberFormat="1" applyFont="1" applyFill="1" applyBorder="1" applyAlignment="1">
      <alignment horizontal="center" vertical="center" wrapText="1"/>
    </xf>
    <xf numFmtId="190" fontId="5" fillId="3" borderId="37" xfId="0" quotePrefix="1" applyNumberFormat="1" applyFont="1" applyFill="1" applyBorder="1" applyAlignment="1">
      <alignment horizontal="center" vertical="center" wrapText="1"/>
    </xf>
    <xf numFmtId="182" fontId="5" fillId="0" borderId="4" xfId="0" quotePrefix="1" applyNumberFormat="1" applyFont="1" applyBorder="1" applyAlignment="1">
      <alignment horizontal="center" vertical="center" wrapText="1"/>
    </xf>
    <xf numFmtId="2" fontId="5" fillId="14" borderId="0" xfId="2" applyAlignment="1" applyProtection="1">
      <alignment horizontal="center"/>
      <protection locked="0"/>
    </xf>
    <xf numFmtId="0" fontId="25" fillId="22" borderId="16" xfId="0" applyFont="1" applyFill="1" applyBorder="1" applyAlignment="1" applyProtection="1">
      <alignment horizontal="center" vertical="center" wrapText="1"/>
      <protection hidden="1"/>
    </xf>
    <xf numFmtId="193" fontId="1" fillId="22" borderId="5" xfId="0" quotePrefix="1" applyNumberFormat="1" applyFont="1" applyFill="1" applyBorder="1" applyAlignment="1">
      <alignment horizontal="center" vertical="center" wrapText="1"/>
    </xf>
    <xf numFmtId="166" fontId="25" fillId="22" borderId="0" xfId="0" applyNumberFormat="1" applyFont="1" applyFill="1" applyAlignment="1" applyProtection="1">
      <alignment horizontal="center" vertical="center"/>
      <protection hidden="1"/>
    </xf>
    <xf numFmtId="1" fontId="25" fillId="22" borderId="0" xfId="0" applyNumberFormat="1" applyFont="1" applyFill="1" applyAlignment="1" applyProtection="1">
      <alignment horizontal="center" vertical="center"/>
      <protection hidden="1"/>
    </xf>
    <xf numFmtId="190" fontId="1" fillId="22" borderId="32" xfId="0" quotePrefix="1" applyNumberFormat="1" applyFont="1" applyFill="1" applyBorder="1" applyAlignment="1">
      <alignment horizontal="center" vertical="center" wrapText="1"/>
    </xf>
    <xf numFmtId="1" fontId="5" fillId="14" borderId="0" xfId="2" applyNumberFormat="1" applyAlignment="1">
      <alignment horizontal="center" vertical="center" wrapText="1"/>
      <protection hidden="1"/>
    </xf>
    <xf numFmtId="0" fontId="42" fillId="12" borderId="25" xfId="0" applyFont="1" applyFill="1" applyBorder="1" applyAlignment="1">
      <alignment vertical="center"/>
    </xf>
    <xf numFmtId="0" fontId="42" fillId="12" borderId="26" xfId="0" applyFont="1" applyFill="1" applyBorder="1" applyAlignment="1">
      <alignment vertical="center"/>
    </xf>
    <xf numFmtId="0" fontId="42" fillId="12" borderId="24" xfId="0" applyFont="1" applyFill="1" applyBorder="1" applyAlignment="1">
      <alignment vertical="center"/>
    </xf>
    <xf numFmtId="0" fontId="42" fillId="12" borderId="54" xfId="0" applyFont="1" applyFill="1" applyBorder="1" applyAlignment="1">
      <alignment vertical="center"/>
    </xf>
    <xf numFmtId="0" fontId="42" fillId="12" borderId="28" xfId="0" applyFont="1" applyFill="1" applyBorder="1" applyAlignment="1">
      <alignment vertical="center"/>
    </xf>
    <xf numFmtId="0" fontId="42" fillId="12" borderId="23" xfId="0" applyFont="1" applyFill="1" applyBorder="1" applyAlignment="1">
      <alignment vertical="center"/>
    </xf>
    <xf numFmtId="0" fontId="83" fillId="0" borderId="1" xfId="0" applyFont="1" applyBorder="1" applyAlignment="1">
      <alignment vertical="center" wrapText="1"/>
    </xf>
    <xf numFmtId="0" fontId="37" fillId="0" borderId="77" xfId="0" applyFont="1" applyBorder="1" applyAlignment="1">
      <alignment vertical="center"/>
    </xf>
    <xf numFmtId="2" fontId="5" fillId="14" borderId="22" xfId="2" applyBorder="1" applyAlignment="1">
      <alignment horizontal="center" vertical="center"/>
      <protection hidden="1"/>
    </xf>
    <xf numFmtId="0" fontId="24" fillId="0" borderId="0" xfId="0" applyFont="1" applyProtection="1">
      <protection hidden="1"/>
    </xf>
    <xf numFmtId="0" fontId="42" fillId="0" borderId="0" xfId="0" applyFont="1" applyAlignment="1" applyProtection="1">
      <alignment horizontal="center" vertical="center" wrapText="1"/>
      <protection locked="0" hidden="1"/>
    </xf>
    <xf numFmtId="0" fontId="72" fillId="3" borderId="22" xfId="0" applyFont="1" applyFill="1" applyBorder="1" applyAlignment="1">
      <alignment horizontal="center" vertical="center"/>
    </xf>
    <xf numFmtId="0" fontId="25" fillId="8" borderId="54" xfId="0" applyFont="1" applyFill="1" applyBorder="1" applyAlignment="1" applyProtection="1">
      <alignment horizontal="center" vertical="center" wrapText="1"/>
      <protection hidden="1"/>
    </xf>
    <xf numFmtId="0" fontId="25" fillId="8" borderId="23" xfId="0" applyFont="1" applyFill="1" applyBorder="1" applyAlignment="1" applyProtection="1">
      <alignment horizontal="center" vertical="center" wrapText="1"/>
      <protection hidden="1"/>
    </xf>
    <xf numFmtId="0" fontId="7" fillId="5" borderId="1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5" fillId="6" borderId="1" xfId="0" applyFont="1" applyFill="1" applyBorder="1" applyAlignment="1" applyProtection="1">
      <alignment horizontal="center" wrapText="1"/>
      <protection hidden="1"/>
    </xf>
    <xf numFmtId="0" fontId="25" fillId="6" borderId="1" xfId="0" applyFont="1" applyFill="1" applyBorder="1" applyAlignment="1" applyProtection="1">
      <alignment horizontal="center" wrapText="1"/>
      <protection hidden="1"/>
    </xf>
    <xf numFmtId="0" fontId="25" fillId="6" borderId="50" xfId="0" applyFont="1" applyFill="1" applyBorder="1" applyAlignment="1" applyProtection="1">
      <alignment horizontal="center" wrapText="1"/>
      <protection hidden="1"/>
    </xf>
    <xf numFmtId="0" fontId="19" fillId="15" borderId="15" xfId="0" applyFont="1" applyFill="1" applyBorder="1" applyAlignment="1" applyProtection="1">
      <alignment horizontal="center" vertical="center"/>
      <protection hidden="1"/>
    </xf>
    <xf numFmtId="0" fontId="19" fillId="15" borderId="17" xfId="0" applyFont="1" applyFill="1" applyBorder="1" applyAlignment="1" applyProtection="1">
      <alignment horizontal="center" vertical="center"/>
      <protection hidden="1"/>
    </xf>
    <xf numFmtId="0" fontId="19" fillId="15" borderId="16" xfId="0" applyFont="1" applyFill="1" applyBorder="1" applyAlignment="1" applyProtection="1">
      <alignment horizontal="center" vertical="center"/>
      <protection hidden="1"/>
    </xf>
    <xf numFmtId="0" fontId="19" fillId="5" borderId="15" xfId="0" applyFont="1" applyFill="1" applyBorder="1" applyAlignment="1" applyProtection="1">
      <alignment horizontal="center" vertical="center"/>
      <protection hidden="1"/>
    </xf>
    <xf numFmtId="0" fontId="19" fillId="5" borderId="17" xfId="0" applyFont="1" applyFill="1" applyBorder="1" applyAlignment="1" applyProtection="1">
      <alignment horizontal="center" vertical="center"/>
      <protection hidden="1"/>
    </xf>
    <xf numFmtId="0" fontId="19" fillId="5" borderId="16" xfId="0" applyFont="1" applyFill="1" applyBorder="1" applyAlignment="1" applyProtection="1">
      <alignment horizontal="center" vertical="center"/>
      <protection hidden="1"/>
    </xf>
    <xf numFmtId="0" fontId="7" fillId="5" borderId="12" xfId="0" applyFont="1" applyFill="1" applyBorder="1" applyAlignment="1" applyProtection="1">
      <alignment horizontal="left" vertical="center" wrapText="1"/>
      <protection hidden="1"/>
    </xf>
    <xf numFmtId="0" fontId="7" fillId="5" borderId="5" xfId="0" applyFont="1" applyFill="1" applyBorder="1" applyAlignment="1" applyProtection="1">
      <alignment horizontal="left" vertical="center" wrapText="1"/>
      <protection hidden="1"/>
    </xf>
    <xf numFmtId="0" fontId="25" fillId="8" borderId="15" xfId="0" applyFont="1" applyFill="1" applyBorder="1" applyAlignment="1" applyProtection="1">
      <alignment horizontal="center" vertical="center" wrapText="1"/>
      <protection hidden="1"/>
    </xf>
    <xf numFmtId="0" fontId="25" fillId="8" borderId="16" xfId="0" applyFont="1" applyFill="1" applyBorder="1" applyAlignment="1" applyProtection="1">
      <alignment horizontal="center" vertical="center" wrapText="1"/>
      <protection hidden="1"/>
    </xf>
    <xf numFmtId="0" fontId="42" fillId="15" borderId="15" xfId="0" applyFont="1" applyFill="1" applyBorder="1" applyAlignment="1" applyProtection="1">
      <alignment horizontal="center" vertical="center"/>
      <protection hidden="1"/>
    </xf>
    <xf numFmtId="0" fontId="42" fillId="15" borderId="17" xfId="0" applyFont="1" applyFill="1" applyBorder="1" applyAlignment="1" applyProtection="1">
      <alignment horizontal="center" vertical="center"/>
      <protection hidden="1"/>
    </xf>
    <xf numFmtId="0" fontId="42" fillId="15" borderId="16" xfId="0" applyFont="1" applyFill="1" applyBorder="1" applyAlignment="1" applyProtection="1">
      <alignment horizontal="center" vertical="center"/>
      <protection hidden="1"/>
    </xf>
    <xf numFmtId="0" fontId="5" fillId="30" borderId="15" xfId="0" applyFont="1" applyFill="1" applyBorder="1" applyAlignment="1" applyProtection="1">
      <alignment horizontal="center" vertical="top" wrapText="1"/>
      <protection hidden="1"/>
    </xf>
    <xf numFmtId="0" fontId="5" fillId="30" borderId="17" xfId="0" applyFont="1" applyFill="1" applyBorder="1" applyAlignment="1" applyProtection="1">
      <alignment horizontal="center" vertical="top" wrapText="1"/>
      <protection hidden="1"/>
    </xf>
    <xf numFmtId="0" fontId="5" fillId="30" borderId="16" xfId="0" applyFont="1" applyFill="1" applyBorder="1" applyAlignment="1" applyProtection="1">
      <alignment horizontal="center" vertical="top" wrapText="1"/>
      <protection hidden="1"/>
    </xf>
    <xf numFmtId="0" fontId="72" fillId="30" borderId="25" xfId="0" applyFont="1" applyFill="1" applyBorder="1" applyAlignment="1" applyProtection="1">
      <alignment horizontal="left" vertical="top" wrapText="1"/>
      <protection locked="0" hidden="1"/>
    </xf>
    <xf numFmtId="0" fontId="72" fillId="30" borderId="26" xfId="0" applyFont="1" applyFill="1" applyBorder="1" applyAlignment="1" applyProtection="1">
      <alignment horizontal="left" vertical="top" wrapText="1"/>
      <protection locked="0" hidden="1"/>
    </xf>
    <xf numFmtId="0" fontId="72" fillId="30" borderId="24" xfId="0" applyFont="1" applyFill="1" applyBorder="1" applyAlignment="1" applyProtection="1">
      <alignment horizontal="left" vertical="top" wrapText="1"/>
      <protection locked="0" hidden="1"/>
    </xf>
    <xf numFmtId="0" fontId="72" fillId="30" borderId="21" xfId="0" applyFont="1" applyFill="1" applyBorder="1" applyAlignment="1" applyProtection="1">
      <alignment horizontal="left" vertical="top" wrapText="1"/>
      <protection locked="0" hidden="1"/>
    </xf>
    <xf numFmtId="0" fontId="72" fillId="30" borderId="0" xfId="0" applyFont="1" applyFill="1" applyAlignment="1" applyProtection="1">
      <alignment horizontal="left" vertical="top" wrapText="1"/>
      <protection locked="0" hidden="1"/>
    </xf>
    <xf numFmtId="0" fontId="72" fillId="30" borderId="29" xfId="0" applyFont="1" applyFill="1" applyBorder="1" applyAlignment="1" applyProtection="1">
      <alignment horizontal="left" vertical="top" wrapText="1"/>
      <protection locked="0" hidden="1"/>
    </xf>
    <xf numFmtId="0" fontId="72" fillId="30" borderId="54" xfId="0" applyFont="1" applyFill="1" applyBorder="1" applyAlignment="1" applyProtection="1">
      <alignment horizontal="left" vertical="top" wrapText="1"/>
      <protection locked="0" hidden="1"/>
    </xf>
    <xf numFmtId="0" fontId="72" fillId="30" borderId="28" xfId="0" applyFont="1" applyFill="1" applyBorder="1" applyAlignment="1" applyProtection="1">
      <alignment horizontal="left" vertical="top" wrapText="1"/>
      <protection locked="0" hidden="1"/>
    </xf>
    <xf numFmtId="0" fontId="72" fillId="30" borderId="23" xfId="0" applyFont="1" applyFill="1" applyBorder="1" applyAlignment="1" applyProtection="1">
      <alignment horizontal="left" vertical="top" wrapText="1"/>
      <protection locked="0" hidden="1"/>
    </xf>
    <xf numFmtId="0" fontId="5" fillId="6" borderId="51" xfId="0" applyFont="1" applyFill="1" applyBorder="1" applyAlignment="1" applyProtection="1">
      <alignment horizontal="center" vertical="center"/>
      <protection hidden="1"/>
    </xf>
    <xf numFmtId="0" fontId="5" fillId="6" borderId="49" xfId="0" applyFont="1" applyFill="1" applyBorder="1" applyAlignment="1" applyProtection="1">
      <alignment horizontal="center" vertical="center"/>
      <protection hidden="1"/>
    </xf>
    <xf numFmtId="0" fontId="5" fillId="6" borderId="52" xfId="0" applyFont="1" applyFill="1" applyBorder="1" applyAlignment="1" applyProtection="1">
      <alignment horizontal="center" vertical="center"/>
      <protection hidden="1"/>
    </xf>
    <xf numFmtId="0" fontId="18" fillId="5" borderId="25" xfId="0" applyFont="1" applyFill="1" applyBorder="1" applyAlignment="1" applyProtection="1">
      <alignment horizontal="center" vertical="center"/>
      <protection hidden="1"/>
    </xf>
    <xf numFmtId="0" fontId="18" fillId="5" borderId="26" xfId="0" applyFont="1" applyFill="1" applyBorder="1" applyAlignment="1" applyProtection="1">
      <alignment horizontal="center" vertical="center"/>
      <protection hidden="1"/>
    </xf>
    <xf numFmtId="0" fontId="18" fillId="5" borderId="24" xfId="0" applyFont="1" applyFill="1" applyBorder="1" applyAlignment="1" applyProtection="1">
      <alignment horizontal="center" vertical="center"/>
      <protection hidden="1"/>
    </xf>
    <xf numFmtId="0" fontId="1" fillId="6" borderId="32" xfId="0" applyFont="1" applyFill="1" applyBorder="1" applyAlignment="1" applyProtection="1">
      <alignment horizontal="center" vertical="center"/>
      <protection hidden="1"/>
    </xf>
    <xf numFmtId="0" fontId="51" fillId="8" borderId="49" xfId="0" applyFont="1" applyFill="1" applyBorder="1" applyAlignment="1" applyProtection="1">
      <alignment horizontal="center" vertical="center"/>
      <protection hidden="1"/>
    </xf>
    <xf numFmtId="0" fontId="29" fillId="8" borderId="27" xfId="0" applyFont="1" applyFill="1" applyBorder="1" applyAlignment="1" applyProtection="1">
      <alignment horizontal="center" vertical="center"/>
      <protection hidden="1"/>
    </xf>
    <xf numFmtId="0" fontId="29" fillId="8" borderId="48" xfId="0" applyFont="1" applyFill="1" applyBorder="1" applyAlignment="1" applyProtection="1">
      <alignment horizontal="center" vertical="center"/>
      <protection hidden="1"/>
    </xf>
    <xf numFmtId="0" fontId="5" fillId="8" borderId="32" xfId="0" applyFont="1" applyFill="1" applyBorder="1" applyAlignment="1" applyProtection="1">
      <alignment horizontal="center" vertical="top" wrapText="1"/>
      <protection hidden="1"/>
    </xf>
    <xf numFmtId="0" fontId="5" fillId="8" borderId="33" xfId="0" applyFont="1" applyFill="1" applyBorder="1" applyAlignment="1" applyProtection="1">
      <alignment horizontal="center" vertical="top" wrapText="1"/>
      <protection hidden="1"/>
    </xf>
    <xf numFmtId="0" fontId="5" fillId="6" borderId="2" xfId="0" applyFont="1" applyFill="1" applyBorder="1" applyAlignment="1" applyProtection="1">
      <alignment horizontal="center" vertical="center"/>
      <protection hidden="1"/>
    </xf>
    <xf numFmtId="0" fontId="5" fillId="6" borderId="10" xfId="0" applyFont="1" applyFill="1" applyBorder="1" applyAlignment="1" applyProtection="1">
      <alignment horizontal="center" vertical="center"/>
      <protection hidden="1"/>
    </xf>
    <xf numFmtId="0" fontId="5" fillId="8" borderId="5" xfId="0" applyFont="1" applyFill="1" applyBorder="1" applyAlignment="1" applyProtection="1">
      <alignment horizontal="center" vertical="center"/>
      <protection hidden="1"/>
    </xf>
    <xf numFmtId="0" fontId="5" fillId="8" borderId="6" xfId="0" applyFont="1" applyFill="1" applyBorder="1" applyAlignment="1" applyProtection="1">
      <alignment horizontal="center" vertical="center"/>
      <protection hidden="1"/>
    </xf>
    <xf numFmtId="0" fontId="43" fillId="5" borderId="15" xfId="0" applyFont="1" applyFill="1" applyBorder="1" applyAlignment="1" applyProtection="1">
      <alignment horizontal="center" vertical="center"/>
      <protection hidden="1"/>
    </xf>
    <xf numFmtId="0" fontId="43" fillId="5" borderId="31" xfId="0" applyFont="1" applyFill="1" applyBorder="1" applyAlignment="1" applyProtection="1">
      <alignment horizontal="center" vertical="center"/>
      <protection hidden="1"/>
    </xf>
    <xf numFmtId="0" fontId="43" fillId="5" borderId="30" xfId="0" applyFont="1" applyFill="1" applyBorder="1" applyAlignment="1" applyProtection="1">
      <alignment horizontal="center" vertical="center"/>
      <protection hidden="1"/>
    </xf>
    <xf numFmtId="0" fontId="43" fillId="5" borderId="16" xfId="0" applyFont="1" applyFill="1" applyBorder="1" applyAlignment="1" applyProtection="1">
      <alignment horizontal="center" vertical="center"/>
      <protection hidden="1"/>
    </xf>
    <xf numFmtId="0" fontId="43" fillId="15" borderId="30" xfId="0" applyFont="1" applyFill="1" applyBorder="1" applyAlignment="1" applyProtection="1">
      <alignment horizontal="center" vertical="center"/>
      <protection hidden="1"/>
    </xf>
    <xf numFmtId="0" fontId="43" fillId="15" borderId="16" xfId="0" applyFont="1" applyFill="1" applyBorder="1" applyAlignment="1" applyProtection="1">
      <alignment horizontal="center" vertical="center"/>
      <protection hidden="1"/>
    </xf>
    <xf numFmtId="0" fontId="19" fillId="15" borderId="25" xfId="0" applyFont="1" applyFill="1" applyBorder="1" applyAlignment="1" applyProtection="1">
      <alignment horizontal="center" vertical="center" wrapText="1"/>
      <protection hidden="1"/>
    </xf>
    <xf numFmtId="0" fontId="19" fillId="15" borderId="26" xfId="0" applyFont="1" applyFill="1" applyBorder="1" applyAlignment="1" applyProtection="1">
      <alignment horizontal="center" vertical="center" wrapText="1"/>
      <protection hidden="1"/>
    </xf>
    <xf numFmtId="0" fontId="19" fillId="15" borderId="24" xfId="0" applyFont="1" applyFill="1" applyBorder="1" applyAlignment="1" applyProtection="1">
      <alignment horizontal="center" vertical="center" wrapText="1"/>
      <protection hidden="1"/>
    </xf>
    <xf numFmtId="0" fontId="9" fillId="6" borderId="3" xfId="0" applyFont="1" applyFill="1" applyBorder="1" applyAlignment="1" applyProtection="1">
      <alignment horizontal="left" vertical="center" wrapText="1"/>
      <protection hidden="1"/>
    </xf>
    <xf numFmtId="0" fontId="9" fillId="6" borderId="2" xfId="0" applyFont="1" applyFill="1" applyBorder="1" applyAlignment="1" applyProtection="1">
      <alignment horizontal="left" vertical="center" wrapText="1"/>
      <protection hidden="1"/>
    </xf>
    <xf numFmtId="0" fontId="25" fillId="6" borderId="7" xfId="0" applyFont="1" applyFill="1" applyBorder="1" applyAlignment="1" applyProtection="1">
      <alignment horizontal="center" vertical="center"/>
      <protection hidden="1"/>
    </xf>
    <xf numFmtId="0" fontId="25" fillId="6" borderId="8" xfId="0" applyFont="1" applyFill="1" applyBorder="1" applyAlignment="1" applyProtection="1">
      <alignment horizontal="center" vertical="center"/>
      <protection hidden="1"/>
    </xf>
    <xf numFmtId="164" fontId="10" fillId="11" borderId="15" xfId="0" applyNumberFormat="1" applyFont="1" applyFill="1" applyBorder="1" applyAlignment="1" applyProtection="1">
      <alignment horizontal="center" vertical="center"/>
      <protection hidden="1"/>
    </xf>
    <xf numFmtId="0" fontId="10" fillId="11" borderId="16" xfId="0" applyFont="1" applyFill="1" applyBorder="1" applyAlignment="1" applyProtection="1">
      <alignment horizontal="center" vertical="center"/>
      <protection hidden="1"/>
    </xf>
    <xf numFmtId="0" fontId="9" fillId="8" borderId="3" xfId="0" applyFont="1" applyFill="1" applyBorder="1" applyAlignment="1" applyProtection="1">
      <alignment horizontal="left" vertical="center" wrapText="1"/>
      <protection hidden="1"/>
    </xf>
    <xf numFmtId="0" fontId="9" fillId="8" borderId="2" xfId="0" applyFont="1" applyFill="1" applyBorder="1" applyAlignment="1" applyProtection="1">
      <alignment horizontal="left" vertical="center" wrapText="1"/>
      <protection hidden="1"/>
    </xf>
    <xf numFmtId="0" fontId="9" fillId="8" borderId="12" xfId="0" applyFont="1" applyFill="1" applyBorder="1" applyAlignment="1" applyProtection="1">
      <alignment horizontal="center" vertical="center" wrapText="1"/>
      <protection hidden="1"/>
    </xf>
    <xf numFmtId="0" fontId="9" fillId="8" borderId="5" xfId="0" applyFont="1" applyFill="1" applyBorder="1" applyAlignment="1" applyProtection="1">
      <alignment horizontal="center" vertical="center" wrapText="1"/>
      <protection hidden="1"/>
    </xf>
    <xf numFmtId="0" fontId="6" fillId="9" borderId="4" xfId="0" applyFont="1" applyFill="1" applyBorder="1" applyAlignment="1">
      <alignment horizontal="center" vertical="center"/>
    </xf>
    <xf numFmtId="0" fontId="6" fillId="9" borderId="35" xfId="0" applyFont="1" applyFill="1" applyBorder="1" applyAlignment="1">
      <alignment horizontal="center" vertical="center"/>
    </xf>
    <xf numFmtId="164" fontId="9" fillId="9" borderId="54" xfId="0" applyNumberFormat="1" applyFont="1" applyFill="1" applyBorder="1" applyAlignment="1" applyProtection="1">
      <alignment horizontal="center" vertical="center" wrapText="1"/>
      <protection hidden="1"/>
    </xf>
    <xf numFmtId="164" fontId="9" fillId="9" borderId="65" xfId="0" applyNumberFormat="1" applyFont="1" applyFill="1" applyBorder="1" applyAlignment="1" applyProtection="1">
      <alignment horizontal="center" vertical="center" wrapText="1"/>
      <protection hidden="1"/>
    </xf>
    <xf numFmtId="0" fontId="14" fillId="5" borderId="43" xfId="0" applyFont="1" applyFill="1" applyBorder="1" applyAlignment="1" applyProtection="1">
      <alignment horizontal="center" vertical="center" wrapText="1"/>
      <protection hidden="1"/>
    </xf>
    <xf numFmtId="0" fontId="14" fillId="5" borderId="48" xfId="0" applyFont="1" applyFill="1" applyBorder="1" applyAlignment="1" applyProtection="1">
      <alignment horizontal="center" vertical="center" wrapText="1"/>
      <protection hidden="1"/>
    </xf>
    <xf numFmtId="0" fontId="9" fillId="6" borderId="65" xfId="0" applyFont="1" applyFill="1" applyBorder="1" applyAlignment="1" applyProtection="1">
      <alignment horizontal="center" vertical="center" wrapText="1"/>
      <protection hidden="1"/>
    </xf>
    <xf numFmtId="0" fontId="9" fillId="6" borderId="48" xfId="0" applyFont="1" applyFill="1" applyBorder="1" applyAlignment="1" applyProtection="1">
      <alignment horizontal="center" vertical="center" wrapText="1"/>
      <protection hidden="1"/>
    </xf>
    <xf numFmtId="0" fontId="25" fillId="6" borderId="30" xfId="0" applyFont="1" applyFill="1" applyBorder="1" applyAlignment="1" applyProtection="1">
      <alignment horizontal="right" vertical="center" wrapText="1"/>
      <protection hidden="1"/>
    </xf>
    <xf numFmtId="0" fontId="25" fillId="6" borderId="31" xfId="0" applyFont="1" applyFill="1" applyBorder="1" applyAlignment="1" applyProtection="1">
      <alignment horizontal="right" vertical="center" wrapText="1"/>
      <protection hidden="1"/>
    </xf>
    <xf numFmtId="166" fontId="25" fillId="6" borderId="30" xfId="0" applyNumberFormat="1" applyFont="1" applyFill="1" applyBorder="1" applyAlignment="1" applyProtection="1">
      <alignment horizontal="right" vertical="center" wrapText="1"/>
      <protection hidden="1"/>
    </xf>
    <xf numFmtId="166" fontId="25" fillId="6" borderId="31" xfId="0" applyNumberFormat="1" applyFont="1" applyFill="1" applyBorder="1" applyAlignment="1" applyProtection="1">
      <alignment horizontal="right" vertical="center" wrapText="1"/>
      <protection hidden="1"/>
    </xf>
    <xf numFmtId="0" fontId="14" fillId="15" borderId="15" xfId="0" applyFont="1" applyFill="1" applyBorder="1" applyAlignment="1" applyProtection="1">
      <alignment horizontal="center" vertical="center" wrapText="1"/>
      <protection hidden="1"/>
    </xf>
    <xf numFmtId="0" fontId="14" fillId="15" borderId="16" xfId="0" applyFont="1" applyFill="1" applyBorder="1" applyAlignment="1" applyProtection="1">
      <alignment horizontal="center" vertical="center" wrapText="1"/>
      <protection hidden="1"/>
    </xf>
    <xf numFmtId="0" fontId="7" fillId="15" borderId="15" xfId="0" applyFont="1" applyFill="1" applyBorder="1" applyAlignment="1" applyProtection="1">
      <alignment horizontal="center" vertical="center"/>
      <protection hidden="1"/>
    </xf>
    <xf numFmtId="0" fontId="7" fillId="15" borderId="17" xfId="0" applyFont="1" applyFill="1" applyBorder="1" applyAlignment="1" applyProtection="1">
      <alignment horizontal="center" vertical="center"/>
      <protection hidden="1"/>
    </xf>
    <xf numFmtId="0" fontId="7" fillId="15" borderId="16" xfId="0" applyFont="1" applyFill="1" applyBorder="1" applyAlignment="1" applyProtection="1">
      <alignment horizontal="center" vertical="center"/>
      <protection hidden="1"/>
    </xf>
    <xf numFmtId="0" fontId="25" fillId="6" borderId="11" xfId="0" applyFont="1" applyFill="1" applyBorder="1" applyAlignment="1" applyProtection="1">
      <alignment horizontal="center" vertical="center"/>
      <protection hidden="1"/>
    </xf>
    <xf numFmtId="0" fontId="25" fillId="6" borderId="3" xfId="0" applyFont="1" applyFill="1" applyBorder="1" applyAlignment="1" applyProtection="1">
      <alignment horizontal="center" vertical="center"/>
      <protection hidden="1"/>
    </xf>
    <xf numFmtId="0" fontId="25" fillId="6" borderId="12" xfId="0" applyFont="1" applyFill="1" applyBorder="1" applyAlignment="1" applyProtection="1">
      <alignment horizontal="center" vertical="center"/>
      <protection hidden="1"/>
    </xf>
    <xf numFmtId="0" fontId="9" fillId="6" borderId="12" xfId="0" applyFont="1" applyFill="1" applyBorder="1" applyAlignment="1" applyProtection="1">
      <alignment horizontal="left" vertical="center" wrapText="1"/>
      <protection hidden="1"/>
    </xf>
    <xf numFmtId="0" fontId="9" fillId="6" borderId="5" xfId="0" applyFont="1" applyFill="1" applyBorder="1" applyAlignment="1" applyProtection="1">
      <alignment horizontal="left" vertical="center" wrapText="1"/>
      <protection hidden="1"/>
    </xf>
    <xf numFmtId="0" fontId="7" fillId="5" borderId="15"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2" fontId="5" fillId="14" borderId="61" xfId="2" applyBorder="1" applyAlignment="1" applyProtection="1">
      <alignment horizontal="center" vertical="center"/>
      <protection locked="0" hidden="1"/>
    </xf>
    <xf numFmtId="2" fontId="5" fillId="14" borderId="66" xfId="2" applyBorder="1" applyAlignment="1" applyProtection="1">
      <alignment horizontal="center" vertical="center"/>
      <protection locked="0" hidden="1"/>
    </xf>
    <xf numFmtId="0" fontId="5" fillId="3" borderId="7" xfId="0" applyFont="1" applyFill="1" applyBorder="1" applyAlignment="1" applyProtection="1">
      <alignment horizontal="center"/>
      <protection hidden="1"/>
    </xf>
    <xf numFmtId="0" fontId="5" fillId="3" borderId="30" xfId="0" applyFont="1" applyFill="1" applyBorder="1" applyAlignment="1" applyProtection="1">
      <alignment horizontal="center"/>
      <protection hidden="1"/>
    </xf>
    <xf numFmtId="0" fontId="45" fillId="0" borderId="15"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5" fillId="14" borderId="25" xfId="2" applyNumberFormat="1" applyBorder="1" applyAlignment="1" applyProtection="1">
      <alignment horizontal="center" vertical="center"/>
      <protection locked="0" hidden="1"/>
    </xf>
    <xf numFmtId="0" fontId="5" fillId="14" borderId="24" xfId="2" applyNumberFormat="1" applyBorder="1" applyAlignment="1" applyProtection="1">
      <alignment horizontal="center" vertical="center"/>
      <protection locked="0" hidden="1"/>
    </xf>
    <xf numFmtId="0" fontId="5" fillId="14" borderId="54" xfId="2" applyNumberFormat="1" applyBorder="1" applyAlignment="1" applyProtection="1">
      <alignment horizontal="center" vertical="center"/>
      <protection locked="0" hidden="1"/>
    </xf>
    <xf numFmtId="0" fontId="5" fillId="14" borderId="23" xfId="2" applyNumberFormat="1" applyBorder="1" applyAlignment="1" applyProtection="1">
      <alignment horizontal="center" vertical="center"/>
      <protection locked="0" hidden="1"/>
    </xf>
    <xf numFmtId="0" fontId="7" fillId="5" borderId="51" xfId="0" applyFont="1" applyFill="1" applyBorder="1" applyAlignment="1" applyProtection="1">
      <alignment horizontal="center" vertical="center"/>
      <protection hidden="1"/>
    </xf>
    <xf numFmtId="0" fontId="7" fillId="5" borderId="49" xfId="0" applyFont="1" applyFill="1" applyBorder="1" applyAlignment="1" applyProtection="1">
      <alignment horizontal="center" vertical="center"/>
      <protection hidden="1"/>
    </xf>
    <xf numFmtId="0" fontId="7" fillId="5" borderId="52" xfId="0" applyFont="1" applyFill="1" applyBorder="1" applyAlignment="1" applyProtection="1">
      <alignment horizontal="center" vertical="center"/>
      <protection hidden="1"/>
    </xf>
    <xf numFmtId="0" fontId="41" fillId="8" borderId="0" xfId="0" applyFont="1" applyFill="1" applyAlignment="1" applyProtection="1">
      <alignment horizontal="center" vertical="center" wrapText="1"/>
      <protection hidden="1"/>
    </xf>
    <xf numFmtId="0" fontId="41" fillId="8" borderId="29" xfId="0" applyFont="1" applyFill="1" applyBorder="1" applyAlignment="1" applyProtection="1">
      <alignment horizontal="center" vertical="center" wrapText="1"/>
      <protection hidden="1"/>
    </xf>
    <xf numFmtId="0" fontId="41" fillId="8" borderId="28" xfId="0" applyFont="1" applyFill="1" applyBorder="1" applyAlignment="1" applyProtection="1">
      <alignment horizontal="center" vertical="center" wrapText="1"/>
      <protection hidden="1"/>
    </xf>
    <xf numFmtId="0" fontId="41" fillId="8" borderId="23" xfId="0" applyFont="1" applyFill="1" applyBorder="1" applyAlignment="1" applyProtection="1">
      <alignment horizontal="center" vertical="center" wrapText="1"/>
      <protection hidden="1"/>
    </xf>
    <xf numFmtId="0" fontId="25" fillId="6" borderId="43" xfId="0" applyFont="1" applyFill="1" applyBorder="1" applyAlignment="1" applyProtection="1">
      <alignment horizontal="center" vertical="center" wrapText="1"/>
      <protection hidden="1"/>
    </xf>
    <xf numFmtId="0" fontId="25" fillId="6" borderId="48" xfId="0" applyFont="1" applyFill="1" applyBorder="1" applyAlignment="1" applyProtection="1">
      <alignment horizontal="center" vertical="center" wrapText="1"/>
      <protection hidden="1"/>
    </xf>
    <xf numFmtId="0" fontId="25" fillId="6" borderId="55" xfId="0" applyFont="1" applyFill="1" applyBorder="1" applyAlignment="1" applyProtection="1">
      <alignment horizontal="center" vertical="center" wrapText="1"/>
      <protection hidden="1"/>
    </xf>
    <xf numFmtId="0" fontId="42" fillId="15" borderId="15" xfId="0" applyFont="1" applyFill="1" applyBorder="1" applyAlignment="1" applyProtection="1">
      <alignment horizontal="center" vertical="center" wrapText="1"/>
      <protection hidden="1"/>
    </xf>
    <xf numFmtId="0" fontId="42" fillId="15" borderId="17" xfId="0" applyFont="1" applyFill="1" applyBorder="1" applyAlignment="1" applyProtection="1">
      <alignment horizontal="center" vertical="center" wrapText="1"/>
      <protection hidden="1"/>
    </xf>
    <xf numFmtId="0" fontId="42" fillId="15" borderId="16" xfId="0" applyFont="1" applyFill="1" applyBorder="1" applyAlignment="1" applyProtection="1">
      <alignment horizontal="center" vertical="center" wrapText="1"/>
      <protection hidden="1"/>
    </xf>
    <xf numFmtId="0" fontId="5" fillId="6" borderId="32" xfId="0" applyFont="1" applyFill="1" applyBorder="1" applyAlignment="1" applyProtection="1">
      <alignment horizontal="center" vertical="top" wrapText="1"/>
      <protection hidden="1"/>
    </xf>
    <xf numFmtId="0" fontId="5" fillId="6" borderId="33" xfId="0" applyFont="1" applyFill="1" applyBorder="1" applyAlignment="1" applyProtection="1">
      <alignment horizontal="center" vertical="top" wrapText="1"/>
      <protection hidden="1"/>
    </xf>
    <xf numFmtId="0" fontId="25" fillId="6" borderId="30" xfId="0" applyFont="1" applyFill="1" applyBorder="1" applyAlignment="1" applyProtection="1">
      <alignment horizontal="center" vertical="center"/>
      <protection hidden="1"/>
    </xf>
    <xf numFmtId="164" fontId="10" fillId="11" borderId="15" xfId="0" applyNumberFormat="1" applyFont="1" applyFill="1" applyBorder="1" applyAlignment="1" applyProtection="1">
      <alignment horizontal="center" vertical="center"/>
      <protection locked="0" hidden="1"/>
    </xf>
    <xf numFmtId="0" fontId="10" fillId="11" borderId="16" xfId="0" applyFont="1" applyFill="1" applyBorder="1" applyAlignment="1" applyProtection="1">
      <alignment horizontal="center" vertical="center"/>
      <protection locked="0" hidden="1"/>
    </xf>
    <xf numFmtId="0" fontId="14" fillId="15" borderId="17" xfId="0" applyFont="1" applyFill="1" applyBorder="1" applyAlignment="1" applyProtection="1">
      <alignment horizontal="center" vertical="center" wrapText="1"/>
      <protection hidden="1"/>
    </xf>
    <xf numFmtId="0" fontId="41" fillId="8" borderId="26" xfId="0" applyFont="1" applyFill="1" applyBorder="1" applyAlignment="1" applyProtection="1">
      <alignment horizontal="center" vertical="center" wrapText="1"/>
      <protection hidden="1"/>
    </xf>
    <xf numFmtId="0" fontId="41" fillId="8" borderId="24" xfId="0" applyFont="1" applyFill="1" applyBorder="1" applyAlignment="1" applyProtection="1">
      <alignment horizontal="center" vertical="center" wrapText="1"/>
      <protection hidden="1"/>
    </xf>
    <xf numFmtId="0" fontId="25" fillId="6" borderId="7" xfId="0" applyFont="1" applyFill="1" applyBorder="1" applyAlignment="1" applyProtection="1">
      <alignment horizontal="center" vertical="center" wrapText="1"/>
      <protection hidden="1"/>
    </xf>
    <xf numFmtId="0" fontId="25" fillId="6" borderId="8" xfId="0" applyFont="1" applyFill="1" applyBorder="1" applyAlignment="1" applyProtection="1">
      <alignment horizontal="center" vertical="center" wrapText="1"/>
      <protection hidden="1"/>
    </xf>
    <xf numFmtId="0" fontId="25" fillId="6" borderId="9" xfId="0" applyFont="1" applyFill="1" applyBorder="1" applyAlignment="1" applyProtection="1">
      <alignment horizontal="center" vertical="center" wrapText="1"/>
      <protection hidden="1"/>
    </xf>
    <xf numFmtId="0" fontId="19" fillId="5" borderId="21" xfId="0" applyFont="1" applyFill="1" applyBorder="1" applyAlignment="1" applyProtection="1">
      <alignment horizontal="center" vertical="center"/>
      <protection hidden="1"/>
    </xf>
    <xf numFmtId="0" fontId="19" fillId="5" borderId="0" xfId="0" applyFont="1" applyFill="1" applyAlignment="1" applyProtection="1">
      <alignment horizontal="center" vertical="center"/>
      <protection hidden="1"/>
    </xf>
    <xf numFmtId="0" fontId="7" fillId="5" borderId="15" xfId="0" applyFont="1" applyFill="1" applyBorder="1" applyAlignment="1" applyProtection="1">
      <alignment horizontal="center" vertical="center"/>
      <protection hidden="1"/>
    </xf>
    <xf numFmtId="0" fontId="7" fillId="5" borderId="17" xfId="0" applyFont="1" applyFill="1" applyBorder="1" applyAlignment="1" applyProtection="1">
      <alignment horizontal="center" vertical="center"/>
      <protection hidden="1"/>
    </xf>
    <xf numFmtId="0" fontId="7" fillId="5" borderId="16" xfId="0" applyFont="1" applyFill="1" applyBorder="1" applyAlignment="1" applyProtection="1">
      <alignment horizontal="center" vertical="center"/>
      <protection hidden="1"/>
    </xf>
    <xf numFmtId="2" fontId="5" fillId="14" borderId="38" xfId="2" applyBorder="1" applyAlignment="1" applyProtection="1">
      <alignment horizontal="center" vertical="center"/>
      <protection locked="0" hidden="1"/>
    </xf>
    <xf numFmtId="0" fontId="25" fillId="8" borderId="54" xfId="0" applyFont="1" applyFill="1" applyBorder="1" applyAlignment="1">
      <alignment horizontal="center" vertical="center" wrapText="1"/>
    </xf>
    <xf numFmtId="0" fontId="25" fillId="8" borderId="23" xfId="0" applyFont="1" applyFill="1" applyBorder="1" applyAlignment="1">
      <alignment horizontal="center" vertical="center" wrapText="1"/>
    </xf>
    <xf numFmtId="0" fontId="7" fillId="5" borderId="11" xfId="0" applyFont="1" applyFill="1" applyBorder="1" applyAlignment="1">
      <alignment horizontal="left" vertical="center" wrapText="1"/>
    </xf>
    <xf numFmtId="0" fontId="7" fillId="5" borderId="32" xfId="0" applyFont="1" applyFill="1" applyBorder="1" applyAlignment="1">
      <alignment horizontal="left" vertical="center" wrapText="1"/>
    </xf>
    <xf numFmtId="0" fontId="7" fillId="5" borderId="15" xfId="0" applyFont="1" applyFill="1" applyBorder="1" applyAlignment="1">
      <alignment horizontal="center" vertical="center"/>
    </xf>
    <xf numFmtId="0" fontId="7" fillId="5" borderId="17" xfId="0" applyFont="1" applyFill="1" applyBorder="1" applyAlignment="1">
      <alignment horizontal="center" vertical="center"/>
    </xf>
    <xf numFmtId="0" fontId="7" fillId="5" borderId="16" xfId="0" applyFont="1" applyFill="1" applyBorder="1" applyAlignment="1">
      <alignment horizontal="center" vertical="center"/>
    </xf>
    <xf numFmtId="0" fontId="7" fillId="5" borderId="12" xfId="0" applyFont="1" applyFill="1" applyBorder="1" applyAlignment="1">
      <alignment horizontal="left" vertical="center" wrapText="1"/>
    </xf>
    <xf numFmtId="0" fontId="7" fillId="5" borderId="5" xfId="0" applyFont="1" applyFill="1" applyBorder="1" applyAlignment="1">
      <alignment horizontal="left" vertical="center" wrapText="1"/>
    </xf>
    <xf numFmtId="0" fontId="25" fillId="8" borderId="15" xfId="0" applyFont="1" applyFill="1" applyBorder="1" applyAlignment="1">
      <alignment horizontal="center" vertical="center" wrapText="1"/>
    </xf>
    <xf numFmtId="0" fontId="25" fillId="8" borderId="16" xfId="0" applyFont="1" applyFill="1" applyBorder="1" applyAlignment="1">
      <alignment horizontal="center" vertical="center" wrapText="1"/>
    </xf>
    <xf numFmtId="0" fontId="5" fillId="6" borderId="1" xfId="0" applyFont="1" applyFill="1" applyBorder="1" applyAlignment="1">
      <alignment horizontal="center" wrapText="1"/>
    </xf>
    <xf numFmtId="0" fontId="25" fillId="6" borderId="1" xfId="0" applyFont="1" applyFill="1" applyBorder="1" applyAlignment="1">
      <alignment horizontal="center" wrapText="1"/>
    </xf>
    <xf numFmtId="0" fontId="25" fillId="6" borderId="50" xfId="0" applyFont="1" applyFill="1" applyBorder="1" applyAlignment="1">
      <alignment horizontal="center" wrapText="1"/>
    </xf>
    <xf numFmtId="0" fontId="19" fillId="15" borderId="15" xfId="0" applyFont="1" applyFill="1" applyBorder="1" applyAlignment="1">
      <alignment horizontal="center" vertical="center"/>
    </xf>
    <xf numFmtId="0" fontId="19" fillId="15" borderId="17" xfId="0" applyFont="1" applyFill="1" applyBorder="1" applyAlignment="1">
      <alignment horizontal="center" vertical="center"/>
    </xf>
    <xf numFmtId="0" fontId="19" fillId="15" borderId="16" xfId="0" applyFont="1" applyFill="1" applyBorder="1" applyAlignment="1">
      <alignment horizontal="center" vertical="center"/>
    </xf>
    <xf numFmtId="0" fontId="19" fillId="5" borderId="21" xfId="0" applyFont="1" applyFill="1" applyBorder="1" applyAlignment="1">
      <alignment horizontal="center" vertical="center"/>
    </xf>
    <xf numFmtId="0" fontId="19" fillId="5" borderId="0" xfId="0" applyFont="1" applyFill="1" applyAlignment="1">
      <alignment horizontal="center" vertical="center"/>
    </xf>
    <xf numFmtId="0" fontId="14" fillId="5" borderId="15" xfId="0" applyFont="1" applyFill="1" applyBorder="1" applyAlignment="1">
      <alignment horizontal="center" vertical="center"/>
    </xf>
    <xf numFmtId="0" fontId="14" fillId="5" borderId="31"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16" xfId="0" applyFont="1" applyFill="1" applyBorder="1" applyAlignment="1">
      <alignment horizontal="center" vertical="center"/>
    </xf>
    <xf numFmtId="0" fontId="14" fillId="15" borderId="30" xfId="0" applyFont="1" applyFill="1" applyBorder="1" applyAlignment="1">
      <alignment horizontal="center" vertical="center"/>
    </xf>
    <xf numFmtId="0" fontId="14" fillId="15" borderId="17" xfId="0" applyFont="1" applyFill="1" applyBorder="1" applyAlignment="1">
      <alignment horizontal="center" vertical="center"/>
    </xf>
    <xf numFmtId="0" fontId="42" fillId="15" borderId="26" xfId="0" applyFont="1" applyFill="1" applyBorder="1" applyAlignment="1" applyProtection="1">
      <alignment horizontal="center" vertical="center" wrapText="1"/>
      <protection hidden="1"/>
    </xf>
    <xf numFmtId="0" fontId="42" fillId="15" borderId="24" xfId="0" applyFont="1" applyFill="1" applyBorder="1" applyAlignment="1" applyProtection="1">
      <alignment horizontal="center" vertical="center" wrapText="1"/>
      <protection hidden="1"/>
    </xf>
    <xf numFmtId="0" fontId="5" fillId="6" borderId="51" xfId="0" applyFont="1" applyFill="1" applyBorder="1" applyAlignment="1">
      <alignment horizontal="center" vertical="center"/>
    </xf>
    <xf numFmtId="0" fontId="5" fillId="6" borderId="49" xfId="0" applyFont="1" applyFill="1" applyBorder="1" applyAlignment="1">
      <alignment horizontal="center" vertical="center"/>
    </xf>
    <xf numFmtId="0" fontId="5" fillId="6" borderId="52" xfId="0" applyFont="1" applyFill="1" applyBorder="1" applyAlignment="1">
      <alignment horizontal="center" vertical="center"/>
    </xf>
    <xf numFmtId="0" fontId="18" fillId="5" borderId="25" xfId="0" applyFont="1" applyFill="1" applyBorder="1" applyAlignment="1">
      <alignment horizontal="center" vertical="center"/>
    </xf>
    <xf numFmtId="0" fontId="18" fillId="5" borderId="26" xfId="0" applyFont="1" applyFill="1" applyBorder="1" applyAlignment="1">
      <alignment horizontal="center" vertical="center"/>
    </xf>
    <xf numFmtId="0" fontId="18" fillId="5" borderId="24" xfId="0" applyFont="1" applyFill="1" applyBorder="1" applyAlignment="1">
      <alignment horizontal="center" vertical="center"/>
    </xf>
    <xf numFmtId="0" fontId="1" fillId="6" borderId="32" xfId="0" applyFont="1" applyFill="1" applyBorder="1" applyAlignment="1">
      <alignment horizontal="center" vertical="center"/>
    </xf>
    <xf numFmtId="0" fontId="51" fillId="8" borderId="49" xfId="0" applyFont="1" applyFill="1" applyBorder="1" applyAlignment="1">
      <alignment horizontal="center" vertical="center"/>
    </xf>
    <xf numFmtId="0" fontId="29" fillId="8" borderId="27" xfId="0" applyFont="1" applyFill="1" applyBorder="1" applyAlignment="1">
      <alignment horizontal="center" vertical="center"/>
    </xf>
    <xf numFmtId="0" fontId="29" fillId="8" borderId="48" xfId="0" applyFont="1" applyFill="1" applyBorder="1" applyAlignment="1">
      <alignment horizontal="center" vertical="center"/>
    </xf>
    <xf numFmtId="0" fontId="5" fillId="8" borderId="32" xfId="0" applyFont="1" applyFill="1" applyBorder="1" applyAlignment="1">
      <alignment horizontal="center" vertical="top" wrapText="1"/>
    </xf>
    <xf numFmtId="0" fontId="5" fillId="8" borderId="33" xfId="0" applyFont="1" applyFill="1" applyBorder="1" applyAlignment="1">
      <alignment horizontal="center" vertical="top" wrapText="1"/>
    </xf>
    <xf numFmtId="0" fontId="5" fillId="6" borderId="2" xfId="0" applyFont="1" applyFill="1" applyBorder="1" applyAlignment="1">
      <alignment horizontal="center" vertical="center"/>
    </xf>
    <xf numFmtId="0" fontId="5" fillId="6" borderId="10" xfId="0" applyFont="1" applyFill="1" applyBorder="1" applyAlignment="1">
      <alignment horizontal="center" vertical="center"/>
    </xf>
    <xf numFmtId="0" fontId="5" fillId="8" borderId="5" xfId="0" applyFont="1" applyFill="1" applyBorder="1" applyAlignment="1">
      <alignment horizontal="center" vertical="center"/>
    </xf>
    <xf numFmtId="0" fontId="5" fillId="8" borderId="6" xfId="0" applyFont="1" applyFill="1" applyBorder="1" applyAlignment="1">
      <alignment horizontal="center" vertical="center"/>
    </xf>
    <xf numFmtId="0" fontId="25" fillId="6" borderId="11"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12" xfId="0" applyFont="1" applyFill="1" applyBorder="1" applyAlignment="1">
      <alignment horizontal="center" vertical="center"/>
    </xf>
    <xf numFmtId="0" fontId="7" fillId="5" borderId="26" xfId="0" applyFont="1" applyFill="1" applyBorder="1" applyAlignment="1">
      <alignment horizontal="center" vertical="center"/>
    </xf>
    <xf numFmtId="0" fontId="25" fillId="6" borderId="25" xfId="0" applyFont="1" applyFill="1" applyBorder="1" applyAlignment="1">
      <alignment horizontal="center" vertical="center" wrapText="1"/>
    </xf>
    <xf numFmtId="0" fontId="25" fillId="6" borderId="24" xfId="0" applyFont="1" applyFill="1" applyBorder="1" applyAlignment="1">
      <alignment horizontal="center" vertical="center" wrapText="1"/>
    </xf>
    <xf numFmtId="0" fontId="25" fillId="6" borderId="54" xfId="0" applyFont="1" applyFill="1" applyBorder="1" applyAlignment="1">
      <alignment horizontal="center" vertical="center" wrapText="1"/>
    </xf>
    <xf numFmtId="0" fontId="25" fillId="6" borderId="23" xfId="0" applyFont="1" applyFill="1" applyBorder="1" applyAlignment="1">
      <alignment horizontal="center" vertical="center" wrapText="1"/>
    </xf>
    <xf numFmtId="0" fontId="25" fillId="6" borderId="7" xfId="0" applyFont="1" applyFill="1" applyBorder="1" applyAlignment="1">
      <alignment horizontal="center" vertical="center" wrapText="1"/>
    </xf>
    <xf numFmtId="0" fontId="25" fillId="6" borderId="8" xfId="0" applyFont="1" applyFill="1" applyBorder="1" applyAlignment="1">
      <alignment horizontal="center" vertical="center" wrapText="1"/>
    </xf>
    <xf numFmtId="0" fontId="25" fillId="6" borderId="9" xfId="0" applyFont="1" applyFill="1" applyBorder="1" applyAlignment="1">
      <alignment horizontal="center" vertical="center" wrapText="1"/>
    </xf>
    <xf numFmtId="0" fontId="7" fillId="15" borderId="15" xfId="0" applyFont="1" applyFill="1" applyBorder="1" applyAlignment="1">
      <alignment horizontal="center" vertical="center"/>
    </xf>
    <xf numFmtId="0" fontId="7" fillId="15" borderId="17" xfId="0" applyFont="1" applyFill="1" applyBorder="1" applyAlignment="1">
      <alignment horizontal="center" vertical="center"/>
    </xf>
    <xf numFmtId="0" fontId="7" fillId="15" borderId="16" xfId="0" applyFont="1" applyFill="1" applyBorder="1" applyAlignment="1">
      <alignment horizontal="center" vertical="center"/>
    </xf>
    <xf numFmtId="0" fontId="5" fillId="30" borderId="15" xfId="0" applyFont="1" applyFill="1" applyBorder="1" applyAlignment="1" applyProtection="1">
      <alignment horizontal="left" vertical="top" wrapText="1"/>
      <protection hidden="1"/>
    </xf>
    <xf numFmtId="0" fontId="5" fillId="30" borderId="17" xfId="0" applyFont="1" applyFill="1" applyBorder="1" applyAlignment="1" applyProtection="1">
      <alignment horizontal="left" vertical="top" wrapText="1"/>
      <protection hidden="1"/>
    </xf>
    <xf numFmtId="0" fontId="5" fillId="30" borderId="16" xfId="0" applyFont="1" applyFill="1" applyBorder="1" applyAlignment="1" applyProtection="1">
      <alignment horizontal="left" vertical="top" wrapText="1"/>
      <protection hidden="1"/>
    </xf>
    <xf numFmtId="0" fontId="19" fillId="15" borderId="21" xfId="0" applyFont="1" applyFill="1" applyBorder="1" applyAlignment="1">
      <alignment horizontal="center" vertical="center"/>
    </xf>
    <xf numFmtId="0" fontId="19" fillId="15" borderId="0" xfId="0" applyFont="1" applyFill="1" applyAlignment="1">
      <alignment horizontal="center" vertical="center"/>
    </xf>
    <xf numFmtId="0" fontId="25" fillId="6" borderId="7" xfId="0" applyFont="1" applyFill="1" applyBorder="1" applyAlignment="1">
      <alignment horizontal="center" vertical="center"/>
    </xf>
    <xf numFmtId="0" fontId="25" fillId="6" borderId="8" xfId="0" applyFont="1" applyFill="1" applyBorder="1" applyAlignment="1">
      <alignment horizontal="center" vertical="center"/>
    </xf>
    <xf numFmtId="0" fontId="9" fillId="6" borderId="3" xfId="0" applyFont="1" applyFill="1" applyBorder="1" applyAlignment="1">
      <alignment horizontal="left" vertical="center" wrapText="1"/>
    </xf>
    <xf numFmtId="0" fontId="9" fillId="6" borderId="2" xfId="0" applyFont="1" applyFill="1" applyBorder="1" applyAlignment="1">
      <alignment horizontal="left" vertical="center" wrapText="1"/>
    </xf>
    <xf numFmtId="0" fontId="9" fillId="8" borderId="3" xfId="0"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8" borderId="12"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7" fillId="5" borderId="25" xfId="0" applyFont="1" applyFill="1" applyBorder="1" applyAlignment="1">
      <alignment horizontal="center" vertical="center"/>
    </xf>
    <xf numFmtId="0" fontId="7" fillId="5" borderId="24" xfId="0" applyFont="1" applyFill="1" applyBorder="1" applyAlignment="1">
      <alignment horizontal="center" vertical="center"/>
    </xf>
    <xf numFmtId="164" fontId="9" fillId="9" borderId="54" xfId="0" applyNumberFormat="1" applyFont="1" applyFill="1" applyBorder="1" applyAlignment="1">
      <alignment horizontal="center" vertical="center" wrapText="1"/>
    </xf>
    <xf numFmtId="164" fontId="9" fillId="9" borderId="65" xfId="0" applyNumberFormat="1" applyFont="1" applyFill="1" applyBorder="1" applyAlignment="1">
      <alignment horizontal="center" vertical="center" wrapText="1"/>
    </xf>
    <xf numFmtId="0" fontId="14" fillId="5" borderId="43"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9" fillId="6" borderId="65"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19" fillId="5" borderId="15" xfId="0" applyFont="1" applyFill="1" applyBorder="1" applyAlignment="1">
      <alignment horizontal="center" vertical="center"/>
    </xf>
    <xf numFmtId="0" fontId="19" fillId="5" borderId="17" xfId="0" applyFont="1" applyFill="1" applyBorder="1" applyAlignment="1">
      <alignment horizontal="center" vertical="center"/>
    </xf>
    <xf numFmtId="0" fontId="19" fillId="5" borderId="16" xfId="0" applyFont="1" applyFill="1" applyBorder="1" applyAlignment="1">
      <alignment horizontal="center" vertical="center"/>
    </xf>
    <xf numFmtId="0" fontId="14" fillId="15" borderId="15"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5" fillId="3" borderId="7" xfId="0" applyFont="1" applyFill="1" applyBorder="1" applyAlignment="1">
      <alignment horizontal="center"/>
    </xf>
    <xf numFmtId="0" fontId="5" fillId="3" borderId="30" xfId="0" applyFont="1" applyFill="1" applyBorder="1" applyAlignment="1">
      <alignment horizontal="center"/>
    </xf>
    <xf numFmtId="0" fontId="45" fillId="0" borderId="15" xfId="0" applyFont="1" applyBorder="1" applyAlignment="1">
      <alignment horizontal="center" vertical="center"/>
    </xf>
    <xf numFmtId="0" fontId="45" fillId="0" borderId="17" xfId="0" applyFont="1" applyBorder="1" applyAlignment="1">
      <alignment horizontal="center" vertical="center"/>
    </xf>
    <xf numFmtId="0" fontId="45" fillId="0" borderId="16" xfId="0" applyFont="1" applyBorder="1" applyAlignment="1">
      <alignment horizontal="center" vertical="center"/>
    </xf>
    <xf numFmtId="0" fontId="7" fillId="5" borderId="51" xfId="0" applyFont="1" applyFill="1" applyBorder="1" applyAlignment="1">
      <alignment horizontal="center" vertical="center"/>
    </xf>
    <xf numFmtId="0" fontId="7" fillId="5" borderId="49" xfId="0" applyFont="1" applyFill="1" applyBorder="1" applyAlignment="1">
      <alignment horizontal="center" vertical="center"/>
    </xf>
    <xf numFmtId="0" fontId="7" fillId="5" borderId="52" xfId="0" applyFont="1" applyFill="1" applyBorder="1" applyAlignment="1">
      <alignment horizontal="center" vertical="center"/>
    </xf>
    <xf numFmtId="0" fontId="10" fillId="6" borderId="3" xfId="0" applyFont="1" applyFill="1" applyBorder="1" applyAlignment="1">
      <alignment horizontal="left" vertical="center" wrapText="1"/>
    </xf>
    <xf numFmtId="0" fontId="10" fillId="6" borderId="2"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5" xfId="0" applyFont="1" applyFill="1" applyBorder="1" applyAlignment="1">
      <alignment horizontal="left" vertical="center" wrapText="1"/>
    </xf>
    <xf numFmtId="0" fontId="25" fillId="6" borderId="21" xfId="0" applyFont="1" applyFill="1" applyBorder="1" applyAlignment="1" applyProtection="1">
      <alignment horizontal="center" vertical="center" wrapText="1"/>
      <protection hidden="1"/>
    </xf>
    <xf numFmtId="0" fontId="25" fillId="6" borderId="29" xfId="0" applyFont="1" applyFill="1" applyBorder="1" applyAlignment="1" applyProtection="1">
      <alignment horizontal="center" vertical="center" wrapText="1"/>
      <protection hidden="1"/>
    </xf>
    <xf numFmtId="0" fontId="25" fillId="6" borderId="54" xfId="0" applyFont="1" applyFill="1" applyBorder="1" applyAlignment="1" applyProtection="1">
      <alignment horizontal="center" vertical="center" wrapText="1"/>
      <protection hidden="1"/>
    </xf>
    <xf numFmtId="0" fontId="25" fillId="6" borderId="23" xfId="0" applyFont="1" applyFill="1" applyBorder="1" applyAlignment="1" applyProtection="1">
      <alignment horizontal="center" vertical="center" wrapText="1"/>
      <protection hidden="1"/>
    </xf>
    <xf numFmtId="0" fontId="6" fillId="9" borderId="4" xfId="0" applyFont="1" applyFill="1" applyBorder="1" applyAlignment="1" applyProtection="1">
      <alignment horizontal="center" vertical="center"/>
      <protection hidden="1"/>
    </xf>
    <xf numFmtId="0" fontId="6" fillId="9" borderId="35" xfId="0" applyFont="1" applyFill="1" applyBorder="1" applyAlignment="1" applyProtection="1">
      <alignment horizontal="center" vertical="center"/>
      <protection hidden="1"/>
    </xf>
    <xf numFmtId="0" fontId="19" fillId="5" borderId="25" xfId="0" applyFont="1" applyFill="1" applyBorder="1" applyAlignment="1" applyProtection="1">
      <alignment horizontal="center" vertical="center"/>
      <protection hidden="1"/>
    </xf>
    <xf numFmtId="0" fontId="19" fillId="5" borderId="26" xfId="0" applyFont="1" applyFill="1" applyBorder="1" applyAlignment="1" applyProtection="1">
      <alignment horizontal="center" vertical="center"/>
      <protection hidden="1"/>
    </xf>
    <xf numFmtId="0" fontId="19" fillId="5" borderId="24" xfId="0" applyFont="1" applyFill="1" applyBorder="1" applyAlignment="1" applyProtection="1">
      <alignment horizontal="center" vertical="center"/>
      <protection hidden="1"/>
    </xf>
    <xf numFmtId="0" fontId="19" fillId="5" borderId="54" xfId="0" applyFont="1" applyFill="1" applyBorder="1" applyAlignment="1" applyProtection="1">
      <alignment horizontal="center" vertical="center"/>
      <protection hidden="1"/>
    </xf>
    <xf numFmtId="0" fontId="19" fillId="5" borderId="28" xfId="0" applyFont="1" applyFill="1" applyBorder="1" applyAlignment="1" applyProtection="1">
      <alignment horizontal="center" vertical="center"/>
      <protection hidden="1"/>
    </xf>
    <xf numFmtId="0" fontId="19" fillId="5" borderId="23" xfId="0" applyFont="1" applyFill="1" applyBorder="1" applyAlignment="1" applyProtection="1">
      <alignment horizontal="center" vertical="center"/>
      <protection hidden="1"/>
    </xf>
    <xf numFmtId="0" fontId="42" fillId="15" borderId="25" xfId="0" applyFont="1" applyFill="1" applyBorder="1" applyAlignment="1" applyProtection="1">
      <alignment horizontal="center" vertical="center" wrapText="1"/>
      <protection hidden="1"/>
    </xf>
    <xf numFmtId="0" fontId="1" fillId="0" borderId="25" xfId="0" applyFont="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1" fillId="0" borderId="54" xfId="0" applyFont="1" applyBorder="1" applyAlignment="1" applyProtection="1">
      <alignment horizontal="center" vertical="center" wrapText="1"/>
      <protection hidden="1"/>
    </xf>
    <xf numFmtId="0" fontId="1" fillId="0" borderId="23" xfId="0" applyFont="1" applyBorder="1" applyAlignment="1" applyProtection="1">
      <alignment horizontal="center" vertical="center" wrapText="1"/>
      <protection hidden="1"/>
    </xf>
    <xf numFmtId="0" fontId="1" fillId="0" borderId="0" xfId="0" applyFont="1" applyAlignment="1" applyProtection="1">
      <alignment horizontal="center" wrapText="1"/>
      <protection hidden="1"/>
    </xf>
    <xf numFmtId="0" fontId="1" fillId="0" borderId="18" xfId="0" applyFont="1" applyBorder="1" applyAlignment="1" applyProtection="1">
      <alignment horizontal="center" wrapText="1"/>
      <protection hidden="1"/>
    </xf>
    <xf numFmtId="164" fontId="1" fillId="0" borderId="61" xfId="0" applyNumberFormat="1" applyFont="1" applyBorder="1" applyAlignment="1" applyProtection="1">
      <alignment horizontal="center" vertical="center" wrapText="1"/>
      <protection hidden="1"/>
    </xf>
    <xf numFmtId="164" fontId="1" fillId="0" borderId="66" xfId="0" applyNumberFormat="1" applyFont="1" applyBorder="1" applyAlignment="1" applyProtection="1">
      <alignment horizontal="center" vertical="center" wrapText="1"/>
      <protection hidden="1"/>
    </xf>
    <xf numFmtId="164" fontId="1" fillId="0" borderId="38" xfId="0" applyNumberFormat="1" applyFont="1" applyBorder="1" applyAlignment="1" applyProtection="1">
      <alignment horizontal="center" vertical="center" wrapText="1"/>
      <protection hidden="1"/>
    </xf>
    <xf numFmtId="0" fontId="68" fillId="0" borderId="14" xfId="0" applyFont="1" applyBorder="1" applyAlignment="1" applyProtection="1">
      <alignment horizontal="center" vertical="center" wrapText="1"/>
      <protection hidden="1"/>
    </xf>
    <xf numFmtId="0" fontId="68" fillId="0" borderId="70" xfId="0" applyFont="1" applyBorder="1" applyAlignment="1" applyProtection="1">
      <alignment horizontal="center" vertical="center" wrapText="1"/>
      <protection hidden="1"/>
    </xf>
    <xf numFmtId="0" fontId="1" fillId="0" borderId="2" xfId="0" applyFont="1" applyBorder="1" applyAlignment="1" applyProtection="1">
      <alignment horizontal="center"/>
      <protection hidden="1"/>
    </xf>
    <xf numFmtId="0" fontId="62" fillId="15" borderId="25" xfId="0" applyFont="1" applyFill="1" applyBorder="1" applyAlignment="1" applyProtection="1">
      <alignment horizontal="center" vertical="center"/>
      <protection hidden="1"/>
    </xf>
    <xf numFmtId="0" fontId="62" fillId="15" borderId="26" xfId="0" applyFont="1" applyFill="1" applyBorder="1" applyAlignment="1" applyProtection="1">
      <alignment horizontal="center" vertical="center"/>
      <protection hidden="1"/>
    </xf>
    <xf numFmtId="0" fontId="62" fillId="15" borderId="54" xfId="0" applyFont="1" applyFill="1" applyBorder="1" applyAlignment="1" applyProtection="1">
      <alignment horizontal="center" vertical="center"/>
      <protection hidden="1"/>
    </xf>
    <xf numFmtId="0" fontId="62" fillId="15" borderId="28" xfId="0" applyFont="1" applyFill="1" applyBorder="1" applyAlignment="1" applyProtection="1">
      <alignment horizontal="center" vertical="center"/>
      <protection hidden="1"/>
    </xf>
    <xf numFmtId="0" fontId="62" fillId="15" borderId="0" xfId="0" applyFont="1" applyFill="1" applyAlignment="1" applyProtection="1">
      <alignment horizontal="center" vertical="center"/>
      <protection hidden="1"/>
    </xf>
    <xf numFmtId="0" fontId="7" fillId="5" borderId="26" xfId="0" applyFont="1" applyFill="1" applyBorder="1" applyAlignment="1" applyProtection="1">
      <alignment horizontal="center" vertical="center"/>
      <protection hidden="1"/>
    </xf>
    <xf numFmtId="0" fontId="7" fillId="5" borderId="25" xfId="0" applyFont="1" applyFill="1" applyBorder="1" applyAlignment="1" applyProtection="1">
      <alignment horizontal="center" vertical="center"/>
      <protection hidden="1"/>
    </xf>
    <xf numFmtId="0" fontId="7" fillId="5" borderId="24" xfId="0" applyFont="1" applyFill="1" applyBorder="1" applyAlignment="1" applyProtection="1">
      <alignment horizontal="center" vertical="center"/>
      <protection hidden="1"/>
    </xf>
    <xf numFmtId="0" fontId="7" fillId="15" borderId="25" xfId="0" applyFont="1" applyFill="1" applyBorder="1" applyAlignment="1" applyProtection="1">
      <alignment horizontal="center" vertical="center"/>
      <protection hidden="1"/>
    </xf>
    <xf numFmtId="0" fontId="7" fillId="15" borderId="26" xfId="0" applyFont="1" applyFill="1" applyBorder="1" applyAlignment="1" applyProtection="1">
      <alignment horizontal="center" vertical="center"/>
      <protection hidden="1"/>
    </xf>
    <xf numFmtId="0" fontId="7" fillId="15" borderId="24" xfId="0" applyFont="1" applyFill="1" applyBorder="1" applyAlignment="1" applyProtection="1">
      <alignment horizontal="center" vertical="center"/>
      <protection hidden="1"/>
    </xf>
    <xf numFmtId="0" fontId="7" fillId="15" borderId="54" xfId="0" applyFont="1" applyFill="1" applyBorder="1" applyAlignment="1" applyProtection="1">
      <alignment horizontal="center" vertical="center"/>
      <protection hidden="1"/>
    </xf>
    <xf numFmtId="0" fontId="7" fillId="15" borderId="28" xfId="0" applyFont="1" applyFill="1" applyBorder="1" applyAlignment="1" applyProtection="1">
      <alignment horizontal="center" vertical="center"/>
      <protection hidden="1"/>
    </xf>
    <xf numFmtId="0" fontId="7" fillId="15" borderId="23" xfId="0" applyFont="1" applyFill="1" applyBorder="1" applyAlignment="1" applyProtection="1">
      <alignment horizontal="center" vertical="center"/>
      <protection hidden="1"/>
    </xf>
    <xf numFmtId="0" fontId="39" fillId="8" borderId="54" xfId="0" applyFont="1" applyFill="1" applyBorder="1" applyAlignment="1" applyProtection="1">
      <alignment horizontal="center" vertical="center" wrapText="1"/>
      <protection hidden="1"/>
    </xf>
    <xf numFmtId="0" fontId="39" fillId="8" borderId="23" xfId="0" applyFont="1" applyFill="1" applyBorder="1" applyAlignment="1" applyProtection="1">
      <alignment horizontal="center" vertical="center" wrapText="1"/>
      <protection hidden="1"/>
    </xf>
    <xf numFmtId="0" fontId="1" fillId="8" borderId="32" xfId="0" applyFont="1" applyFill="1" applyBorder="1" applyAlignment="1" applyProtection="1">
      <alignment horizontal="center" vertical="center"/>
      <protection hidden="1"/>
    </xf>
    <xf numFmtId="164" fontId="37" fillId="30" borderId="34" xfId="0" applyNumberFormat="1" applyFont="1" applyFill="1" applyBorder="1" applyAlignment="1">
      <alignment horizontal="center" vertical="center" wrapText="1"/>
    </xf>
    <xf numFmtId="164" fontId="37" fillId="30" borderId="59" xfId="0" applyNumberFormat="1" applyFont="1" applyFill="1" applyBorder="1" applyAlignment="1">
      <alignment horizontal="center" vertical="center" wrapText="1"/>
    </xf>
    <xf numFmtId="164" fontId="37" fillId="30" borderId="50" xfId="0" applyNumberFormat="1" applyFont="1" applyFill="1" applyBorder="1" applyAlignment="1">
      <alignment horizontal="center" vertical="center" wrapText="1"/>
    </xf>
    <xf numFmtId="0" fontId="38" fillId="26" borderId="32" xfId="0" applyFont="1" applyFill="1" applyBorder="1" applyAlignment="1">
      <alignment horizontal="center" vertical="center" wrapText="1"/>
    </xf>
    <xf numFmtId="0" fontId="38" fillId="26" borderId="5" xfId="0" applyFont="1" applyFill="1" applyBorder="1" applyAlignment="1">
      <alignment horizontal="center" vertical="center" wrapText="1"/>
    </xf>
    <xf numFmtId="0" fontId="38" fillId="8" borderId="32" xfId="0" applyFont="1" applyFill="1" applyBorder="1" applyAlignment="1">
      <alignment horizontal="center" vertical="center" wrapText="1"/>
    </xf>
    <xf numFmtId="0" fontId="38" fillId="8" borderId="5" xfId="0" applyFont="1" applyFill="1" applyBorder="1" applyAlignment="1">
      <alignment horizontal="center" vertical="center" wrapText="1"/>
    </xf>
    <xf numFmtId="0" fontId="75" fillId="26" borderId="38" xfId="0" applyFont="1" applyFill="1" applyBorder="1" applyAlignment="1">
      <alignment horizontal="center" vertical="center" textRotation="90" wrapText="1"/>
    </xf>
    <xf numFmtId="0" fontId="75" fillId="26" borderId="61" xfId="0" applyFont="1" applyFill="1" applyBorder="1" applyAlignment="1">
      <alignment horizontal="center" vertical="center" textRotation="90" wrapText="1"/>
    </xf>
    <xf numFmtId="0" fontId="75" fillId="26" borderId="66" xfId="0" applyFont="1" applyFill="1" applyBorder="1" applyAlignment="1">
      <alignment horizontal="center" vertical="center" textRotation="90" wrapText="1"/>
    </xf>
    <xf numFmtId="0" fontId="38" fillId="8" borderId="33" xfId="0" applyFont="1" applyFill="1" applyBorder="1" applyAlignment="1">
      <alignment horizontal="center" vertical="center" wrapText="1"/>
    </xf>
    <xf numFmtId="0" fontId="38" fillId="8" borderId="6" xfId="0" applyFont="1" applyFill="1" applyBorder="1" applyAlignment="1">
      <alignment horizontal="center" vertical="center" wrapText="1"/>
    </xf>
    <xf numFmtId="0" fontId="37" fillId="26" borderId="38" xfId="0" applyFont="1" applyFill="1" applyBorder="1" applyAlignment="1">
      <alignment horizontal="center" vertical="center"/>
    </xf>
    <xf numFmtId="0" fontId="37" fillId="26" borderId="61" xfId="0" applyFont="1" applyFill="1" applyBorder="1" applyAlignment="1">
      <alignment horizontal="center" vertical="center"/>
    </xf>
    <xf numFmtId="0" fontId="37" fillId="26" borderId="66" xfId="0" applyFont="1" applyFill="1" applyBorder="1" applyAlignment="1">
      <alignment horizontal="center" vertical="center"/>
    </xf>
    <xf numFmtId="0" fontId="75" fillId="26" borderId="25" xfId="0" applyFont="1" applyFill="1" applyBorder="1" applyAlignment="1">
      <alignment horizontal="center" vertical="center" textRotation="90" wrapText="1"/>
    </xf>
    <xf numFmtId="0" fontId="75" fillId="26" borderId="21" xfId="0" applyFont="1" applyFill="1" applyBorder="1" applyAlignment="1">
      <alignment horizontal="center" vertical="center" textRotation="90" wrapText="1"/>
    </xf>
    <xf numFmtId="0" fontId="75" fillId="26" borderId="54" xfId="0" applyFont="1" applyFill="1" applyBorder="1" applyAlignment="1">
      <alignment horizontal="center" vertical="center" textRotation="90" wrapText="1"/>
    </xf>
    <xf numFmtId="0" fontId="37" fillId="26" borderId="25" xfId="0" applyFont="1" applyFill="1" applyBorder="1" applyAlignment="1">
      <alignment horizontal="center" vertical="center" wrapText="1"/>
    </xf>
    <xf numFmtId="0" fontId="37" fillId="26" borderId="21" xfId="0" applyFont="1" applyFill="1" applyBorder="1" applyAlignment="1">
      <alignment horizontal="center" vertical="center" wrapText="1"/>
    </xf>
    <xf numFmtId="0" fontId="37" fillId="26" borderId="54" xfId="0" applyFont="1" applyFill="1" applyBorder="1" applyAlignment="1">
      <alignment horizontal="center" vertical="center" wrapText="1"/>
    </xf>
    <xf numFmtId="0" fontId="75" fillId="26" borderId="38" xfId="0" applyFont="1" applyFill="1" applyBorder="1" applyAlignment="1">
      <alignment horizontal="center" vertical="center" textRotation="90"/>
    </xf>
    <xf numFmtId="0" fontId="75" fillId="26" borderId="61" xfId="0" applyFont="1" applyFill="1" applyBorder="1" applyAlignment="1">
      <alignment horizontal="center" vertical="center" textRotation="90"/>
    </xf>
    <xf numFmtId="0" fontId="75" fillId="26" borderId="66" xfId="0" applyFont="1" applyFill="1" applyBorder="1" applyAlignment="1">
      <alignment horizontal="center" vertical="center" textRotation="90"/>
    </xf>
    <xf numFmtId="0" fontId="38" fillId="8" borderId="11"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83" fillId="0" borderId="14" xfId="0" applyFont="1" applyBorder="1" applyAlignment="1">
      <alignment horizontal="left" vertical="center" wrapText="1"/>
    </xf>
    <xf numFmtId="0" fontId="83" fillId="0" borderId="70" xfId="0" applyFont="1" applyBorder="1" applyAlignment="1">
      <alignment horizontal="left" vertical="center" wrapText="1"/>
    </xf>
    <xf numFmtId="0" fontId="83" fillId="0" borderId="19" xfId="0" applyFont="1" applyBorder="1" applyAlignment="1">
      <alignment horizontal="left" vertical="center" wrapText="1"/>
    </xf>
    <xf numFmtId="0" fontId="63" fillId="0" borderId="0" xfId="0" applyFont="1" applyAlignment="1">
      <alignment horizontal="center" vertical="top" wrapText="1"/>
    </xf>
    <xf numFmtId="0" fontId="42" fillId="12" borderId="25" xfId="0" applyFont="1" applyFill="1" applyBorder="1" applyAlignment="1">
      <alignment horizontal="center" vertical="center" wrapText="1"/>
    </xf>
    <xf numFmtId="0" fontId="42" fillId="12" borderId="26" xfId="0" applyFont="1" applyFill="1" applyBorder="1" applyAlignment="1">
      <alignment horizontal="center" vertical="center" wrapText="1"/>
    </xf>
    <xf numFmtId="0" fontId="42" fillId="12" borderId="24" xfId="0" applyFont="1" applyFill="1" applyBorder="1" applyAlignment="1">
      <alignment horizontal="center" vertical="center" wrapText="1"/>
    </xf>
    <xf numFmtId="0" fontId="42" fillId="12" borderId="54" xfId="0" applyFont="1" applyFill="1" applyBorder="1" applyAlignment="1">
      <alignment horizontal="center" vertical="center" wrapText="1"/>
    </xf>
    <xf numFmtId="0" fontId="42" fillId="12" borderId="28" xfId="0" applyFont="1" applyFill="1" applyBorder="1" applyAlignment="1">
      <alignment horizontal="center" vertical="center" wrapText="1"/>
    </xf>
    <xf numFmtId="0" fontId="42" fillId="12" borderId="23" xfId="0" applyFont="1" applyFill="1" applyBorder="1" applyAlignment="1">
      <alignment horizontal="center" vertical="center" wrapText="1"/>
    </xf>
    <xf numFmtId="0" fontId="42" fillId="12" borderId="25" xfId="0" applyFont="1" applyFill="1" applyBorder="1" applyAlignment="1">
      <alignment horizontal="center" vertical="center"/>
    </xf>
    <xf numFmtId="0" fontId="42" fillId="12" borderId="26" xfId="0" applyFont="1" applyFill="1" applyBorder="1" applyAlignment="1">
      <alignment horizontal="center" vertical="center"/>
    </xf>
    <xf numFmtId="0" fontId="42" fillId="12" borderId="24" xfId="0" applyFont="1" applyFill="1" applyBorder="1" applyAlignment="1">
      <alignment horizontal="center" vertical="center"/>
    </xf>
    <xf numFmtId="0" fontId="42" fillId="12" borderId="54" xfId="0" applyFont="1" applyFill="1" applyBorder="1" applyAlignment="1">
      <alignment horizontal="center" vertical="center"/>
    </xf>
    <xf numFmtId="0" fontId="42" fillId="12" borderId="28" xfId="0" applyFont="1" applyFill="1" applyBorder="1" applyAlignment="1">
      <alignment horizontal="center" vertical="center"/>
    </xf>
    <xf numFmtId="0" fontId="42" fillId="12" borderId="23" xfId="0" applyFont="1" applyFill="1" applyBorder="1" applyAlignment="1">
      <alignment horizontal="center" vertical="center"/>
    </xf>
    <xf numFmtId="0" fontId="38" fillId="8" borderId="15" xfId="0" applyFont="1" applyFill="1" applyBorder="1" applyAlignment="1">
      <alignment horizontal="center" vertical="center"/>
    </xf>
    <xf numFmtId="0" fontId="38" fillId="8" borderId="17" xfId="0" applyFont="1" applyFill="1" applyBorder="1" applyAlignment="1">
      <alignment horizontal="center" vertical="center"/>
    </xf>
    <xf numFmtId="0" fontId="38" fillId="8" borderId="16" xfId="0" applyFont="1" applyFill="1" applyBorder="1" applyAlignment="1">
      <alignment horizontal="center" vertical="center"/>
    </xf>
    <xf numFmtId="2" fontId="38" fillId="8" borderId="11" xfId="1" applyNumberFormat="1" applyFont="1" applyFill="1" applyBorder="1" applyAlignment="1" applyProtection="1">
      <alignment horizontal="center" vertical="center" wrapText="1"/>
      <protection hidden="1"/>
    </xf>
    <xf numFmtId="2" fontId="38" fillId="8" borderId="12" xfId="1" applyNumberFormat="1" applyFont="1" applyFill="1" applyBorder="1" applyAlignment="1" applyProtection="1">
      <alignment horizontal="center" vertical="center" wrapText="1"/>
      <protection hidden="1"/>
    </xf>
    <xf numFmtId="2" fontId="38" fillId="8" borderId="32" xfId="1" applyNumberFormat="1" applyFont="1" applyFill="1" applyBorder="1" applyAlignment="1" applyProtection="1">
      <alignment horizontal="center" vertical="center" wrapText="1"/>
      <protection hidden="1"/>
    </xf>
    <xf numFmtId="2" fontId="38" fillId="8" borderId="5" xfId="1" applyNumberFormat="1" applyFont="1" applyFill="1" applyBorder="1" applyAlignment="1" applyProtection="1">
      <alignment horizontal="center" vertical="center" wrapText="1"/>
      <protection hidden="1"/>
    </xf>
    <xf numFmtId="2" fontId="38" fillId="8" borderId="33" xfId="1" applyNumberFormat="1" applyFont="1" applyFill="1" applyBorder="1" applyAlignment="1" applyProtection="1">
      <alignment horizontal="center" vertical="center" wrapText="1"/>
      <protection hidden="1"/>
    </xf>
    <xf numFmtId="2" fontId="38" fillId="8" borderId="6" xfId="1" applyNumberFormat="1" applyFont="1" applyFill="1" applyBorder="1" applyAlignment="1" applyProtection="1">
      <alignment horizontal="center" vertical="center" wrapText="1"/>
      <protection hidden="1"/>
    </xf>
    <xf numFmtId="0" fontId="38" fillId="3" borderId="0" xfId="0" applyFont="1" applyFill="1" applyAlignment="1">
      <alignment horizontal="center" vertical="center" wrapText="1"/>
    </xf>
    <xf numFmtId="0" fontId="38" fillId="8" borderId="11" xfId="0" applyFont="1" applyFill="1" applyBorder="1" applyAlignment="1">
      <alignment horizontal="center" vertical="center"/>
    </xf>
    <xf numFmtId="0" fontId="38" fillId="8" borderId="12" xfId="0" applyFont="1" applyFill="1" applyBorder="1" applyAlignment="1">
      <alignment horizontal="center" vertical="center"/>
    </xf>
    <xf numFmtId="0" fontId="38" fillId="8" borderId="32" xfId="0" applyFont="1" applyFill="1" applyBorder="1" applyAlignment="1">
      <alignment horizontal="center" vertical="center"/>
    </xf>
    <xf numFmtId="0" fontId="38" fillId="8" borderId="5" xfId="0" applyFont="1" applyFill="1" applyBorder="1" applyAlignment="1">
      <alignment horizontal="center" vertical="center"/>
    </xf>
    <xf numFmtId="0" fontId="42" fillId="12" borderId="15" xfId="0" applyFont="1" applyFill="1" applyBorder="1" applyAlignment="1">
      <alignment horizontal="center" vertical="center" wrapText="1"/>
    </xf>
    <xf numFmtId="0" fontId="42" fillId="12" borderId="17" xfId="0" applyFont="1" applyFill="1" applyBorder="1" applyAlignment="1">
      <alignment horizontal="center" vertical="center" wrapText="1"/>
    </xf>
    <xf numFmtId="0" fontId="42" fillId="12" borderId="16" xfId="0" applyFont="1" applyFill="1" applyBorder="1" applyAlignment="1">
      <alignment horizontal="center" vertical="center" wrapText="1"/>
    </xf>
    <xf numFmtId="0" fontId="83" fillId="0" borderId="13" xfId="0" applyFont="1" applyBorder="1" applyAlignment="1">
      <alignment horizontal="left" vertical="center" wrapText="1"/>
    </xf>
    <xf numFmtId="0" fontId="83" fillId="0" borderId="76" xfId="0" applyFont="1" applyBorder="1" applyAlignment="1">
      <alignment horizontal="left" vertical="center" wrapText="1"/>
    </xf>
    <xf numFmtId="0" fontId="83" fillId="0" borderId="40" xfId="0" applyFont="1" applyBorder="1" applyAlignment="1">
      <alignment horizontal="left" vertical="center" wrapText="1"/>
    </xf>
    <xf numFmtId="2" fontId="37" fillId="0" borderId="2" xfId="0" applyNumberFormat="1" applyFont="1" applyBorder="1" applyAlignment="1">
      <alignment horizontal="center" vertical="center"/>
    </xf>
    <xf numFmtId="2" fontId="37" fillId="0" borderId="2" xfId="0" applyNumberFormat="1" applyFont="1" applyBorder="1" applyAlignment="1">
      <alignment horizontal="center" vertical="center" wrapText="1"/>
    </xf>
    <xf numFmtId="0" fontId="38" fillId="20" borderId="11" xfId="0" applyFont="1" applyFill="1" applyBorder="1" applyAlignment="1">
      <alignment horizontal="center" vertical="center" wrapText="1"/>
    </xf>
    <xf numFmtId="0" fontId="38" fillId="20" borderId="12" xfId="0" applyFont="1" applyFill="1" applyBorder="1" applyAlignment="1">
      <alignment horizontal="center" vertical="center" wrapText="1"/>
    </xf>
    <xf numFmtId="0" fontId="38" fillId="8" borderId="68" xfId="0" applyFont="1" applyFill="1" applyBorder="1" applyAlignment="1">
      <alignment horizontal="center" vertical="center"/>
    </xf>
    <xf numFmtId="0" fontId="38" fillId="8" borderId="42" xfId="0" applyFont="1" applyFill="1" applyBorder="1" applyAlignment="1">
      <alignment horizontal="center" vertical="center"/>
    </xf>
    <xf numFmtId="0" fontId="38" fillId="8" borderId="25" xfId="0" applyFont="1" applyFill="1" applyBorder="1" applyAlignment="1">
      <alignment horizontal="center" vertical="center"/>
    </xf>
    <xf numFmtId="0" fontId="38" fillId="8" borderId="26" xfId="0" applyFont="1" applyFill="1" applyBorder="1" applyAlignment="1">
      <alignment horizontal="center" vertical="center"/>
    </xf>
    <xf numFmtId="0" fontId="38" fillId="8" borderId="24" xfId="0" applyFont="1" applyFill="1" applyBorder="1" applyAlignment="1">
      <alignment horizontal="center" vertical="center"/>
    </xf>
    <xf numFmtId="0" fontId="38" fillId="8" borderId="54" xfId="0" applyFont="1" applyFill="1" applyBorder="1" applyAlignment="1">
      <alignment horizontal="center" vertical="center"/>
    </xf>
    <xf numFmtId="0" fontId="38" fillId="8" borderId="28" xfId="0" applyFont="1" applyFill="1" applyBorder="1" applyAlignment="1">
      <alignment horizontal="center" vertical="center"/>
    </xf>
    <xf numFmtId="0" fontId="38" fillId="8" borderId="23" xfId="0" applyFont="1" applyFill="1" applyBorder="1" applyAlignment="1">
      <alignment horizontal="center" vertical="center"/>
    </xf>
    <xf numFmtId="0" fontId="37" fillId="21" borderId="51" xfId="0" applyFont="1" applyFill="1" applyBorder="1" applyAlignment="1">
      <alignment horizontal="center" vertical="center" wrapText="1"/>
    </xf>
    <xf numFmtId="0" fontId="47" fillId="0" borderId="60" xfId="0" applyFont="1" applyBorder="1" applyAlignment="1">
      <alignment horizontal="center" vertical="center" wrapText="1"/>
    </xf>
    <xf numFmtId="0" fontId="47" fillId="0" borderId="43" xfId="0" applyFont="1" applyBorder="1" applyAlignment="1">
      <alignment horizontal="center" vertical="center" wrapText="1"/>
    </xf>
    <xf numFmtId="0" fontId="37" fillId="21" borderId="49" xfId="0" applyFont="1" applyFill="1" applyBorder="1" applyAlignment="1">
      <alignment horizontal="center" vertical="center"/>
    </xf>
    <xf numFmtId="0" fontId="37" fillId="21" borderId="27" xfId="0" applyFont="1" applyFill="1" applyBorder="1" applyAlignment="1">
      <alignment horizontal="center" vertical="center"/>
    </xf>
    <xf numFmtId="0" fontId="37" fillId="21" borderId="48" xfId="0" applyFont="1" applyFill="1" applyBorder="1" applyAlignment="1">
      <alignment horizontal="center" vertical="center"/>
    </xf>
    <xf numFmtId="3" fontId="37" fillId="21" borderId="62" xfId="0" applyNumberFormat="1" applyFont="1" applyFill="1" applyBorder="1" applyAlignment="1">
      <alignment horizontal="center" vertical="center" wrapText="1"/>
    </xf>
    <xf numFmtId="0" fontId="47" fillId="0" borderId="69" xfId="0" applyFont="1" applyBorder="1" applyAlignment="1">
      <alignment horizontal="center" vertical="center" wrapText="1"/>
    </xf>
    <xf numFmtId="0" fontId="47" fillId="0" borderId="59" xfId="0" applyFont="1" applyBorder="1" applyAlignment="1">
      <alignment horizontal="center" vertical="center" wrapText="1"/>
    </xf>
    <xf numFmtId="0" fontId="47" fillId="0" borderId="55" xfId="0" applyFont="1" applyBorder="1" applyAlignment="1">
      <alignment horizontal="center" vertical="center" wrapText="1"/>
    </xf>
    <xf numFmtId="0" fontId="38" fillId="20" borderId="32" xfId="0" applyFont="1" applyFill="1" applyBorder="1" applyAlignment="1">
      <alignment horizontal="center" vertical="center" wrapText="1"/>
    </xf>
    <xf numFmtId="0" fontId="38" fillId="20" borderId="5" xfId="0" applyFont="1" applyFill="1" applyBorder="1" applyAlignment="1">
      <alignment horizontal="center" vertical="center" wrapText="1"/>
    </xf>
    <xf numFmtId="0" fontId="42" fillId="12" borderId="15" xfId="0" applyFont="1" applyFill="1" applyBorder="1" applyAlignment="1">
      <alignment horizontal="center" vertical="center"/>
    </xf>
    <xf numFmtId="0" fontId="42" fillId="12" borderId="17" xfId="0" applyFont="1" applyFill="1" applyBorder="1" applyAlignment="1">
      <alignment horizontal="center" vertical="center"/>
    </xf>
    <xf numFmtId="0" fontId="42" fillId="12" borderId="16" xfId="0" applyFont="1" applyFill="1" applyBorder="1" applyAlignment="1">
      <alignment horizontal="center" vertical="center"/>
    </xf>
    <xf numFmtId="0" fontId="38" fillId="20" borderId="25" xfId="0" applyFont="1" applyFill="1" applyBorder="1" applyAlignment="1">
      <alignment horizontal="center" vertical="center" wrapText="1"/>
    </xf>
    <xf numFmtId="0" fontId="38" fillId="20" borderId="26" xfId="0" applyFont="1" applyFill="1" applyBorder="1" applyAlignment="1">
      <alignment horizontal="center" vertical="center" wrapText="1"/>
    </xf>
    <xf numFmtId="0" fontId="38" fillId="20" borderId="24" xfId="0" applyFont="1" applyFill="1" applyBorder="1" applyAlignment="1">
      <alignment horizontal="center" vertical="center" wrapText="1"/>
    </xf>
    <xf numFmtId="0" fontId="38" fillId="20" borderId="54" xfId="0" applyFont="1" applyFill="1" applyBorder="1" applyAlignment="1">
      <alignment horizontal="center" vertical="center" wrapText="1"/>
    </xf>
    <xf numFmtId="0" fontId="38" fillId="20" borderId="28" xfId="0" applyFont="1" applyFill="1" applyBorder="1" applyAlignment="1">
      <alignment horizontal="center" vertical="center" wrapText="1"/>
    </xf>
    <xf numFmtId="0" fontId="38" fillId="20" borderId="23" xfId="0" applyFont="1" applyFill="1" applyBorder="1" applyAlignment="1">
      <alignment horizontal="center" vertical="center" wrapText="1"/>
    </xf>
    <xf numFmtId="0" fontId="38" fillId="20" borderId="33" xfId="0" applyFont="1" applyFill="1" applyBorder="1" applyAlignment="1">
      <alignment horizontal="center" vertical="center" wrapText="1"/>
    </xf>
    <xf numFmtId="0" fontId="38" fillId="20" borderId="6" xfId="0" applyFont="1" applyFill="1" applyBorder="1" applyAlignment="1">
      <alignment horizontal="center" vertical="center" wrapText="1"/>
    </xf>
    <xf numFmtId="0" fontId="38" fillId="20" borderId="38" xfId="0" applyFont="1" applyFill="1" applyBorder="1" applyAlignment="1">
      <alignment horizontal="center" vertical="center"/>
    </xf>
    <xf numFmtId="0" fontId="38" fillId="20" borderId="66" xfId="0" applyFont="1" applyFill="1" applyBorder="1" applyAlignment="1">
      <alignment horizontal="center" vertical="center"/>
    </xf>
    <xf numFmtId="164" fontId="37" fillId="30" borderId="52" xfId="0" applyNumberFormat="1" applyFont="1" applyFill="1" applyBorder="1" applyAlignment="1">
      <alignment horizontal="center" vertical="center" wrapText="1"/>
    </xf>
    <xf numFmtId="164" fontId="37" fillId="22" borderId="52" xfId="0" applyNumberFormat="1" applyFont="1" applyFill="1" applyBorder="1" applyAlignment="1">
      <alignment horizontal="center" vertical="center" wrapText="1"/>
    </xf>
    <xf numFmtId="164" fontId="37" fillId="22" borderId="59" xfId="0" applyNumberFormat="1" applyFont="1" applyFill="1" applyBorder="1" applyAlignment="1">
      <alignment horizontal="center" vertical="center" wrapText="1"/>
    </xf>
    <xf numFmtId="164" fontId="37" fillId="22" borderId="50" xfId="0" applyNumberFormat="1" applyFont="1" applyFill="1" applyBorder="1" applyAlignment="1">
      <alignment horizontal="center" vertical="center" wrapText="1"/>
    </xf>
    <xf numFmtId="0" fontId="38" fillId="21" borderId="25" xfId="0" applyFont="1" applyFill="1" applyBorder="1" applyAlignment="1">
      <alignment horizontal="center" vertical="center"/>
    </xf>
    <xf numFmtId="0" fontId="38" fillId="21" borderId="24" xfId="0" applyFont="1" applyFill="1" applyBorder="1" applyAlignment="1">
      <alignment horizontal="center" vertical="center"/>
    </xf>
    <xf numFmtId="0" fontId="38" fillId="21" borderId="21" xfId="0" applyFont="1" applyFill="1" applyBorder="1" applyAlignment="1">
      <alignment horizontal="center" vertical="center"/>
    </xf>
    <xf numFmtId="0" fontId="38" fillId="21" borderId="29" xfId="0" applyFont="1" applyFill="1" applyBorder="1" applyAlignment="1">
      <alignment horizontal="center" vertical="center"/>
    </xf>
    <xf numFmtId="0" fontId="38" fillId="21" borderId="54" xfId="0" applyFont="1" applyFill="1" applyBorder="1" applyAlignment="1">
      <alignment horizontal="center" vertical="center"/>
    </xf>
    <xf numFmtId="0" fontId="38" fillId="21" borderId="23" xfId="0" applyFont="1" applyFill="1" applyBorder="1" applyAlignment="1">
      <alignment horizontal="center" vertical="center"/>
    </xf>
    <xf numFmtId="0" fontId="37" fillId="22" borderId="19" xfId="0" applyFont="1" applyFill="1" applyBorder="1" applyAlignment="1">
      <alignment horizontal="center" vertical="center" wrapText="1"/>
    </xf>
    <xf numFmtId="0" fontId="47" fillId="22" borderId="19" xfId="0" applyFont="1" applyFill="1" applyBorder="1" applyAlignment="1">
      <alignment horizontal="center" vertical="center" wrapText="1"/>
    </xf>
    <xf numFmtId="164" fontId="37" fillId="22" borderId="34" xfId="0" applyNumberFormat="1" applyFont="1" applyFill="1" applyBorder="1" applyAlignment="1">
      <alignment horizontal="center" vertical="center" wrapText="1"/>
    </xf>
    <xf numFmtId="4" fontId="37" fillId="30" borderId="72" xfId="0" applyNumberFormat="1" applyFont="1" applyFill="1" applyBorder="1" applyAlignment="1">
      <alignment horizontal="center" vertical="center" wrapText="1"/>
    </xf>
    <xf numFmtId="4" fontId="47" fillId="30" borderId="64" xfId="0" applyNumberFormat="1" applyFont="1" applyFill="1" applyBorder="1" applyAlignment="1">
      <alignment horizontal="center" vertical="center" wrapText="1"/>
    </xf>
    <xf numFmtId="4" fontId="47" fillId="30" borderId="53" xfId="0" applyNumberFormat="1" applyFont="1" applyFill="1" applyBorder="1" applyAlignment="1">
      <alignment horizontal="center" vertical="center" wrapText="1"/>
    </xf>
    <xf numFmtId="0" fontId="38" fillId="21" borderId="25"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1" xfId="0" applyFont="1" applyFill="1" applyBorder="1" applyAlignment="1">
      <alignment horizontal="center" vertical="center" wrapText="1"/>
    </xf>
    <xf numFmtId="0" fontId="38" fillId="21" borderId="29" xfId="0" applyFont="1" applyFill="1" applyBorder="1" applyAlignment="1">
      <alignment horizontal="center" vertical="center" wrapText="1"/>
    </xf>
    <xf numFmtId="0" fontId="38" fillId="21" borderId="5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33" borderId="25" xfId="0" applyFont="1" applyFill="1" applyBorder="1" applyAlignment="1">
      <alignment horizontal="center" vertical="center"/>
    </xf>
    <xf numFmtId="0" fontId="38" fillId="33" borderId="24" xfId="0" applyFont="1" applyFill="1" applyBorder="1" applyAlignment="1">
      <alignment horizontal="center" vertical="center"/>
    </xf>
    <xf numFmtId="0" fontId="38" fillId="33" borderId="21" xfId="0" applyFont="1" applyFill="1" applyBorder="1" applyAlignment="1">
      <alignment horizontal="center" vertical="center"/>
    </xf>
    <xf numFmtId="0" fontId="38" fillId="33" borderId="29" xfId="0" applyFont="1" applyFill="1" applyBorder="1" applyAlignment="1">
      <alignment horizontal="center" vertical="center"/>
    </xf>
    <xf numFmtId="0" fontId="38" fillId="33" borderId="54" xfId="0" applyFont="1" applyFill="1" applyBorder="1" applyAlignment="1">
      <alignment horizontal="center" vertical="center"/>
    </xf>
    <xf numFmtId="0" fontId="38" fillId="33" borderId="23" xfId="0" applyFont="1" applyFill="1" applyBorder="1" applyAlignment="1">
      <alignment horizontal="center" vertical="center"/>
    </xf>
    <xf numFmtId="49" fontId="37" fillId="21" borderId="52" xfId="0" applyNumberFormat="1" applyFont="1" applyFill="1" applyBorder="1" applyAlignment="1">
      <alignment horizontal="center" vertical="center" wrapText="1"/>
    </xf>
    <xf numFmtId="0" fontId="37" fillId="22" borderId="40" xfId="0" applyFont="1" applyFill="1" applyBorder="1" applyAlignment="1">
      <alignment horizontal="center" vertical="center" wrapText="1"/>
    </xf>
    <xf numFmtId="1" fontId="37" fillId="22" borderId="19" xfId="0" applyNumberFormat="1" applyFont="1" applyFill="1" applyBorder="1" applyAlignment="1">
      <alignment horizontal="center" vertical="center" wrapText="1"/>
    </xf>
    <xf numFmtId="1" fontId="47" fillId="22" borderId="19" xfId="0" applyNumberFormat="1" applyFont="1" applyFill="1" applyBorder="1" applyAlignment="1">
      <alignment horizontal="center" vertical="center" wrapText="1"/>
    </xf>
    <xf numFmtId="1" fontId="47" fillId="22" borderId="37" xfId="0" applyNumberFormat="1" applyFont="1" applyFill="1" applyBorder="1" applyAlignment="1">
      <alignment horizontal="center" vertical="center" wrapText="1"/>
    </xf>
    <xf numFmtId="0" fontId="37" fillId="30" borderId="40" xfId="0" applyFont="1" applyFill="1" applyBorder="1" applyAlignment="1">
      <alignment horizontal="center" vertical="center" wrapText="1"/>
    </xf>
    <xf numFmtId="0" fontId="47" fillId="30" borderId="19" xfId="0" applyFont="1" applyFill="1" applyBorder="1" applyAlignment="1">
      <alignment horizontal="center" vertical="center" wrapText="1"/>
    </xf>
    <xf numFmtId="0" fontId="37" fillId="30" borderId="19" xfId="0" applyFont="1" applyFill="1" applyBorder="1" applyAlignment="1">
      <alignment horizontal="center" vertical="center" wrapText="1"/>
    </xf>
    <xf numFmtId="0" fontId="37" fillId="21" borderId="60"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49" xfId="0" applyFont="1" applyFill="1" applyBorder="1" applyAlignment="1">
      <alignment horizontal="center" vertical="center" wrapText="1"/>
    </xf>
    <xf numFmtId="0" fontId="47" fillId="0" borderId="27" xfId="0" applyFont="1" applyBorder="1" applyAlignment="1">
      <alignment horizontal="center" vertical="center" wrapText="1"/>
    </xf>
    <xf numFmtId="0" fontId="47" fillId="0" borderId="48" xfId="0" applyFont="1" applyBorder="1" applyAlignment="1">
      <alignment horizontal="center" vertical="center" wrapText="1"/>
    </xf>
    <xf numFmtId="3" fontId="37" fillId="21" borderId="52" xfId="0" applyNumberFormat="1" applyFont="1" applyFill="1" applyBorder="1" applyAlignment="1">
      <alignment horizontal="center" vertical="center" wrapText="1"/>
    </xf>
    <xf numFmtId="0" fontId="37" fillId="0" borderId="22" xfId="0" applyFont="1" applyBorder="1" applyAlignment="1">
      <alignment horizontal="center" vertical="center"/>
    </xf>
    <xf numFmtId="0" fontId="37" fillId="0" borderId="75" xfId="0" applyFont="1" applyBorder="1" applyAlignment="1">
      <alignment horizontal="center" vertical="center"/>
    </xf>
    <xf numFmtId="0" fontId="37" fillId="0" borderId="19" xfId="0" applyFont="1" applyBorder="1" applyAlignment="1">
      <alignment horizontal="center" vertical="center"/>
    </xf>
    <xf numFmtId="0" fontId="42" fillId="12" borderId="7" xfId="0" applyFont="1" applyFill="1" applyBorder="1" applyAlignment="1">
      <alignment horizontal="center" vertical="center"/>
    </xf>
    <xf numFmtId="0" fontId="42" fillId="12" borderId="8" xfId="0" applyFont="1" applyFill="1" applyBorder="1" applyAlignment="1">
      <alignment horizontal="center" vertical="center"/>
    </xf>
    <xf numFmtId="0" fontId="37" fillId="0" borderId="45" xfId="0" applyFont="1" applyBorder="1" applyAlignment="1">
      <alignment horizontal="center" vertical="center"/>
    </xf>
    <xf numFmtId="0" fontId="37" fillId="0" borderId="40" xfId="0" applyFont="1" applyBorder="1" applyAlignment="1">
      <alignment horizontal="center" vertical="center"/>
    </xf>
    <xf numFmtId="0" fontId="47" fillId="0" borderId="67" xfId="0" applyFont="1" applyBorder="1" applyAlignment="1">
      <alignment horizontal="center" vertical="center" wrapText="1"/>
    </xf>
    <xf numFmtId="2" fontId="37" fillId="0" borderId="32" xfId="0" applyNumberFormat="1" applyFont="1" applyBorder="1" applyAlignment="1">
      <alignment horizontal="center" vertical="center"/>
    </xf>
    <xf numFmtId="2" fontId="37" fillId="0" borderId="32" xfId="0" applyNumberFormat="1" applyFont="1" applyBorder="1" applyAlignment="1">
      <alignment horizontal="center" vertical="center" wrapText="1"/>
    </xf>
    <xf numFmtId="164" fontId="37" fillId="30" borderId="49" xfId="0" quotePrefix="1" applyNumberFormat="1" applyFont="1" applyFill="1" applyBorder="1" applyAlignment="1">
      <alignment horizontal="center" vertical="center" wrapText="1"/>
    </xf>
    <xf numFmtId="164" fontId="37" fillId="30" borderId="27" xfId="0" quotePrefix="1" applyNumberFormat="1" applyFont="1" applyFill="1" applyBorder="1" applyAlignment="1">
      <alignment horizontal="center" vertical="center" wrapText="1"/>
    </xf>
    <xf numFmtId="164" fontId="37" fillId="30" borderId="1" xfId="0" quotePrefix="1" applyNumberFormat="1" applyFont="1" applyFill="1" applyBorder="1" applyAlignment="1">
      <alignment horizontal="center" vertical="center" wrapText="1"/>
    </xf>
    <xf numFmtId="164" fontId="37" fillId="30" borderId="20" xfId="0" quotePrefix="1" applyNumberFormat="1" applyFont="1" applyFill="1" applyBorder="1" applyAlignment="1">
      <alignment horizontal="center" vertical="center" wrapText="1"/>
    </xf>
    <xf numFmtId="164" fontId="37" fillId="30" borderId="48" xfId="0" quotePrefix="1" applyNumberFormat="1" applyFont="1" applyFill="1" applyBorder="1" applyAlignment="1">
      <alignment horizontal="center" vertical="center" wrapText="1"/>
    </xf>
    <xf numFmtId="164" fontId="37" fillId="22" borderId="49" xfId="0" quotePrefix="1" applyNumberFormat="1" applyFont="1" applyFill="1" applyBorder="1" applyAlignment="1">
      <alignment horizontal="center" vertical="center" wrapText="1"/>
    </xf>
    <xf numFmtId="164" fontId="37" fillId="22" borderId="27" xfId="0" quotePrefix="1" applyNumberFormat="1" applyFont="1" applyFill="1" applyBorder="1" applyAlignment="1">
      <alignment horizontal="center" vertical="center" wrapText="1"/>
    </xf>
    <xf numFmtId="164" fontId="37" fillId="22" borderId="1" xfId="0" quotePrefix="1" applyNumberFormat="1" applyFont="1" applyFill="1" applyBorder="1" applyAlignment="1">
      <alignment horizontal="center" vertical="center" wrapText="1"/>
    </xf>
    <xf numFmtId="164" fontId="37" fillId="22" borderId="20" xfId="0" quotePrefix="1" applyNumberFormat="1" applyFont="1" applyFill="1" applyBorder="1" applyAlignment="1">
      <alignment horizontal="center" vertical="center" wrapText="1"/>
    </xf>
    <xf numFmtId="164" fontId="37" fillId="22" borderId="48" xfId="0" quotePrefix="1" applyNumberFormat="1" applyFont="1" applyFill="1" applyBorder="1" applyAlignment="1">
      <alignment horizontal="center" vertical="center" wrapText="1"/>
    </xf>
    <xf numFmtId="0" fontId="37" fillId="29" borderId="40" xfId="0" applyFont="1" applyFill="1" applyBorder="1" applyAlignment="1">
      <alignment horizontal="center" vertical="center"/>
    </xf>
    <xf numFmtId="0" fontId="37" fillId="29" borderId="19" xfId="0" applyFont="1" applyFill="1" applyBorder="1" applyAlignment="1">
      <alignment horizontal="center" vertical="center"/>
    </xf>
    <xf numFmtId="0" fontId="37" fillId="29" borderId="72" xfId="0" applyFont="1" applyFill="1" applyBorder="1" applyAlignment="1">
      <alignment horizontal="center" vertical="center"/>
    </xf>
    <xf numFmtId="0" fontId="37" fillId="29" borderId="64" xfId="0" applyFont="1" applyFill="1" applyBorder="1" applyAlignment="1">
      <alignment horizontal="center" vertical="center"/>
    </xf>
    <xf numFmtId="0" fontId="37" fillId="29" borderId="65" xfId="0" applyFont="1" applyFill="1" applyBorder="1" applyAlignment="1">
      <alignment horizontal="center" vertical="center"/>
    </xf>
    <xf numFmtId="0" fontId="47" fillId="30" borderId="37" xfId="0" applyFont="1" applyFill="1" applyBorder="1" applyAlignment="1">
      <alignment horizontal="center" vertical="center" wrapText="1"/>
    </xf>
    <xf numFmtId="4" fontId="47" fillId="30" borderId="65" xfId="0" applyNumberFormat="1" applyFont="1" applyFill="1" applyBorder="1" applyAlignment="1">
      <alignment horizontal="center" vertical="center" wrapText="1"/>
    </xf>
    <xf numFmtId="0" fontId="37" fillId="30" borderId="63" xfId="0" applyFont="1" applyFill="1" applyBorder="1" applyAlignment="1">
      <alignment horizontal="center" vertical="center" wrapText="1"/>
    </xf>
    <xf numFmtId="0" fontId="47" fillId="30" borderId="64" xfId="0" applyFont="1" applyFill="1" applyBorder="1" applyAlignment="1">
      <alignment horizontal="center" vertical="center" wrapText="1"/>
    </xf>
    <xf numFmtId="0" fontId="47" fillId="30" borderId="53" xfId="0" applyFont="1" applyFill="1" applyBorder="1" applyAlignment="1">
      <alignment horizontal="center" vertical="center" wrapText="1"/>
    </xf>
    <xf numFmtId="0" fontId="71" fillId="0" borderId="15" xfId="0" applyFont="1" applyBorder="1" applyAlignment="1">
      <alignment horizontal="center" vertical="center"/>
    </xf>
    <xf numFmtId="0" fontId="71" fillId="0" borderId="17" xfId="0" applyFont="1" applyBorder="1" applyAlignment="1">
      <alignment horizontal="center" vertical="center"/>
    </xf>
    <xf numFmtId="0" fontId="71" fillId="0" borderId="16" xfId="0" applyFont="1" applyBorder="1" applyAlignment="1">
      <alignment horizontal="center" vertical="center"/>
    </xf>
    <xf numFmtId="0" fontId="37" fillId="0" borderId="36" xfId="0" applyFont="1" applyBorder="1" applyAlignment="1">
      <alignment horizontal="center" vertical="center"/>
    </xf>
    <xf numFmtId="0" fontId="37" fillId="0" borderId="37" xfId="0" applyFont="1" applyBorder="1" applyAlignment="1">
      <alignment horizontal="center" vertical="center"/>
    </xf>
    <xf numFmtId="14" fontId="37" fillId="29" borderId="34" xfId="0" applyNumberFormat="1" applyFont="1" applyFill="1" applyBorder="1" applyAlignment="1">
      <alignment horizontal="center" vertical="center"/>
    </xf>
    <xf numFmtId="14" fontId="37" fillId="29" borderId="59" xfId="0" applyNumberFormat="1" applyFont="1" applyFill="1" applyBorder="1" applyAlignment="1">
      <alignment horizontal="center" vertical="center"/>
    </xf>
    <xf numFmtId="14" fontId="37" fillId="29" borderId="50" xfId="0" applyNumberFormat="1" applyFont="1" applyFill="1" applyBorder="1" applyAlignment="1">
      <alignment horizontal="center" vertical="center"/>
    </xf>
    <xf numFmtId="0" fontId="37" fillId="29" borderId="34" xfId="0" applyFont="1" applyFill="1" applyBorder="1" applyAlignment="1">
      <alignment horizontal="center" vertical="center"/>
    </xf>
    <xf numFmtId="0" fontId="37" fillId="29" borderId="59" xfId="0" applyFont="1" applyFill="1" applyBorder="1" applyAlignment="1">
      <alignment horizontal="center" vertical="center"/>
    </xf>
    <xf numFmtId="0" fontId="37" fillId="29" borderId="55" xfId="0" applyFont="1" applyFill="1" applyBorder="1" applyAlignment="1">
      <alignment horizontal="center" vertical="center"/>
    </xf>
    <xf numFmtId="14" fontId="37" fillId="30" borderId="52" xfId="0" applyNumberFormat="1" applyFont="1" applyFill="1" applyBorder="1" applyAlignment="1">
      <alignment horizontal="center" vertical="center"/>
    </xf>
    <xf numFmtId="14" fontId="37" fillId="30" borderId="59" xfId="0" applyNumberFormat="1" applyFont="1" applyFill="1" applyBorder="1" applyAlignment="1">
      <alignment horizontal="center" vertical="center"/>
    </xf>
    <xf numFmtId="14" fontId="37" fillId="30" borderId="50" xfId="0" applyNumberFormat="1" applyFont="1" applyFill="1" applyBorder="1" applyAlignment="1">
      <alignment horizontal="center" vertical="center"/>
    </xf>
    <xf numFmtId="14" fontId="37" fillId="30" borderId="34" xfId="0" applyNumberFormat="1" applyFont="1" applyFill="1" applyBorder="1" applyAlignment="1">
      <alignment horizontal="center" vertical="center" wrapText="1"/>
    </xf>
    <xf numFmtId="14" fontId="37" fillId="30" borderId="59" xfId="0" applyNumberFormat="1" applyFont="1" applyFill="1" applyBorder="1" applyAlignment="1">
      <alignment horizontal="center" vertical="center" wrapText="1"/>
    </xf>
    <xf numFmtId="14" fontId="37" fillId="30" borderId="55" xfId="0" applyNumberFormat="1" applyFont="1" applyFill="1" applyBorder="1" applyAlignment="1">
      <alignment horizontal="center" vertical="center" wrapText="1"/>
    </xf>
    <xf numFmtId="164" fontId="37" fillId="22" borderId="55" xfId="0" applyNumberFormat="1" applyFont="1" applyFill="1" applyBorder="1" applyAlignment="1">
      <alignment horizontal="center" vertical="center" wrapText="1"/>
    </xf>
    <xf numFmtId="0" fontId="47" fillId="30" borderId="34" xfId="0" applyFont="1" applyFill="1" applyBorder="1" applyAlignment="1">
      <alignment horizontal="center" vertical="center" wrapText="1"/>
    </xf>
    <xf numFmtId="0" fontId="47" fillId="30" borderId="59" xfId="0" applyFont="1" applyFill="1" applyBorder="1" applyAlignment="1">
      <alignment horizontal="center" vertical="center" wrapText="1"/>
    </xf>
    <xf numFmtId="0" fontId="47" fillId="30" borderId="55" xfId="0" applyFont="1" applyFill="1" applyBorder="1" applyAlignment="1">
      <alignment horizontal="center" vertical="center" wrapText="1"/>
    </xf>
    <xf numFmtId="0" fontId="37" fillId="30" borderId="52" xfId="0" applyFont="1" applyFill="1" applyBorder="1" applyAlignment="1">
      <alignment horizontal="center" vertical="center" wrapText="1"/>
    </xf>
    <xf numFmtId="0" fontId="37" fillId="30" borderId="59" xfId="0" applyFont="1" applyFill="1" applyBorder="1" applyAlignment="1">
      <alignment horizontal="center" vertical="center" wrapText="1"/>
    </xf>
    <xf numFmtId="0" fontId="37" fillId="30" borderId="50" xfId="0" applyFont="1" applyFill="1" applyBorder="1" applyAlignment="1">
      <alignment horizontal="center" vertical="center" wrapText="1"/>
    </xf>
    <xf numFmtId="14" fontId="37" fillId="30" borderId="50" xfId="0" applyNumberFormat="1" applyFont="1" applyFill="1" applyBorder="1" applyAlignment="1">
      <alignment horizontal="center" vertical="center" wrapText="1"/>
    </xf>
    <xf numFmtId="164" fontId="37" fillId="29" borderId="20" xfId="0" quotePrefix="1" applyNumberFormat="1" applyFont="1" applyFill="1" applyBorder="1" applyAlignment="1">
      <alignment horizontal="center" vertical="center"/>
    </xf>
    <xf numFmtId="164" fontId="37" fillId="29" borderId="27" xfId="0" quotePrefix="1" applyNumberFormat="1" applyFont="1" applyFill="1" applyBorder="1" applyAlignment="1">
      <alignment horizontal="center" vertical="center"/>
    </xf>
    <xf numFmtId="164" fontId="37" fillId="29" borderId="48" xfId="0" quotePrefix="1" applyNumberFormat="1" applyFont="1" applyFill="1" applyBorder="1" applyAlignment="1">
      <alignment horizontal="center" vertical="center"/>
    </xf>
    <xf numFmtId="164" fontId="37" fillId="29" borderId="1" xfId="0" quotePrefix="1" applyNumberFormat="1" applyFont="1" applyFill="1" applyBorder="1" applyAlignment="1">
      <alignment horizontal="center" vertical="center"/>
    </xf>
    <xf numFmtId="164" fontId="37" fillId="29" borderId="49" xfId="0" quotePrefix="1" applyNumberFormat="1" applyFont="1" applyFill="1" applyBorder="1" applyAlignment="1">
      <alignment horizontal="center" vertical="center"/>
    </xf>
    <xf numFmtId="164" fontId="37" fillId="30" borderId="55" xfId="0" applyNumberFormat="1" applyFont="1" applyFill="1" applyBorder="1" applyAlignment="1">
      <alignment horizontal="center" vertical="center" wrapText="1"/>
    </xf>
    <xf numFmtId="1" fontId="37" fillId="30" borderId="19" xfId="0" applyNumberFormat="1" applyFont="1" applyFill="1" applyBorder="1" applyAlignment="1">
      <alignment horizontal="center" vertical="center" wrapText="1"/>
    </xf>
    <xf numFmtId="1" fontId="47" fillId="30" borderId="19" xfId="0" applyNumberFormat="1" applyFont="1" applyFill="1" applyBorder="1" applyAlignment="1">
      <alignment horizontal="center" vertical="center" wrapText="1"/>
    </xf>
    <xf numFmtId="1" fontId="47" fillId="30" borderId="37" xfId="0" applyNumberFormat="1" applyFont="1" applyFill="1" applyBorder="1" applyAlignment="1">
      <alignment horizontal="center" vertical="center" wrapText="1"/>
    </xf>
    <xf numFmtId="0" fontId="1" fillId="3" borderId="51" xfId="0" applyFont="1" applyFill="1" applyBorder="1" applyAlignment="1">
      <alignment horizontal="center"/>
    </xf>
    <xf numFmtId="0" fontId="1" fillId="3" borderId="49" xfId="0" applyFont="1" applyFill="1" applyBorder="1" applyAlignment="1">
      <alignment horizontal="center"/>
    </xf>
    <xf numFmtId="0" fontId="1" fillId="3" borderId="60" xfId="0" applyFont="1" applyFill="1" applyBorder="1" applyAlignment="1">
      <alignment horizontal="center"/>
    </xf>
    <xf numFmtId="0" fontId="1" fillId="3" borderId="27" xfId="0" applyFont="1" applyFill="1" applyBorder="1" applyAlignment="1">
      <alignment horizontal="center"/>
    </xf>
    <xf numFmtId="0" fontId="1" fillId="3" borderId="43" xfId="0" applyFont="1" applyFill="1" applyBorder="1" applyAlignment="1">
      <alignment horizontal="center"/>
    </xf>
    <xf numFmtId="0" fontId="1" fillId="3" borderId="48" xfId="0" applyFont="1" applyFill="1" applyBorder="1" applyAlignment="1">
      <alignment horizontal="center"/>
    </xf>
    <xf numFmtId="0" fontId="34" fillId="3" borderId="25" xfId="0" applyFont="1" applyFill="1" applyBorder="1" applyAlignment="1">
      <alignment horizontal="center" vertical="center" wrapText="1"/>
    </xf>
    <xf numFmtId="0" fontId="34" fillId="3" borderId="26" xfId="0" applyFont="1" applyFill="1" applyBorder="1" applyAlignment="1">
      <alignment horizontal="center" vertical="center" wrapText="1"/>
    </xf>
    <xf numFmtId="0" fontId="34" fillId="3" borderId="21"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54" xfId="0" applyFont="1" applyFill="1" applyBorder="1" applyAlignment="1">
      <alignment horizontal="center" vertical="center" wrapText="1"/>
    </xf>
    <xf numFmtId="0" fontId="34" fillId="3" borderId="28" xfId="0" applyFont="1" applyFill="1" applyBorder="1" applyAlignment="1">
      <alignment horizontal="center" vertical="center" wrapText="1"/>
    </xf>
    <xf numFmtId="0" fontId="1" fillId="0" borderId="0" xfId="0" applyFont="1" applyAlignment="1">
      <alignment horizontal="center"/>
    </xf>
    <xf numFmtId="0" fontId="1" fillId="26" borderId="51" xfId="0" applyFont="1" applyFill="1" applyBorder="1" applyAlignment="1">
      <alignment horizontal="center" vertical="center"/>
    </xf>
    <xf numFmtId="0" fontId="1" fillId="26" borderId="49" xfId="0" applyFont="1" applyFill="1" applyBorder="1" applyAlignment="1">
      <alignment horizontal="center" vertical="center"/>
    </xf>
    <xf numFmtId="0" fontId="1" fillId="26" borderId="52" xfId="0" applyFont="1" applyFill="1" applyBorder="1" applyAlignment="1">
      <alignment horizontal="center" vertical="center"/>
    </xf>
    <xf numFmtId="0" fontId="1" fillId="26" borderId="63" xfId="0" applyFont="1" applyFill="1" applyBorder="1" applyAlignment="1">
      <alignment horizontal="center" vertical="center"/>
    </xf>
    <xf numFmtId="0" fontId="1" fillId="26" borderId="7" xfId="0" applyFont="1" applyFill="1" applyBorder="1" applyAlignment="1">
      <alignment horizontal="center" vertical="center"/>
    </xf>
    <xf numFmtId="0" fontId="1" fillId="26" borderId="8" xfId="0" applyFont="1" applyFill="1" applyBorder="1" applyAlignment="1">
      <alignment horizontal="center" vertical="center"/>
    </xf>
    <xf numFmtId="0" fontId="1" fillId="26" borderId="9" xfId="0" applyFont="1" applyFill="1" applyBorder="1" applyAlignment="1">
      <alignment horizontal="center" vertical="center"/>
    </xf>
    <xf numFmtId="0" fontId="1" fillId="26" borderId="31" xfId="0" applyFont="1" applyFill="1" applyBorder="1" applyAlignment="1">
      <alignment horizontal="center" vertical="center"/>
    </xf>
    <xf numFmtId="0" fontId="34" fillId="3" borderId="24" xfId="0" applyFont="1" applyFill="1" applyBorder="1" applyAlignment="1">
      <alignment horizontal="center" vertical="center" wrapText="1"/>
    </xf>
    <xf numFmtId="0" fontId="34" fillId="3" borderId="29" xfId="0" applyFont="1" applyFill="1" applyBorder="1" applyAlignment="1">
      <alignment horizontal="center" vertical="center" wrapText="1"/>
    </xf>
    <xf numFmtId="0" fontId="34" fillId="3" borderId="23" xfId="0" applyFont="1" applyFill="1" applyBorder="1" applyAlignment="1">
      <alignment horizontal="center" vertical="center" wrapText="1"/>
    </xf>
    <xf numFmtId="0" fontId="24" fillId="0" borderId="0" xfId="0" applyFont="1" applyAlignment="1" applyProtection="1">
      <alignment horizontal="justify" vertical="center" wrapText="1"/>
      <protection locked="0" hidden="1"/>
    </xf>
    <xf numFmtId="0" fontId="35" fillId="0" borderId="0" xfId="0" applyFont="1" applyAlignment="1" applyProtection="1">
      <alignment horizontal="center"/>
      <protection hidden="1"/>
    </xf>
    <xf numFmtId="0" fontId="35" fillId="0" borderId="26" xfId="0" applyFont="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25" fillId="3" borderId="7" xfId="0" applyFont="1" applyFill="1" applyBorder="1" applyAlignment="1" applyProtection="1">
      <alignment horizontal="center" vertical="center" wrapText="1"/>
      <protection hidden="1"/>
    </xf>
    <xf numFmtId="0" fontId="25" fillId="3" borderId="9" xfId="0" applyFont="1" applyFill="1" applyBorder="1" applyAlignment="1" applyProtection="1">
      <alignment horizontal="center" vertical="center" wrapText="1"/>
      <protection hidden="1"/>
    </xf>
    <xf numFmtId="0" fontId="24" fillId="3" borderId="0" xfId="0" applyFont="1" applyFill="1" applyAlignment="1" applyProtection="1">
      <alignment horizontal="justify" vertical="center" wrapText="1"/>
      <protection hidden="1"/>
    </xf>
    <xf numFmtId="0" fontId="25" fillId="3" borderId="39" xfId="0" applyFont="1" applyFill="1" applyBorder="1" applyAlignment="1" applyProtection="1">
      <alignment horizontal="center" vertical="center" wrapText="1"/>
      <protection hidden="1"/>
    </xf>
    <xf numFmtId="0" fontId="25" fillId="3" borderId="71" xfId="0" applyFont="1" applyFill="1" applyBorder="1" applyAlignment="1" applyProtection="1">
      <alignment horizontal="center" vertical="center" wrapText="1"/>
      <protection hidden="1"/>
    </xf>
    <xf numFmtId="0" fontId="25" fillId="0" borderId="15" xfId="0" applyFont="1" applyBorder="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5" fillId="3" borderId="38" xfId="0" applyFont="1" applyFill="1" applyBorder="1" applyAlignment="1" applyProtection="1">
      <alignment horizontal="center" vertical="center" wrapText="1"/>
      <protection hidden="1"/>
    </xf>
    <xf numFmtId="0" fontId="25" fillId="3" borderId="61" xfId="0" applyFont="1" applyFill="1" applyBorder="1" applyAlignment="1" applyProtection="1">
      <alignment horizontal="center" vertical="center" wrapText="1"/>
      <protection hidden="1"/>
    </xf>
    <xf numFmtId="0" fontId="25" fillId="3" borderId="45" xfId="0" applyFont="1" applyFill="1" applyBorder="1" applyAlignment="1" applyProtection="1">
      <alignment horizontal="center" vertical="center" wrapText="1"/>
      <protection hidden="1"/>
    </xf>
    <xf numFmtId="0" fontId="25" fillId="3" borderId="73" xfId="0" applyFont="1" applyFill="1" applyBorder="1" applyAlignment="1" applyProtection="1">
      <alignment horizontal="center" vertical="center" wrapText="1"/>
      <protection hidden="1"/>
    </xf>
    <xf numFmtId="49" fontId="35" fillId="0" borderId="0" xfId="0" applyNumberFormat="1" applyFont="1" applyAlignment="1" applyProtection="1">
      <alignment horizontal="right" vertical="center" wrapText="1"/>
      <protection hidden="1"/>
    </xf>
    <xf numFmtId="0" fontId="35" fillId="0" borderId="0" xfId="0" applyFont="1" applyAlignment="1" applyProtection="1">
      <alignment horizontal="left" vertical="center" wrapText="1"/>
      <protection hidden="1"/>
    </xf>
    <xf numFmtId="0" fontId="35" fillId="0" borderId="0" xfId="0" applyFont="1" applyAlignment="1" applyProtection="1">
      <alignment horizontal="left" vertical="center"/>
      <protection hidden="1"/>
    </xf>
    <xf numFmtId="0" fontId="25" fillId="0" borderId="39" xfId="0" applyFont="1" applyBorder="1" applyAlignment="1" applyProtection="1">
      <alignment horizontal="center" vertical="center" wrapText="1"/>
      <protection hidden="1"/>
    </xf>
    <xf numFmtId="0" fontId="25" fillId="0" borderId="71" xfId="0" applyFont="1" applyBorder="1" applyAlignment="1" applyProtection="1">
      <alignment horizontal="center" vertical="center" wrapText="1"/>
      <protection hidden="1"/>
    </xf>
    <xf numFmtId="49" fontId="35" fillId="0" borderId="0" xfId="0" applyNumberFormat="1" applyFont="1" applyAlignment="1" applyProtection="1">
      <alignment horizontal="right"/>
      <protection hidden="1"/>
    </xf>
    <xf numFmtId="0" fontId="1" fillId="0" borderId="0" xfId="0" applyFont="1" applyAlignment="1" applyProtection="1">
      <alignment horizontal="left" vertical="center" wrapText="1"/>
      <protection hidden="1"/>
    </xf>
    <xf numFmtId="2" fontId="1" fillId="0" borderId="0" xfId="0" applyNumberFormat="1" applyFont="1" applyAlignment="1" applyProtection="1">
      <alignment horizontal="left" vertical="center" wrapText="1"/>
      <protection hidden="1"/>
    </xf>
    <xf numFmtId="164" fontId="1" fillId="3" borderId="0" xfId="0" applyNumberFormat="1" applyFont="1" applyFill="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24" fillId="0" borderId="0" xfId="0" applyFont="1" applyAlignment="1" applyProtection="1">
      <alignment horizontal="justify" vertical="center" wrapText="1"/>
      <protection hidden="1"/>
    </xf>
    <xf numFmtId="0" fontId="1" fillId="0" borderId="0" xfId="0" applyFont="1" applyAlignment="1" applyProtection="1">
      <alignment horizontal="center"/>
      <protection hidden="1"/>
    </xf>
    <xf numFmtId="0" fontId="24" fillId="0" borderId="0" xfId="0" applyFont="1" applyAlignment="1" applyProtection="1">
      <alignment horizontal="left" vertical="center" wrapText="1"/>
      <protection hidden="1"/>
    </xf>
    <xf numFmtId="2" fontId="72" fillId="0" borderId="0" xfId="2" applyFont="1" applyFill="1" applyAlignment="1">
      <alignment horizontal="left" vertical="center" wrapText="1"/>
      <protection hidden="1"/>
    </xf>
    <xf numFmtId="2" fontId="1" fillId="3" borderId="0" xfId="0" applyNumberFormat="1" applyFont="1" applyFill="1" applyAlignment="1" applyProtection="1">
      <alignment horizontal="left" vertical="center" wrapText="1"/>
      <protection hidden="1"/>
    </xf>
    <xf numFmtId="1" fontId="1" fillId="3" borderId="0" xfId="0" applyNumberFormat="1" applyFont="1" applyFill="1" applyAlignment="1" applyProtection="1">
      <alignment horizontal="left" vertical="center" wrapText="1"/>
      <protection hidden="1"/>
    </xf>
    <xf numFmtId="0" fontId="24" fillId="3" borderId="0" xfId="0" applyFont="1" applyFill="1" applyAlignment="1" applyProtection="1">
      <alignment horizontal="left" vertical="center" wrapText="1"/>
      <protection hidden="1"/>
    </xf>
    <xf numFmtId="0" fontId="1" fillId="3" borderId="7" xfId="0"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22" borderId="0" xfId="0" applyFont="1" applyFill="1" applyAlignment="1" applyProtection="1">
      <alignment horizontal="justify" vertical="center" wrapText="1"/>
      <protection hidden="1"/>
    </xf>
    <xf numFmtId="0" fontId="35" fillId="0" borderId="15" xfId="0" applyFont="1" applyBorder="1" applyAlignment="1" applyProtection="1">
      <alignment horizontal="center" vertical="center" wrapText="1"/>
      <protection hidden="1"/>
    </xf>
    <xf numFmtId="0" fontId="35" fillId="0" borderId="17" xfId="0" applyFont="1" applyBorder="1" applyAlignment="1" applyProtection="1">
      <alignment horizontal="center" vertical="center" wrapText="1"/>
      <protection hidden="1"/>
    </xf>
    <xf numFmtId="0" fontId="35" fillId="0" borderId="16" xfId="0" applyFont="1" applyBorder="1" applyAlignment="1" applyProtection="1">
      <alignment horizontal="center" vertical="center" wrapText="1"/>
      <protection hidden="1"/>
    </xf>
    <xf numFmtId="0" fontId="35" fillId="0" borderId="7" xfId="0"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5" fillId="3" borderId="64" xfId="0" applyFont="1" applyFill="1" applyBorder="1" applyAlignment="1" applyProtection="1">
      <alignment horizontal="center" vertical="center" wrapText="1"/>
      <protection hidden="1"/>
    </xf>
    <xf numFmtId="0" fontId="35" fillId="3" borderId="59" xfId="0" applyFont="1" applyFill="1" applyBorder="1" applyAlignment="1" applyProtection="1">
      <alignment horizontal="center" vertical="center" wrapText="1"/>
      <protection hidden="1"/>
    </xf>
    <xf numFmtId="3" fontId="1" fillId="0" borderId="0" xfId="0" applyNumberFormat="1" applyFont="1" applyAlignment="1" applyProtection="1">
      <alignment horizontal="left" vertical="center" wrapText="1"/>
      <protection hidden="1"/>
    </xf>
    <xf numFmtId="2" fontId="5" fillId="24" borderId="22" xfId="2" applyFill="1" applyBorder="1" applyAlignment="1">
      <alignment vertical="center"/>
      <protection hidden="1"/>
    </xf>
    <xf numFmtId="1" fontId="5" fillId="3" borderId="22" xfId="0" applyNumberFormat="1" applyFont="1" applyFill="1" applyBorder="1" applyAlignment="1">
      <alignment horizontal="center" vertical="center" wrapText="1"/>
    </xf>
    <xf numFmtId="164" fontId="5" fillId="3" borderId="22" xfId="0" applyNumberFormat="1" applyFont="1" applyFill="1" applyBorder="1" applyAlignment="1">
      <alignment horizontal="center" vertical="center" wrapText="1"/>
    </xf>
    <xf numFmtId="0" fontId="25" fillId="0" borderId="22" xfId="0" applyFont="1" applyBorder="1" applyAlignment="1" applyProtection="1">
      <alignment horizontal="center" vertical="center" wrapText="1"/>
      <protection hidden="1"/>
    </xf>
    <xf numFmtId="2" fontId="24" fillId="0" borderId="7" xfId="0" applyNumberFormat="1" applyFont="1" applyBorder="1" applyAlignment="1" applyProtection="1">
      <alignment horizontal="center" vertical="center" wrapText="1"/>
      <protection hidden="1"/>
    </xf>
    <xf numFmtId="0" fontId="24" fillId="0" borderId="30"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35" fillId="0" borderId="11" xfId="0" applyFont="1" applyBorder="1" applyAlignment="1" applyProtection="1">
      <alignment horizontal="center" vertical="center" wrapText="1"/>
      <protection hidden="1"/>
    </xf>
    <xf numFmtId="0" fontId="35" fillId="0" borderId="33" xfId="0" applyFont="1" applyBorder="1" applyAlignment="1" applyProtection="1">
      <alignment horizontal="center" vertical="center" wrapText="1"/>
      <protection hidden="1"/>
    </xf>
    <xf numFmtId="0" fontId="35" fillId="0" borderId="12" xfId="0" applyFont="1" applyBorder="1" applyAlignment="1" applyProtection="1">
      <alignment horizontal="center" vertical="center" wrapText="1"/>
      <protection hidden="1"/>
    </xf>
    <xf numFmtId="0" fontId="35" fillId="0" borderId="6" xfId="0" applyFont="1" applyBorder="1" applyAlignment="1" applyProtection="1">
      <alignment horizontal="center" vertical="center" wrapText="1"/>
      <protection hidden="1"/>
    </xf>
    <xf numFmtId="164" fontId="1" fillId="0" borderId="0" xfId="0" applyNumberFormat="1" applyFont="1" applyAlignment="1" applyProtection="1">
      <alignment horizontal="left" vertical="center" wrapText="1"/>
      <protection hidden="1"/>
    </xf>
    <xf numFmtId="164" fontId="1" fillId="0" borderId="0" xfId="0" applyNumberFormat="1" applyFont="1" applyAlignment="1" applyProtection="1">
      <alignment vertical="center" wrapText="1"/>
      <protection hidden="1"/>
    </xf>
    <xf numFmtId="0" fontId="1" fillId="0" borderId="0" xfId="0" applyFont="1" applyAlignment="1" applyProtection="1">
      <alignment horizontal="right" vertical="center" wrapText="1"/>
      <protection hidden="1"/>
    </xf>
    <xf numFmtId="0" fontId="1" fillId="0" borderId="28" xfId="0" applyFont="1" applyBorder="1" applyAlignment="1" applyProtection="1">
      <alignment horizontal="center"/>
      <protection hidden="1"/>
    </xf>
    <xf numFmtId="164" fontId="1" fillId="0" borderId="38" xfId="0" applyNumberFormat="1" applyFont="1" applyBorder="1" applyAlignment="1" applyProtection="1">
      <alignment horizontal="center" vertical="center" wrapText="1"/>
      <protection locked="0"/>
    </xf>
    <xf numFmtId="164" fontId="1" fillId="0" borderId="61" xfId="0" applyNumberFormat="1" applyFont="1" applyBorder="1" applyAlignment="1" applyProtection="1">
      <alignment horizontal="center" vertical="center" wrapText="1"/>
      <protection locked="0"/>
    </xf>
    <xf numFmtId="164" fontId="1" fillId="0" borderId="66" xfId="0" applyNumberFormat="1" applyFont="1" applyBorder="1" applyAlignment="1" applyProtection="1">
      <alignment horizontal="center" vertical="center" wrapText="1"/>
      <protection locked="0"/>
    </xf>
    <xf numFmtId="0" fontId="68" fillId="0" borderId="14" xfId="0" applyFont="1" applyBorder="1" applyAlignment="1">
      <alignment horizontal="center" vertical="center" wrapText="1"/>
    </xf>
    <xf numFmtId="0" fontId="68" fillId="0" borderId="70" xfId="0" applyFont="1" applyBorder="1" applyAlignment="1">
      <alignment horizontal="center" vertical="center" wrapText="1"/>
    </xf>
    <xf numFmtId="0" fontId="1" fillId="0" borderId="2" xfId="0" applyFont="1" applyBorder="1" applyAlignment="1">
      <alignment horizontal="center"/>
    </xf>
    <xf numFmtId="0" fontId="62" fillId="15" borderId="25" xfId="0" applyFont="1" applyFill="1" applyBorder="1" applyAlignment="1">
      <alignment horizontal="center" vertical="center"/>
    </xf>
    <xf numFmtId="0" fontId="62" fillId="15" borderId="26" xfId="0" applyFont="1" applyFill="1" applyBorder="1" applyAlignment="1">
      <alignment horizontal="center" vertical="center"/>
    </xf>
    <xf numFmtId="0" fontId="62" fillId="15" borderId="24" xfId="0" applyFont="1" applyFill="1" applyBorder="1" applyAlignment="1">
      <alignment horizontal="center" vertical="center"/>
    </xf>
    <xf numFmtId="0" fontId="62" fillId="15" borderId="54" xfId="0" applyFont="1" applyFill="1" applyBorder="1" applyAlignment="1">
      <alignment horizontal="center" vertical="center"/>
    </xf>
    <xf numFmtId="0" fontId="62" fillId="15" borderId="28" xfId="0" applyFont="1" applyFill="1" applyBorder="1" applyAlignment="1">
      <alignment horizontal="center" vertical="center"/>
    </xf>
    <xf numFmtId="0" fontId="62" fillId="15" borderId="23" xfId="0" applyFont="1" applyFill="1" applyBorder="1" applyAlignment="1">
      <alignment horizontal="center" vertical="center"/>
    </xf>
    <xf numFmtId="0" fontId="1" fillId="3" borderId="0" xfId="0" applyFont="1" applyFill="1" applyAlignment="1" applyProtection="1">
      <alignment horizontal="left" vertical="center" wrapText="1"/>
      <protection hidden="1"/>
    </xf>
    <xf numFmtId="2" fontId="24" fillId="0" borderId="0" xfId="2" applyFont="1" applyFill="1" applyAlignment="1">
      <alignment horizontal="left" vertical="center"/>
      <protection hidden="1"/>
    </xf>
    <xf numFmtId="1" fontId="5" fillId="3" borderId="22" xfId="0" quotePrefix="1" applyNumberFormat="1" applyFont="1" applyFill="1" applyBorder="1" applyAlignment="1">
      <alignment horizontal="center" vertical="center" wrapText="1"/>
    </xf>
    <xf numFmtId="0" fontId="24" fillId="0" borderId="0" xfId="0" applyFont="1" applyAlignment="1" applyProtection="1">
      <alignment horizontal="left" vertical="center" wrapText="1"/>
      <protection locked="0" hidden="1"/>
    </xf>
    <xf numFmtId="0" fontId="25" fillId="0" borderId="38" xfId="0" applyFont="1" applyBorder="1" applyAlignment="1" applyProtection="1">
      <alignment horizontal="center" vertical="center" wrapText="1"/>
      <protection hidden="1"/>
    </xf>
    <xf numFmtId="0" fontId="25" fillId="0" borderId="61" xfId="0" applyFont="1" applyBorder="1" applyAlignment="1" applyProtection="1">
      <alignment horizontal="center" vertical="center" wrapText="1"/>
      <protection hidden="1"/>
    </xf>
    <xf numFmtId="2" fontId="72" fillId="24" borderId="22" xfId="2" applyFont="1" applyFill="1" applyBorder="1" applyAlignment="1">
      <alignment vertical="center"/>
      <protection hidden="1"/>
    </xf>
    <xf numFmtId="0" fontId="1" fillId="0" borderId="0" xfId="0" applyFont="1" applyAlignment="1" applyProtection="1">
      <alignment horizontal="center" vertical="justify" wrapText="1"/>
      <protection hidden="1"/>
    </xf>
    <xf numFmtId="0" fontId="1" fillId="0" borderId="0" xfId="0" applyFont="1" applyAlignment="1" applyProtection="1">
      <alignment horizontal="center" vertical="center" wrapText="1"/>
      <protection locked="0" hidden="1"/>
    </xf>
    <xf numFmtId="0" fontId="72" fillId="3" borderId="22" xfId="0" applyFont="1" applyFill="1" applyBorder="1" applyAlignment="1" applyProtection="1">
      <alignment horizontal="left" vertical="center" wrapText="1"/>
      <protection hidden="1"/>
    </xf>
    <xf numFmtId="0" fontId="1" fillId="0" borderId="0" xfId="0" applyFont="1" applyAlignment="1" applyProtection="1">
      <alignment horizontal="center" vertical="center"/>
      <protection hidden="1"/>
    </xf>
    <xf numFmtId="0" fontId="25" fillId="0" borderId="42" xfId="0" applyFont="1" applyBorder="1" applyAlignment="1" applyProtection="1">
      <alignment horizontal="center" vertical="center" wrapText="1"/>
      <protection hidden="1"/>
    </xf>
    <xf numFmtId="0" fontId="25" fillId="3" borderId="42" xfId="0" applyFont="1" applyFill="1" applyBorder="1" applyAlignment="1" applyProtection="1">
      <alignment horizontal="center" vertical="center" wrapText="1"/>
      <protection hidden="1"/>
    </xf>
    <xf numFmtId="0" fontId="25" fillId="0" borderId="66" xfId="0" applyFont="1" applyBorder="1" applyAlignment="1" applyProtection="1">
      <alignment horizontal="center" vertical="center" wrapText="1"/>
      <protection hidden="1"/>
    </xf>
    <xf numFmtId="0" fontId="5" fillId="3" borderId="22" xfId="0" applyFont="1" applyFill="1" applyBorder="1" applyAlignment="1" applyProtection="1">
      <alignment horizontal="left" vertical="center" wrapText="1"/>
      <protection hidden="1"/>
    </xf>
    <xf numFmtId="0" fontId="5" fillId="3" borderId="22" xfId="0" quotePrefix="1" applyFont="1" applyFill="1" applyBorder="1" applyAlignment="1">
      <alignment horizontal="center" vertical="center" wrapText="1"/>
    </xf>
    <xf numFmtId="0" fontId="5" fillId="3" borderId="22" xfId="0" applyFont="1" applyFill="1" applyBorder="1" applyAlignment="1">
      <alignment horizontal="center" vertical="center" wrapText="1"/>
    </xf>
    <xf numFmtId="0" fontId="35" fillId="3" borderId="0" xfId="0" applyFont="1" applyFill="1" applyAlignment="1" applyProtection="1">
      <alignment horizontal="center" vertical="center"/>
      <protection hidden="1"/>
    </xf>
    <xf numFmtId="0" fontId="1" fillId="0" borderId="0" xfId="0" applyFont="1" applyAlignment="1" applyProtection="1">
      <alignment horizontal="justify" vertical="center" wrapText="1"/>
      <protection hidden="1"/>
    </xf>
    <xf numFmtId="2" fontId="24" fillId="0" borderId="0" xfId="0" applyNumberFormat="1" applyFont="1" applyAlignment="1" applyProtection="1">
      <alignment horizontal="justify" vertical="center" wrapText="1"/>
      <protection hidden="1"/>
    </xf>
    <xf numFmtId="2" fontId="5" fillId="3" borderId="22" xfId="0" applyNumberFormat="1" applyFont="1" applyFill="1" applyBorder="1" applyAlignment="1">
      <alignment horizontal="center" vertical="center" wrapText="1"/>
    </xf>
  </cellXfs>
  <cellStyles count="10">
    <cellStyle name="Bueno" xfId="1" builtinId="26"/>
    <cellStyle name="Estilo 1" xfId="2" xr:uid="{00000000-0005-0000-0000-000001000000}"/>
    <cellStyle name="Estilo 2" xfId="3" xr:uid="{00000000-0005-0000-0000-000002000000}"/>
    <cellStyle name="Estilo 3" xfId="4" xr:uid="{00000000-0005-0000-0000-000003000000}"/>
    <cellStyle name="Estilo 4" xfId="5" xr:uid="{00000000-0005-0000-0000-000004000000}"/>
    <cellStyle name="Estilo 5" xfId="6" xr:uid="{00000000-0005-0000-0000-000005000000}"/>
    <cellStyle name="Estilo 6" xfId="8" xr:uid="{00000000-0005-0000-0000-000006000000}"/>
    <cellStyle name="Millares" xfId="9" builtinId="3"/>
    <cellStyle name="Normal" xfId="0" builtinId="0"/>
    <cellStyle name="Porcentaje" xfId="7" builtinId="5"/>
  </cellStyles>
  <dxfs count="143">
    <dxf>
      <font>
        <b/>
        <i val="0"/>
      </font>
    </dxf>
    <dxf>
      <font>
        <b/>
        <i val="0"/>
      </font>
      <fill>
        <patternFill>
          <bgColor theme="9" tint="0.39994506668294322"/>
        </patternFill>
      </fill>
    </dxf>
    <dxf>
      <font>
        <b/>
        <i val="0"/>
      </font>
    </dxf>
    <dxf>
      <font>
        <b/>
        <i val="0"/>
      </font>
      <fill>
        <patternFill>
          <bgColor theme="9" tint="0.39994506668294322"/>
        </patternFill>
      </fill>
    </dxf>
    <dxf>
      <font>
        <b/>
        <i val="0"/>
      </font>
    </dxf>
    <dxf>
      <font>
        <b/>
        <i val="0"/>
      </font>
      <fill>
        <patternFill>
          <bgColor theme="9" tint="0.39994506668294322"/>
        </patternFill>
      </fill>
    </dxf>
    <dxf>
      <font>
        <b/>
        <i val="0"/>
      </font>
      <fill>
        <patternFill>
          <bgColor theme="0"/>
        </patternFill>
      </fill>
    </dxf>
    <dxf>
      <font>
        <b/>
        <i val="0"/>
      </font>
      <fill>
        <patternFill>
          <bgColor theme="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s>
  <tableStyles count="1" defaultTableStyle="TableStyleMedium2" defaultPivotStyle="PivotStyleLight16">
    <tableStyle name="Invisible" pivot="0" table="0" count="0" xr9:uid="{00000000-0011-0000-FFFF-FFFF00000000}"/>
  </tableStyles>
  <colors>
    <mruColors>
      <color rgb="FFFCE4D6"/>
      <color rgb="FF0070C0"/>
      <color rgb="FF9BC2E6"/>
      <color rgb="FFDDEBF7"/>
      <color rgb="FFC6E0B4"/>
      <color rgb="FFFFF2CC"/>
      <color rgb="FF1F4E78"/>
      <color rgb="FFD9D9D9"/>
      <color rgb="FFFFFFCC"/>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8-4016-B029-D57B74756A7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8-4016-B029-D57B74756A7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016-B029-D57B74756A7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016-B029-D57B74756A7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mg &lt; '!$G$59,'1 mg &lt; '!$G$62,'1 mg &lt; '!$G$66:$G$67,'1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8-4016-B029-D57B74756A78}"/>
            </c:ext>
          </c:extLst>
        </c:ser>
        <c:dLbls>
          <c:dLblPos val="inEnd"/>
          <c:showLegendKey val="0"/>
          <c:showVal val="1"/>
          <c:showCatName val="0"/>
          <c:showSerName val="0"/>
          <c:showPercent val="0"/>
          <c:showBubbleSize val="0"/>
        </c:dLbls>
        <c:gapWidth val="65"/>
        <c:axId val="396282496"/>
        <c:axId val="396560640"/>
      </c:barChart>
      <c:catAx>
        <c:axId val="3962824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96560640"/>
        <c:crosses val="autoZero"/>
        <c:auto val="1"/>
        <c:lblAlgn val="ctr"/>
        <c:lblOffset val="100"/>
        <c:noMultiLvlLbl val="0"/>
      </c:catAx>
      <c:valAx>
        <c:axId val="3965606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62824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1C-4588-AE18-7FD4D70EF45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1C-4588-AE18-7FD4D70EF45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C-4588-AE18-7FD4D70EF45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1C-4588-AE18-7FD4D70EF45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&lt; '!$G$59,'200 mg &lt; '!$G$62,'200 mg &lt; '!$G$66:$G$67,'200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3E1C-4588-AE18-7FD4D70EF453}"/>
            </c:ext>
          </c:extLst>
        </c:ser>
        <c:dLbls>
          <c:dLblPos val="inEnd"/>
          <c:showLegendKey val="0"/>
          <c:showVal val="1"/>
          <c:showCatName val="0"/>
          <c:showSerName val="0"/>
          <c:showPercent val="0"/>
          <c:showBubbleSize val="0"/>
        </c:dLbls>
        <c:gapWidth val="65"/>
        <c:axId val="568608640"/>
        <c:axId val="568636160"/>
      </c:barChart>
      <c:catAx>
        <c:axId val="5686086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568636160"/>
        <c:crosses val="autoZero"/>
        <c:auto val="1"/>
        <c:lblAlgn val="ctr"/>
        <c:lblOffset val="100"/>
        <c:noMultiLvlLbl val="0"/>
      </c:catAx>
      <c:valAx>
        <c:axId val="5686361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686086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77-48C8-AE26-C962766809F9}"/>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7-48C8-AE26-C962766809F9}"/>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7-48C8-AE26-C962766809F9}"/>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77-48C8-AE26-C962766809F9}"/>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&lt;'!$G$59,'200 mg + &lt;'!$G$62,'200 mg + &lt;'!$G$66:$G$67,'200 mg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077-48C8-AE26-C962766809F9}"/>
            </c:ext>
          </c:extLst>
        </c:ser>
        <c:dLbls>
          <c:dLblPos val="inEnd"/>
          <c:showLegendKey val="0"/>
          <c:showVal val="1"/>
          <c:showCatName val="0"/>
          <c:showSerName val="0"/>
          <c:showPercent val="0"/>
          <c:showBubbleSize val="0"/>
        </c:dLbls>
        <c:gapWidth val="65"/>
        <c:axId val="569407744"/>
        <c:axId val="569420800"/>
      </c:barChart>
      <c:catAx>
        <c:axId val="5694077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569420800"/>
        <c:crosses val="autoZero"/>
        <c:auto val="1"/>
        <c:lblAlgn val="ctr"/>
        <c:lblOffset val="100"/>
        <c:noMultiLvlLbl val="0"/>
      </c:catAx>
      <c:valAx>
        <c:axId val="5694208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694077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60-41E9-B367-5343EAF2640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0-41E9-B367-5343EAF2640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60-41E9-B367-5343EAF2640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60-41E9-B367-5343EAF2640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mg &lt; '!$G$59,'500 mg &lt; '!$G$62,'500 mg &lt; '!$G$66:$G$67,'500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DA60-41E9-B367-5343EAF26407}"/>
            </c:ext>
          </c:extLst>
        </c:ser>
        <c:dLbls>
          <c:dLblPos val="inEnd"/>
          <c:showLegendKey val="0"/>
          <c:showVal val="1"/>
          <c:showCatName val="0"/>
          <c:showSerName val="0"/>
          <c:showPercent val="0"/>
          <c:showBubbleSize val="0"/>
        </c:dLbls>
        <c:gapWidth val="65"/>
        <c:axId val="329207168"/>
        <c:axId val="329226496"/>
      </c:barChart>
      <c:catAx>
        <c:axId val="329207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29226496"/>
        <c:crosses val="autoZero"/>
        <c:auto val="1"/>
        <c:lblAlgn val="ctr"/>
        <c:lblOffset val="100"/>
        <c:noMultiLvlLbl val="0"/>
      </c:catAx>
      <c:valAx>
        <c:axId val="3292264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292071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(mg)&lt;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4D-4F00-AB9F-F55B6842DA9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4D-4F00-AB9F-F55B6842DA9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4D-4F00-AB9F-F55B6842DA9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4D-4F00-AB9F-F55B6842DA9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(mg)&lt; '!$G$59,'RT03-F13 (mg)&lt; '!$G$62,'RT03-F13 (mg)&lt; '!$G$66,'RT03-F13 (mg)&lt; '!$G$67,'RT03-F13 (mg)&lt;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C84D-4F00-AB9F-F55B6842DA97}"/>
            </c:ext>
          </c:extLst>
        </c:ser>
        <c:dLbls>
          <c:dLblPos val="inEnd"/>
          <c:showLegendKey val="0"/>
          <c:showVal val="1"/>
          <c:showCatName val="0"/>
          <c:showSerName val="0"/>
          <c:showPercent val="0"/>
          <c:showBubbleSize val="0"/>
        </c:dLbls>
        <c:gapWidth val="65"/>
        <c:axId val="332827264"/>
        <c:axId val="332842496"/>
      </c:barChart>
      <c:catAx>
        <c:axId val="3328272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32842496"/>
        <c:crosses val="autoZero"/>
        <c:auto val="1"/>
        <c:lblAlgn val="ctr"/>
        <c:lblOffset val="100"/>
        <c:noMultiLvlLbl val="0"/>
      </c:catAx>
      <c:valAx>
        <c:axId val="3328424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328272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BC-4998-B8DF-434B17E7015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BC-4998-B8DF-434B17E7015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BC-4998-B8DF-434B17E7015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BC-4998-B8DF-434B17E7015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(g) &lt;'!$G$59,'RT03-F13 (g) &lt;'!$G$62,'RT03-F13 (g) &lt;'!$G$66:$G$67,'RT03-F13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13BC-4998-B8DF-434B17E70155}"/>
            </c:ext>
          </c:extLst>
        </c:ser>
        <c:dLbls>
          <c:dLblPos val="inEnd"/>
          <c:showLegendKey val="0"/>
          <c:showVal val="1"/>
          <c:showCatName val="0"/>
          <c:showSerName val="0"/>
          <c:showPercent val="0"/>
          <c:showBubbleSize val="0"/>
        </c:dLbls>
        <c:gapWidth val="65"/>
        <c:axId val="337996416"/>
        <c:axId val="338011648"/>
      </c:barChart>
      <c:catAx>
        <c:axId val="3379964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38011648"/>
        <c:crosses val="autoZero"/>
        <c:auto val="1"/>
        <c:lblAlgn val="ctr"/>
        <c:lblOffset val="100"/>
        <c:noMultiLvlLbl val="0"/>
      </c:catAx>
      <c:valAx>
        <c:axId val="3380116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379964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E5-4347-AA7D-A85C0595000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E5-4347-AA7D-A85C0595000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5-4347-AA7D-A85C0595000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5-4347-AA7D-A85C0595000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g &lt;'!$G$59,'1 g &lt;'!$G$62,'1 g &lt;'!$G$66:$G$68)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7E5-4347-AA7D-A85C05950008}"/>
            </c:ext>
          </c:extLst>
        </c:ser>
        <c:dLbls>
          <c:dLblPos val="inEnd"/>
          <c:showLegendKey val="0"/>
          <c:showVal val="1"/>
          <c:showCatName val="0"/>
          <c:showSerName val="0"/>
          <c:showPercent val="0"/>
          <c:showBubbleSize val="0"/>
        </c:dLbls>
        <c:gapWidth val="65"/>
        <c:axId val="339269888"/>
        <c:axId val="339272832"/>
      </c:barChart>
      <c:catAx>
        <c:axId val="3392698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39272832"/>
        <c:crosses val="autoZero"/>
        <c:auto val="1"/>
        <c:lblAlgn val="ctr"/>
        <c:lblOffset val="100"/>
        <c:noMultiLvlLbl val="0"/>
      </c:catAx>
      <c:valAx>
        <c:axId val="3392728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392698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34-43E5-9FC7-5574D16FD60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4-43E5-9FC7-5574D16FD60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4-43E5-9FC7-5574D16FD60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4-43E5-9FC7-5574D16FD60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&lt;'!$G$59,'2 g &lt;'!$G$62,'2 g &lt;'!$G$66:$G$67,'2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034-43E5-9FC7-5574D16FD602}"/>
            </c:ext>
          </c:extLst>
        </c:ser>
        <c:dLbls>
          <c:dLblPos val="inEnd"/>
          <c:showLegendKey val="0"/>
          <c:showVal val="1"/>
          <c:showCatName val="0"/>
          <c:showSerName val="0"/>
          <c:showPercent val="0"/>
          <c:showBubbleSize val="0"/>
        </c:dLbls>
        <c:gapWidth val="65"/>
        <c:axId val="341829120"/>
        <c:axId val="341840256"/>
      </c:barChart>
      <c:catAx>
        <c:axId val="3418291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41840256"/>
        <c:crosses val="autoZero"/>
        <c:auto val="1"/>
        <c:lblAlgn val="ctr"/>
        <c:lblOffset val="100"/>
        <c:noMultiLvlLbl val="0"/>
      </c:catAx>
      <c:valAx>
        <c:axId val="3418402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418291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A-48B4-9B6A-954B40C5469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A-48B4-9B6A-954B40C5469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CA-48B4-9B6A-954B40C5469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CA-48B4-9B6A-954B40C5469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 &lt;'!$G$59,'2 g + &lt;'!$G$62,'2 g + &lt;'!$G$66:$G$67,'2 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3CA-48B4-9B6A-954B40C54692}"/>
            </c:ext>
          </c:extLst>
        </c:ser>
        <c:dLbls>
          <c:dLblPos val="inEnd"/>
          <c:showLegendKey val="0"/>
          <c:showVal val="1"/>
          <c:showCatName val="0"/>
          <c:showSerName val="0"/>
          <c:showPercent val="0"/>
          <c:showBubbleSize val="0"/>
        </c:dLbls>
        <c:gapWidth val="65"/>
        <c:axId val="343925504"/>
        <c:axId val="343928192"/>
      </c:barChart>
      <c:catAx>
        <c:axId val="3439255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43928192"/>
        <c:crosses val="autoZero"/>
        <c:auto val="1"/>
        <c:lblAlgn val="ctr"/>
        <c:lblOffset val="100"/>
        <c:noMultiLvlLbl val="0"/>
      </c:catAx>
      <c:valAx>
        <c:axId val="3439281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439255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9-46EE-BB0E-421B8AC9C03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E9-46EE-BB0E-421B8AC9C03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E9-46EE-BB0E-421B8AC9C03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9-46EE-BB0E-421B8AC9C03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g &lt;'!$G$59,'5 g &lt;'!$G$62,'5 g &lt;'!$G$66:$G$67,'5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2E9-46EE-BB0E-421B8AC9C034}"/>
            </c:ext>
          </c:extLst>
        </c:ser>
        <c:dLbls>
          <c:dLblPos val="inEnd"/>
          <c:showLegendKey val="0"/>
          <c:showVal val="1"/>
          <c:showCatName val="0"/>
          <c:showSerName val="0"/>
          <c:showPercent val="0"/>
          <c:showBubbleSize val="0"/>
        </c:dLbls>
        <c:gapWidth val="65"/>
        <c:axId val="345456640"/>
        <c:axId val="345459328"/>
      </c:barChart>
      <c:catAx>
        <c:axId val="3454566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45459328"/>
        <c:crosses val="autoZero"/>
        <c:auto val="1"/>
        <c:lblAlgn val="ctr"/>
        <c:lblOffset val="100"/>
        <c:noMultiLvlLbl val="0"/>
      </c:catAx>
      <c:valAx>
        <c:axId val="3454593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454566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4-421F-8FB2-B957C16C0BBA}"/>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4-421F-8FB2-B957C16C0BBA}"/>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4-421F-8FB2-B957C16C0BBA}"/>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4-421F-8FB2-B957C16C0BBA}"/>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g &lt;'!$G$59,'10 g &lt;'!$G$62,'10 g &lt;'!$G$66:$G$67,'10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D94-421F-8FB2-B957C16C0BBA}"/>
            </c:ext>
          </c:extLst>
        </c:ser>
        <c:dLbls>
          <c:dLblPos val="inEnd"/>
          <c:showLegendKey val="0"/>
          <c:showVal val="1"/>
          <c:showCatName val="0"/>
          <c:showSerName val="0"/>
          <c:showPercent val="0"/>
          <c:showBubbleSize val="0"/>
        </c:dLbls>
        <c:gapWidth val="65"/>
        <c:axId val="351227904"/>
        <c:axId val="351230592"/>
      </c:barChart>
      <c:catAx>
        <c:axId val="351227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51230592"/>
        <c:crosses val="autoZero"/>
        <c:auto val="1"/>
        <c:lblAlgn val="ctr"/>
        <c:lblOffset val="100"/>
        <c:noMultiLvlLbl val="0"/>
      </c:catAx>
      <c:valAx>
        <c:axId val="3512305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512279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7-4E84-BB3C-C1D512E0A28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7-4E84-BB3C-C1D512E0A28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7-4E84-BB3C-C1D512E0A28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1F-4D00-B202-788E31F53D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&lt;'!$G$59,'2 mg &lt;'!$G$62,'2 mg &lt;'!$G$66:$G$67,'2 mg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967-4E84-BB3C-C1D512E0A280}"/>
            </c:ext>
          </c:extLst>
        </c:ser>
        <c:dLbls>
          <c:dLblPos val="inEnd"/>
          <c:showLegendKey val="0"/>
          <c:showVal val="1"/>
          <c:showCatName val="0"/>
          <c:showSerName val="0"/>
          <c:showPercent val="0"/>
          <c:showBubbleSize val="0"/>
        </c:dLbls>
        <c:gapWidth val="65"/>
        <c:axId val="399931648"/>
        <c:axId val="399943552"/>
      </c:barChart>
      <c:catAx>
        <c:axId val="399931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99943552"/>
        <c:crosses val="autoZero"/>
        <c:auto val="1"/>
        <c:lblAlgn val="ctr"/>
        <c:lblOffset val="100"/>
        <c:noMultiLvlLbl val="0"/>
      </c:catAx>
      <c:valAx>
        <c:axId val="3999435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99316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6-4F16-AB4D-01339D31BAE1}"/>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6-4F16-AB4D-01339D31BAE1}"/>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6-4F16-AB4D-01339D31BAE1}"/>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06-4F16-AB4D-01339D31BAE1}"/>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&lt;'!$G$59,'20 g &lt;'!$G$62,'20 g &lt;'!$G$66:$G$67,'20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606-4F16-AB4D-01339D31BAE1}"/>
            </c:ext>
          </c:extLst>
        </c:ser>
        <c:dLbls>
          <c:dLblPos val="inEnd"/>
          <c:showLegendKey val="0"/>
          <c:showVal val="1"/>
          <c:showCatName val="0"/>
          <c:showSerName val="0"/>
          <c:showPercent val="0"/>
          <c:showBubbleSize val="0"/>
        </c:dLbls>
        <c:gapWidth val="65"/>
        <c:axId val="352861184"/>
        <c:axId val="352880512"/>
      </c:barChart>
      <c:catAx>
        <c:axId val="3528611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52880512"/>
        <c:crosses val="autoZero"/>
        <c:auto val="1"/>
        <c:lblAlgn val="ctr"/>
        <c:lblOffset val="100"/>
        <c:noMultiLvlLbl val="0"/>
      </c:catAx>
      <c:valAx>
        <c:axId val="3528805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528611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F-4569-B7E7-12C9FF20A6F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F-4569-B7E7-12C9FF20A6F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BF-4569-B7E7-12C9FF20A6F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F-4569-B7E7-12C9FF20A6F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 &lt;'!$G$59,'20 g + &lt;'!$G$62,'20 g + &lt;'!$G$66:$G$67,'20 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9BF-4569-B7E7-12C9FF20A6F0}"/>
            </c:ext>
          </c:extLst>
        </c:ser>
        <c:dLbls>
          <c:dLblPos val="inEnd"/>
          <c:showLegendKey val="0"/>
          <c:showVal val="1"/>
          <c:showCatName val="0"/>
          <c:showSerName val="0"/>
          <c:showPercent val="0"/>
          <c:showBubbleSize val="0"/>
        </c:dLbls>
        <c:gapWidth val="65"/>
        <c:axId val="373586176"/>
        <c:axId val="373589120"/>
      </c:barChart>
      <c:catAx>
        <c:axId val="3735861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73589120"/>
        <c:crosses val="autoZero"/>
        <c:auto val="1"/>
        <c:lblAlgn val="ctr"/>
        <c:lblOffset val="100"/>
        <c:noMultiLvlLbl val="0"/>
      </c:catAx>
      <c:valAx>
        <c:axId val="3735891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735861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54-4A2D-B028-F308D8E55A0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4-4A2D-B028-F308D8E55A0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4-4A2D-B028-F308D8E55A0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4-4A2D-B028-F308D8E55A0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g &lt;'!$G$59,'50 g &lt;'!$G$62,'50 g &lt;'!$G$66:$G$67,'50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1554-4A2D-B028-F308D8E55A03}"/>
            </c:ext>
          </c:extLst>
        </c:ser>
        <c:dLbls>
          <c:dLblPos val="inEnd"/>
          <c:showLegendKey val="0"/>
          <c:showVal val="1"/>
          <c:showCatName val="0"/>
          <c:showSerName val="0"/>
          <c:showPercent val="0"/>
          <c:showBubbleSize val="0"/>
        </c:dLbls>
        <c:gapWidth val="65"/>
        <c:axId val="386351488"/>
        <c:axId val="386354176"/>
      </c:barChart>
      <c:catAx>
        <c:axId val="386351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86354176"/>
        <c:crosses val="autoZero"/>
        <c:auto val="1"/>
        <c:lblAlgn val="ctr"/>
        <c:lblOffset val="100"/>
        <c:noMultiLvlLbl val="0"/>
      </c:catAx>
      <c:valAx>
        <c:axId val="3863541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863514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4-4596-8287-9A93B7C3811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D4-4596-8287-9A93B7C3811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4-4596-8287-9A93B7C3811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4-4596-8287-9A93B7C3811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g &lt;'!$G$59,'100 g &lt;'!$G$62,'100 g &lt;'!$G$66:$G$67,'100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ED4-4596-8287-9A93B7C38110}"/>
            </c:ext>
          </c:extLst>
        </c:ser>
        <c:dLbls>
          <c:dLblPos val="inEnd"/>
          <c:showLegendKey val="0"/>
          <c:showVal val="1"/>
          <c:showCatName val="0"/>
          <c:showSerName val="0"/>
          <c:showPercent val="0"/>
          <c:showBubbleSize val="0"/>
        </c:dLbls>
        <c:gapWidth val="65"/>
        <c:axId val="392391296"/>
        <c:axId val="392406528"/>
      </c:barChart>
      <c:catAx>
        <c:axId val="3923912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92406528"/>
        <c:crosses val="autoZero"/>
        <c:auto val="1"/>
        <c:lblAlgn val="ctr"/>
        <c:lblOffset val="100"/>
        <c:noMultiLvlLbl val="0"/>
      </c:catAx>
      <c:valAx>
        <c:axId val="3924065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23912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C-4FC2-A12F-86B80C8ACA8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8C-4FC2-A12F-86B80C8ACA8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C-4FC2-A12F-86B80C8ACA8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8C-4FC2-A12F-86B80C8ACA8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&lt;'!$G$59,'200 g &lt;'!$G$62,'200 g &lt;'!$G$66:$G$67,'200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728C-4FC2-A12F-86B80C8ACA86}"/>
            </c:ext>
          </c:extLst>
        </c:ser>
        <c:dLbls>
          <c:dLblPos val="inEnd"/>
          <c:showLegendKey val="0"/>
          <c:showVal val="1"/>
          <c:showCatName val="0"/>
          <c:showSerName val="0"/>
          <c:showPercent val="0"/>
          <c:showBubbleSize val="0"/>
        </c:dLbls>
        <c:gapWidth val="65"/>
        <c:axId val="394529024"/>
        <c:axId val="394548352"/>
      </c:barChart>
      <c:catAx>
        <c:axId val="3945290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94548352"/>
        <c:crosses val="autoZero"/>
        <c:auto val="1"/>
        <c:lblAlgn val="ctr"/>
        <c:lblOffset val="100"/>
        <c:noMultiLvlLbl val="0"/>
      </c:catAx>
      <c:valAx>
        <c:axId val="3945483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45290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EE-4680-8CDB-FD864BD2B30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EE-4680-8CDB-FD864BD2B30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E-4680-8CDB-FD864BD2B30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EE-4680-8CDB-FD864BD2B30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 &lt;'!$G$59,'200 g + &lt;'!$G$62,'200 g + &lt;'!$G$66:$G$67,'200 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BEE-4680-8CDB-FD864BD2B306}"/>
            </c:ext>
          </c:extLst>
        </c:ser>
        <c:dLbls>
          <c:dLblPos val="inEnd"/>
          <c:showLegendKey val="0"/>
          <c:showVal val="1"/>
          <c:showCatName val="0"/>
          <c:showSerName val="0"/>
          <c:showPercent val="0"/>
          <c:showBubbleSize val="0"/>
        </c:dLbls>
        <c:gapWidth val="65"/>
        <c:axId val="397129216"/>
        <c:axId val="397238656"/>
      </c:barChart>
      <c:catAx>
        <c:axId val="397129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97238656"/>
        <c:crosses val="autoZero"/>
        <c:auto val="1"/>
        <c:lblAlgn val="ctr"/>
        <c:lblOffset val="100"/>
        <c:noMultiLvlLbl val="0"/>
      </c:catAx>
      <c:valAx>
        <c:axId val="3972386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71292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92-447F-8510-90BACA648C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2-447F-8510-90BACA648C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2-447F-8510-90BACA648C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2-447F-8510-90BACA648C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g &lt;'!$G$59,'500 g &lt;'!$G$62,'500 g &lt;'!$G$66:$G$67,'500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C92-447F-8510-90BACA648CB3}"/>
            </c:ext>
          </c:extLst>
        </c:ser>
        <c:dLbls>
          <c:dLblPos val="inEnd"/>
          <c:showLegendKey val="0"/>
          <c:showVal val="1"/>
          <c:showCatName val="0"/>
          <c:showSerName val="0"/>
          <c:showPercent val="0"/>
          <c:showBubbleSize val="0"/>
        </c:dLbls>
        <c:gapWidth val="65"/>
        <c:axId val="398111488"/>
        <c:axId val="398114176"/>
      </c:barChart>
      <c:catAx>
        <c:axId val="398111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98114176"/>
        <c:crosses val="autoZero"/>
        <c:auto val="1"/>
        <c:lblAlgn val="ctr"/>
        <c:lblOffset val="100"/>
        <c:noMultiLvlLbl val="0"/>
      </c:catAx>
      <c:valAx>
        <c:axId val="3981141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81114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27-4147-9C7D-E062E73C4E1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27-4147-9C7D-E062E73C4E1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7-4147-9C7D-E062E73C4E1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27-4147-9C7D-E062E73C4E1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kg &lt;'!$G$59,'1 kg &lt;'!$G$62,'1 kg &lt;'!$G$66:$G$67,'1 kg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027-4147-9C7D-E062E73C4E1E}"/>
            </c:ext>
          </c:extLst>
        </c:ser>
        <c:dLbls>
          <c:dLblPos val="inEnd"/>
          <c:showLegendKey val="0"/>
          <c:showVal val="1"/>
          <c:showCatName val="0"/>
          <c:showSerName val="0"/>
          <c:showPercent val="0"/>
          <c:showBubbleSize val="0"/>
        </c:dLbls>
        <c:gapWidth val="65"/>
        <c:axId val="399269888"/>
        <c:axId val="399272576"/>
      </c:barChart>
      <c:catAx>
        <c:axId val="3992698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99272576"/>
        <c:crosses val="autoZero"/>
        <c:auto val="1"/>
        <c:lblAlgn val="ctr"/>
        <c:lblOffset val="100"/>
        <c:noMultiLvlLbl val="0"/>
      </c:catAx>
      <c:valAx>
        <c:axId val="3992725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92698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&lt;'!$G$59,'2 kg &lt;'!$G$66,'2 kg &lt;'!$G$66:$G$68)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41E-4633-91FB-F523A9274673}"/>
            </c:ext>
          </c:extLst>
        </c:ser>
        <c:dLbls>
          <c:dLblPos val="inEnd"/>
          <c:showLegendKey val="0"/>
          <c:showVal val="1"/>
          <c:showCatName val="0"/>
          <c:showSerName val="0"/>
          <c:showPercent val="0"/>
          <c:showBubbleSize val="0"/>
        </c:dLbls>
        <c:gapWidth val="65"/>
        <c:axId val="411362816"/>
        <c:axId val="411369856"/>
      </c:barChart>
      <c:catAx>
        <c:axId val="4113628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1369856"/>
        <c:crosses val="autoZero"/>
        <c:auto val="1"/>
        <c:lblAlgn val="ctr"/>
        <c:lblOffset val="100"/>
        <c:noMultiLvlLbl val="0"/>
      </c:catAx>
      <c:valAx>
        <c:axId val="4113698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13628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0-4B3B-8FAC-BB773CF42F3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50-4B3B-8FAC-BB773CF42F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0-4B3B-8FAC-BB773CF42F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50-4B3B-8FAC-BB773CF42F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 &lt;'!$G$59,'2 kg + &lt;'!$G$62,'2 kg + &lt;'!$G$66:$G$67,'2 kg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550-4B3B-8FAC-BB773CF42F35}"/>
            </c:ext>
          </c:extLst>
        </c:ser>
        <c:dLbls>
          <c:dLblPos val="inEnd"/>
          <c:showLegendKey val="0"/>
          <c:showVal val="1"/>
          <c:showCatName val="0"/>
          <c:showSerName val="0"/>
          <c:showPercent val="0"/>
          <c:showBubbleSize val="0"/>
        </c:dLbls>
        <c:gapWidth val="65"/>
        <c:axId val="412418432"/>
        <c:axId val="412421120"/>
      </c:barChart>
      <c:catAx>
        <c:axId val="4124184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2421120"/>
        <c:crosses val="autoZero"/>
        <c:auto val="1"/>
        <c:lblAlgn val="ctr"/>
        <c:lblOffset val="100"/>
        <c:noMultiLvlLbl val="0"/>
      </c:catAx>
      <c:valAx>
        <c:axId val="4124211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24184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1-477E-858F-DF5AED3594B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3D-4105-A3C5-A0B0CAFCD2C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 &lt; '!$G$59,'2 mg + &lt; '!$G$62,'2 mg + &lt; '!$G$66:$G$67,'2 mg +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5A1-477E-858F-DF5AED3594B8}"/>
            </c:ext>
          </c:extLst>
        </c:ser>
        <c:dLbls>
          <c:dLblPos val="inEnd"/>
          <c:showLegendKey val="0"/>
          <c:showVal val="1"/>
          <c:showCatName val="0"/>
          <c:showSerName val="0"/>
          <c:showPercent val="0"/>
          <c:showBubbleSize val="0"/>
        </c:dLbls>
        <c:gapWidth val="65"/>
        <c:axId val="412394240"/>
        <c:axId val="412422144"/>
      </c:barChart>
      <c:catAx>
        <c:axId val="4123942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2422144"/>
        <c:crosses val="autoZero"/>
        <c:auto val="1"/>
        <c:lblAlgn val="ctr"/>
        <c:lblOffset val="100"/>
        <c:noMultiLvlLbl val="0"/>
      </c:catAx>
      <c:valAx>
        <c:axId val="4124221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23942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49-438D-8B4D-F4C4EACC4C3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9-438D-8B4D-F4C4EACC4C3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49-438D-8B4D-F4C4EACC4C3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49-438D-8B4D-F4C4EACC4C3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kg &lt;'!$A$59,'5 kg &lt;'!$A$62,'5 kg &lt;'!$A$66:$A$68)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&lt;'!$G$59,'5 kg &lt;'!$G$62,'5 kg &lt;'!$G$66:$G$67,'5 kg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649-438D-8B4D-F4C4EACC4C3E}"/>
            </c:ext>
          </c:extLst>
        </c:ser>
        <c:dLbls>
          <c:dLblPos val="inEnd"/>
          <c:showLegendKey val="0"/>
          <c:showVal val="1"/>
          <c:showCatName val="0"/>
          <c:showSerName val="0"/>
          <c:showPercent val="0"/>
          <c:showBubbleSize val="0"/>
        </c:dLbls>
        <c:gapWidth val="65"/>
        <c:axId val="413642112"/>
        <c:axId val="413669632"/>
      </c:barChart>
      <c:catAx>
        <c:axId val="413642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3669632"/>
        <c:crosses val="autoZero"/>
        <c:auto val="1"/>
        <c:lblAlgn val="ctr"/>
        <c:lblOffset val="100"/>
        <c:noMultiLvlLbl val="0"/>
      </c:catAx>
      <c:valAx>
        <c:axId val="4136696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36421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0-4CE4-B224-F7464E857A3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0-4CE4-B224-F7464E857A3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0-4CE4-B224-F7464E857A3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0-4CE4-B224-F7464E857A3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&lt;'!$G$59,'10 kg &lt;'!$G$62,'10 kg &lt;'!$G$66:$G$67,'10 kg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420-4CE4-B224-F7464E857A33}"/>
            </c:ext>
          </c:extLst>
        </c:ser>
        <c:dLbls>
          <c:dLblPos val="inEnd"/>
          <c:showLegendKey val="0"/>
          <c:showVal val="1"/>
          <c:showCatName val="0"/>
          <c:showSerName val="0"/>
          <c:showPercent val="0"/>
          <c:showBubbleSize val="0"/>
        </c:dLbls>
        <c:gapWidth val="65"/>
        <c:axId val="414636672"/>
        <c:axId val="414643712"/>
      </c:barChart>
      <c:catAx>
        <c:axId val="4146366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4643712"/>
        <c:crosses val="autoZero"/>
        <c:auto val="1"/>
        <c:lblAlgn val="ctr"/>
        <c:lblOffset val="100"/>
        <c:noMultiLvlLbl val="0"/>
      </c:catAx>
      <c:valAx>
        <c:axId val="4146437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46366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&lt;'!$A$187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&lt;'!$F$187:$F$189</c:f>
              <c:numCache>
                <c:formatCode>General</c:formatCode>
                <c:ptCount val="3"/>
                <c:pt idx="0">
                  <c:v>17.100000000000001</c:v>
                </c:pt>
                <c:pt idx="1">
                  <c:v>20.100000000000001</c:v>
                </c:pt>
                <c:pt idx="2" formatCode="0.0">
                  <c:v>23.1</c:v>
                </c:pt>
              </c:numCache>
            </c:numRef>
          </c:xVal>
          <c:yVal>
            <c:numRef>
              <c:f>'DATOS &lt;'!$H$187:$H$189</c:f>
              <c:numCache>
                <c:formatCode>0.0</c:formatCode>
                <c:ptCount val="3"/>
                <c:pt idx="0">
                  <c:v>-0.2</c:v>
                </c:pt>
                <c:pt idx="1">
                  <c:v>-0.1</c:v>
                </c:pt>
                <c:pt idx="2">
                  <c:v>-0.1</c:v>
                </c:pt>
              </c:numCache>
            </c:numRef>
          </c:yVal>
          <c:smooth val="0"/>
          <c:extLst>
            <c:ext xmlns:c16="http://schemas.microsoft.com/office/drawing/2014/chart" uri="{C3380CC4-5D6E-409C-BE32-E72D297353CC}">
              <c16:uniqueId val="{00000002-A8D6-4133-98EC-4E1FF73C1FD1}"/>
            </c:ext>
          </c:extLst>
        </c:ser>
        <c:dLbls>
          <c:showLegendKey val="0"/>
          <c:showVal val="0"/>
          <c:showCatName val="0"/>
          <c:showSerName val="0"/>
          <c:showPercent val="0"/>
          <c:showBubbleSize val="0"/>
        </c:dLbls>
        <c:axId val="415124480"/>
        <c:axId val="415130368"/>
      </c:scatterChart>
      <c:valAx>
        <c:axId val="415124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130368"/>
        <c:crosses val="autoZero"/>
        <c:crossBetween val="midCat"/>
      </c:valAx>
      <c:valAx>
        <c:axId val="415130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124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&lt;'!$A$190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&lt;'!$F$190:$F$192</c:f>
              <c:numCache>
                <c:formatCode>0.0</c:formatCode>
                <c:ptCount val="3"/>
                <c:pt idx="0" formatCode="General">
                  <c:v>33.299999999999997</c:v>
                </c:pt>
                <c:pt idx="1">
                  <c:v>55.6</c:v>
                </c:pt>
                <c:pt idx="2" formatCode="General">
                  <c:v>78.8</c:v>
                </c:pt>
              </c:numCache>
            </c:numRef>
          </c:xVal>
          <c:yVal>
            <c:numRef>
              <c:f>'DATOS &lt;'!$H$190:$H$192</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ADF4-4562-97E0-1F915E7004BF}"/>
            </c:ext>
          </c:extLst>
        </c:ser>
        <c:dLbls>
          <c:showLegendKey val="0"/>
          <c:showVal val="0"/>
          <c:showCatName val="0"/>
          <c:showSerName val="0"/>
          <c:showPercent val="0"/>
          <c:showBubbleSize val="0"/>
        </c:dLbls>
        <c:axId val="415217920"/>
        <c:axId val="415223808"/>
      </c:scatterChart>
      <c:valAx>
        <c:axId val="415217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223808"/>
        <c:crosses val="autoZero"/>
        <c:crossBetween val="midCat"/>
      </c:valAx>
      <c:valAx>
        <c:axId val="4152238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217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&lt;'!$A$193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5.8165771231662076E-2"/>
                  <c:y val="-0.379271084912055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&lt;'!$F$193:$F$195</c:f>
              <c:numCache>
                <c:formatCode>General</c:formatCode>
                <c:ptCount val="3"/>
                <c:pt idx="0">
                  <c:v>499.78800000000001</c:v>
                </c:pt>
                <c:pt idx="1">
                  <c:v>752.28800000000001</c:v>
                </c:pt>
                <c:pt idx="2" formatCode="0.000">
                  <c:v>899.58299999999997</c:v>
                </c:pt>
              </c:numCache>
            </c:numRef>
          </c:xVal>
          <c:yVal>
            <c:numRef>
              <c:f>'DATOS &lt;'!$H$193:$H$195</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62A3-4CCC-B087-5F6EAE92A5E9}"/>
            </c:ext>
          </c:extLst>
        </c:ser>
        <c:dLbls>
          <c:showLegendKey val="0"/>
          <c:showVal val="0"/>
          <c:showCatName val="0"/>
          <c:showSerName val="0"/>
          <c:showPercent val="0"/>
          <c:showBubbleSize val="0"/>
        </c:dLbls>
        <c:axId val="415266304"/>
        <c:axId val="415267840"/>
      </c:scatterChart>
      <c:valAx>
        <c:axId val="4152663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267840"/>
        <c:crosses val="autoZero"/>
        <c:crossBetween val="midCat"/>
      </c:valAx>
      <c:valAx>
        <c:axId val="415267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2663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&lt;'!$A$171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0214644597996678"/>
                  <c:y val="-0.472288142200046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&lt;'!$F$171:$F$173</c:f>
              <c:strCache>
                <c:ptCount val="3"/>
                <c:pt idx="0">
                  <c:v>499,801</c:v>
                </c:pt>
                <c:pt idx="1">
                  <c:v>752,296</c:v>
                </c:pt>
                <c:pt idx="2">
                  <c:v>1 099,608</c:v>
                </c:pt>
              </c:strCache>
            </c:strRef>
          </c:xVal>
          <c:yVal>
            <c:numRef>
              <c:f>'DATOS &lt;'!$H$171:$H$173</c:f>
              <c:numCache>
                <c:formatCode>#,##0.000</c:formatCode>
                <c:ptCount val="3"/>
                <c:pt idx="0" formatCode="#,##0.00">
                  <c:v>1.742</c:v>
                </c:pt>
                <c:pt idx="1">
                  <c:v>1.2150000000000001</c:v>
                </c:pt>
                <c:pt idx="2" formatCode="#,##0.00">
                  <c:v>1.1379999999999999</c:v>
                </c:pt>
              </c:numCache>
            </c:numRef>
          </c:yVal>
          <c:smooth val="0"/>
          <c:extLst>
            <c:ext xmlns:c16="http://schemas.microsoft.com/office/drawing/2014/chart" uri="{C3380CC4-5D6E-409C-BE32-E72D297353CC}">
              <c16:uniqueId val="{00000002-379B-4BA8-803C-9E3449720887}"/>
            </c:ext>
          </c:extLst>
        </c:ser>
        <c:dLbls>
          <c:showLegendKey val="0"/>
          <c:showVal val="0"/>
          <c:showCatName val="0"/>
          <c:showSerName val="0"/>
          <c:showPercent val="0"/>
          <c:showBubbleSize val="0"/>
        </c:dLbls>
        <c:axId val="415335168"/>
        <c:axId val="415336704"/>
      </c:scatterChart>
      <c:valAx>
        <c:axId val="4153351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336704"/>
        <c:crosses val="autoZero"/>
        <c:crossBetween val="midCat"/>
      </c:valAx>
      <c:valAx>
        <c:axId val="4153367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3351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&lt;'!$A$168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&lt;'!$F$168:$F$170</c:f>
              <c:numCache>
                <c:formatCode>General</c:formatCode>
                <c:ptCount val="3"/>
                <c:pt idx="0">
                  <c:v>32.9</c:v>
                </c:pt>
                <c:pt idx="1">
                  <c:v>55.6</c:v>
                </c:pt>
                <c:pt idx="2">
                  <c:v>79</c:v>
                </c:pt>
              </c:numCache>
            </c:numRef>
          </c:xVal>
          <c:yVal>
            <c:numRef>
              <c:f>'DATOS &lt;'!$H$168:$H$170</c:f>
              <c:numCache>
                <c:formatCode>#,##0.0</c:formatCode>
                <c:ptCount val="3"/>
                <c:pt idx="0">
                  <c:v>-2.9</c:v>
                </c:pt>
                <c:pt idx="1">
                  <c:v>-0.6</c:v>
                </c:pt>
                <c:pt idx="2">
                  <c:v>1.9</c:v>
                </c:pt>
              </c:numCache>
            </c:numRef>
          </c:yVal>
          <c:smooth val="0"/>
          <c:extLst>
            <c:ext xmlns:c16="http://schemas.microsoft.com/office/drawing/2014/chart" uri="{C3380CC4-5D6E-409C-BE32-E72D297353CC}">
              <c16:uniqueId val="{00000002-F821-46FF-A296-53657ADBF87B}"/>
            </c:ext>
          </c:extLst>
        </c:ser>
        <c:dLbls>
          <c:showLegendKey val="0"/>
          <c:showVal val="0"/>
          <c:showCatName val="0"/>
          <c:showSerName val="0"/>
          <c:showPercent val="0"/>
          <c:showBubbleSize val="0"/>
        </c:dLbls>
        <c:axId val="415379456"/>
        <c:axId val="415380992"/>
      </c:scatterChart>
      <c:valAx>
        <c:axId val="4153794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380992"/>
        <c:crosses val="autoZero"/>
        <c:crossBetween val="midCat"/>
      </c:valAx>
      <c:valAx>
        <c:axId val="4153809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3794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&lt;'!$A$165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&lt;'!$F$165:$F$167</c:f>
              <c:numCache>
                <c:formatCode>General</c:formatCode>
                <c:ptCount val="3"/>
                <c:pt idx="0" formatCode="0.0">
                  <c:v>14.9</c:v>
                </c:pt>
                <c:pt idx="1">
                  <c:v>25</c:v>
                </c:pt>
                <c:pt idx="2">
                  <c:v>34.9</c:v>
                </c:pt>
              </c:numCache>
            </c:numRef>
          </c:xVal>
          <c:yVal>
            <c:numRef>
              <c:f>'DATOS &lt;'!$H$165:$H$167</c:f>
              <c:numCache>
                <c:formatCode>General</c:formatCode>
                <c:ptCount val="3"/>
                <c:pt idx="0">
                  <c:v>0.1</c:v>
                </c:pt>
                <c:pt idx="1">
                  <c:v>0</c:v>
                </c:pt>
                <c:pt idx="2">
                  <c:v>0.1</c:v>
                </c:pt>
              </c:numCache>
            </c:numRef>
          </c:yVal>
          <c:smooth val="0"/>
          <c:extLst>
            <c:ext xmlns:c16="http://schemas.microsoft.com/office/drawing/2014/chart" uri="{C3380CC4-5D6E-409C-BE32-E72D297353CC}">
              <c16:uniqueId val="{00000002-272B-44E9-A020-57D5F35563C7}"/>
            </c:ext>
          </c:extLst>
        </c:ser>
        <c:dLbls>
          <c:showLegendKey val="0"/>
          <c:showVal val="0"/>
          <c:showCatName val="0"/>
          <c:showSerName val="0"/>
          <c:showPercent val="0"/>
          <c:showBubbleSize val="0"/>
        </c:dLbls>
        <c:axId val="415439872"/>
        <c:axId val="415470336"/>
      </c:scatterChart>
      <c:valAx>
        <c:axId val="415439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470336"/>
        <c:crosses val="autoZero"/>
        <c:crossBetween val="midCat"/>
      </c:valAx>
      <c:valAx>
        <c:axId val="4154703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439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&lt;'!$A$176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318142375060259"/>
                  <c:y val="-0.534229857631432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&lt;'!$F$176:$F$178</c:f>
              <c:numCache>
                <c:formatCode>General</c:formatCode>
                <c:ptCount val="3"/>
                <c:pt idx="0" formatCode="0.0">
                  <c:v>14.9</c:v>
                </c:pt>
                <c:pt idx="1">
                  <c:v>24.9</c:v>
                </c:pt>
                <c:pt idx="2">
                  <c:v>34.9</c:v>
                </c:pt>
              </c:numCache>
            </c:numRef>
          </c:xVal>
          <c:yVal>
            <c:numRef>
              <c:f>'DATOS &lt;'!$H$176:$H$178</c:f>
              <c:numCache>
                <c:formatCode>0.0</c:formatCode>
                <c:ptCount val="3"/>
                <c:pt idx="0">
                  <c:v>0</c:v>
                </c:pt>
                <c:pt idx="1">
                  <c:v>0</c:v>
                </c:pt>
                <c:pt idx="2" formatCode="General">
                  <c:v>0</c:v>
                </c:pt>
              </c:numCache>
            </c:numRef>
          </c:yVal>
          <c:smooth val="0"/>
          <c:extLst>
            <c:ext xmlns:c16="http://schemas.microsoft.com/office/drawing/2014/chart" uri="{C3380CC4-5D6E-409C-BE32-E72D297353CC}">
              <c16:uniqueId val="{00000002-87DD-4F36-BFC0-C819B78BD6FF}"/>
            </c:ext>
          </c:extLst>
        </c:ser>
        <c:dLbls>
          <c:showLegendKey val="0"/>
          <c:showVal val="0"/>
          <c:showCatName val="0"/>
          <c:showSerName val="0"/>
          <c:showPercent val="0"/>
          <c:showBubbleSize val="0"/>
        </c:dLbls>
        <c:axId val="415521024"/>
        <c:axId val="415531008"/>
      </c:scatterChart>
      <c:valAx>
        <c:axId val="4155210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531008"/>
        <c:crosses val="autoZero"/>
        <c:crossBetween val="midCat"/>
      </c:valAx>
      <c:valAx>
        <c:axId val="415531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5210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&lt;'!$A$179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&lt;'!$F$179:$F$181</c:f>
              <c:numCache>
                <c:formatCode>General</c:formatCode>
                <c:ptCount val="3"/>
                <c:pt idx="0">
                  <c:v>33.299999999999997</c:v>
                </c:pt>
                <c:pt idx="1">
                  <c:v>56.1</c:v>
                </c:pt>
                <c:pt idx="2">
                  <c:v>82.1</c:v>
                </c:pt>
              </c:numCache>
            </c:numRef>
          </c:xVal>
          <c:yVal>
            <c:numRef>
              <c:f>'DATOS &lt;'!$H$179:$H$181</c:f>
              <c:numCache>
                <c:formatCode>General</c:formatCode>
                <c:ptCount val="3"/>
                <c:pt idx="0">
                  <c:v>-3.3</c:v>
                </c:pt>
                <c:pt idx="1">
                  <c:v>-1.1000000000000001</c:v>
                </c:pt>
                <c:pt idx="2">
                  <c:v>-1.2</c:v>
                </c:pt>
              </c:numCache>
            </c:numRef>
          </c:yVal>
          <c:smooth val="0"/>
          <c:extLst>
            <c:ext xmlns:c16="http://schemas.microsoft.com/office/drawing/2014/chart" uri="{C3380CC4-5D6E-409C-BE32-E72D297353CC}">
              <c16:uniqueId val="{00000002-7EE9-4C75-BE60-27A91AA276E4}"/>
            </c:ext>
          </c:extLst>
        </c:ser>
        <c:dLbls>
          <c:showLegendKey val="0"/>
          <c:showVal val="0"/>
          <c:showCatName val="0"/>
          <c:showSerName val="0"/>
          <c:showPercent val="0"/>
          <c:showBubbleSize val="0"/>
        </c:dLbls>
        <c:axId val="415577600"/>
        <c:axId val="415579136"/>
      </c:scatterChart>
      <c:valAx>
        <c:axId val="415577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579136"/>
        <c:crosses val="autoZero"/>
        <c:crossBetween val="midCat"/>
      </c:valAx>
      <c:valAx>
        <c:axId val="415579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577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B-4102-96BC-32785F94BA2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B-4102-96BC-32785F94BA2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B-4102-96BC-32785F94BA27}"/>
                </c:ext>
              </c:extLst>
            </c:dLbl>
            <c:dLbl>
              <c:idx val="4"/>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7C-4221-9142-80913CD4A48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mg &lt; '!$G$59,'5 mg &lt; '!$G$62,'5 mg &lt; '!$G$66,'5 mg &lt; '!$G$66:$G$67,'5 mg &lt; '!$G$68)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E21B-4102-96BC-32785F94BA27}"/>
            </c:ext>
          </c:extLst>
        </c:ser>
        <c:dLbls>
          <c:dLblPos val="inEnd"/>
          <c:showLegendKey val="0"/>
          <c:showVal val="1"/>
          <c:showCatName val="0"/>
          <c:showSerName val="0"/>
          <c:showPercent val="0"/>
          <c:showBubbleSize val="0"/>
        </c:dLbls>
        <c:gapWidth val="65"/>
        <c:axId val="413754496"/>
        <c:axId val="414024064"/>
      </c:barChart>
      <c:catAx>
        <c:axId val="4137544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4024064"/>
        <c:crosses val="autoZero"/>
        <c:auto val="1"/>
        <c:lblAlgn val="ctr"/>
        <c:lblOffset val="100"/>
        <c:noMultiLvlLbl val="0"/>
      </c:catAx>
      <c:valAx>
        <c:axId val="4140240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37544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&lt;'!$A$182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6441550862467911"/>
                  <c:y val="-0.55359730033745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&lt;'!$F$182:$F$184</c:f>
              <c:numCache>
                <c:formatCode>General</c:formatCode>
                <c:ptCount val="3"/>
                <c:pt idx="0" formatCode="0.000">
                  <c:v>399.84</c:v>
                </c:pt>
                <c:pt idx="1">
                  <c:v>752.29499999999996</c:v>
                </c:pt>
                <c:pt idx="2">
                  <c:v>999.72299999999996</c:v>
                </c:pt>
              </c:numCache>
            </c:numRef>
          </c:xVal>
          <c:yVal>
            <c:numRef>
              <c:f>'DATOS &lt;'!$H$182:$H$184</c:f>
              <c:numCache>
                <c:formatCode>0.000</c:formatCode>
                <c:ptCount val="3"/>
                <c:pt idx="0" formatCode="0.00">
                  <c:v>1.6759999999999999</c:v>
                </c:pt>
                <c:pt idx="1">
                  <c:v>0.81399999999999995</c:v>
                </c:pt>
                <c:pt idx="2">
                  <c:v>0.54900000000000004</c:v>
                </c:pt>
              </c:numCache>
            </c:numRef>
          </c:yVal>
          <c:smooth val="0"/>
          <c:extLst>
            <c:ext xmlns:c16="http://schemas.microsoft.com/office/drawing/2014/chart" uri="{C3380CC4-5D6E-409C-BE32-E72D297353CC}">
              <c16:uniqueId val="{00000002-E467-4594-AAE3-A4A4107888D1}"/>
            </c:ext>
          </c:extLst>
        </c:ser>
        <c:dLbls>
          <c:showLegendKey val="0"/>
          <c:showVal val="0"/>
          <c:showCatName val="0"/>
          <c:showSerName val="0"/>
          <c:showPercent val="0"/>
          <c:showBubbleSize val="0"/>
        </c:dLbls>
        <c:axId val="415654656"/>
        <c:axId val="415656192"/>
      </c:scatterChart>
      <c:valAx>
        <c:axId val="4156546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656192"/>
        <c:crosses val="autoZero"/>
        <c:crossBetween val="midCat"/>
      </c:valAx>
      <c:valAx>
        <c:axId val="4156561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6546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&lt;'!$A$143</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532844064364298"/>
                  <c:y val="-0.432900000000000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&lt;'!$F$143:$F$145</c:f>
              <c:numCache>
                <c:formatCode>General</c:formatCode>
                <c:ptCount val="3"/>
                <c:pt idx="0" formatCode="0.0">
                  <c:v>18</c:v>
                </c:pt>
                <c:pt idx="1">
                  <c:v>21.1</c:v>
                </c:pt>
                <c:pt idx="2" formatCode="0.0">
                  <c:v>24</c:v>
                </c:pt>
              </c:numCache>
            </c:numRef>
          </c:xVal>
          <c:yVal>
            <c:numRef>
              <c:f>'DATOS &lt;'!$H$143:$H$145</c:f>
              <c:numCache>
                <c:formatCode>0.0</c:formatCode>
                <c:ptCount val="3"/>
                <c:pt idx="0">
                  <c:v>0</c:v>
                </c:pt>
                <c:pt idx="1">
                  <c:v>-0.1</c:v>
                </c:pt>
                <c:pt idx="2">
                  <c:v>0</c:v>
                </c:pt>
              </c:numCache>
            </c:numRef>
          </c:yVal>
          <c:smooth val="0"/>
          <c:extLst>
            <c:ext xmlns:c16="http://schemas.microsoft.com/office/drawing/2014/chart" uri="{C3380CC4-5D6E-409C-BE32-E72D297353CC}">
              <c16:uniqueId val="{00000002-C883-4177-AB49-FE8196CB3993}"/>
            </c:ext>
          </c:extLst>
        </c:ser>
        <c:dLbls>
          <c:showLegendKey val="0"/>
          <c:showVal val="0"/>
          <c:showCatName val="0"/>
          <c:showSerName val="0"/>
          <c:showPercent val="0"/>
          <c:showBubbleSize val="0"/>
        </c:dLbls>
        <c:axId val="415768576"/>
        <c:axId val="415770112"/>
      </c:scatterChart>
      <c:valAx>
        <c:axId val="415768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770112"/>
        <c:crosses val="autoZero"/>
        <c:crossBetween val="midCat"/>
      </c:valAx>
      <c:valAx>
        <c:axId val="415770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768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&lt;'!$A$146</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&lt;'!$F$146:$F$148</c:f>
              <c:numCache>
                <c:formatCode>General</c:formatCode>
                <c:ptCount val="3"/>
                <c:pt idx="0">
                  <c:v>33.6</c:v>
                </c:pt>
                <c:pt idx="1">
                  <c:v>55.8</c:v>
                </c:pt>
                <c:pt idx="2">
                  <c:v>78.400000000000006</c:v>
                </c:pt>
              </c:numCache>
            </c:numRef>
          </c:xVal>
          <c:yVal>
            <c:numRef>
              <c:f>'DATOS &lt;'!$H$146:$H$148</c:f>
              <c:numCache>
                <c:formatCode>General</c:formatCode>
                <c:ptCount val="3"/>
                <c:pt idx="0" formatCode="0.0">
                  <c:v>-3.6</c:v>
                </c:pt>
                <c:pt idx="1">
                  <c:v>-0.8</c:v>
                </c:pt>
                <c:pt idx="2">
                  <c:v>2.5</c:v>
                </c:pt>
              </c:numCache>
            </c:numRef>
          </c:yVal>
          <c:smooth val="0"/>
          <c:extLst>
            <c:ext xmlns:c16="http://schemas.microsoft.com/office/drawing/2014/chart" uri="{C3380CC4-5D6E-409C-BE32-E72D297353CC}">
              <c16:uniqueId val="{00000002-716F-49E8-984D-0A10A3F3A37F}"/>
            </c:ext>
          </c:extLst>
        </c:ser>
        <c:dLbls>
          <c:showLegendKey val="0"/>
          <c:showVal val="0"/>
          <c:showCatName val="0"/>
          <c:showSerName val="0"/>
          <c:showPercent val="0"/>
          <c:showBubbleSize val="0"/>
        </c:dLbls>
        <c:axId val="415824896"/>
        <c:axId val="415900416"/>
      </c:scatterChart>
      <c:valAx>
        <c:axId val="415824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900416"/>
        <c:crosses val="autoZero"/>
        <c:crossBetween val="midCat"/>
      </c:valAx>
      <c:valAx>
        <c:axId val="415900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5824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0.23546721744136218"/>
          <c:y val="3.5384364330029824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0.18465998016790691"/>
          <c:y val="4.3018332204761214E-2"/>
          <c:w val="0.72290334957620117"/>
          <c:h val="0.5989202710053172"/>
        </c:manualLayout>
      </c:layout>
      <c:scatterChart>
        <c:scatterStyle val="lineMarker"/>
        <c:varyColors val="0"/>
        <c:ser>
          <c:idx val="0"/>
          <c:order val="0"/>
          <c:tx>
            <c:strRef>
              <c:f>'DATOS &lt;'!$A$149</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8799019138212303"/>
                  <c:y val="0.160277264566550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&lt;'!$F$149:$F$151</c:f>
              <c:numCache>
                <c:formatCode>#,##0.000</c:formatCode>
                <c:ptCount val="3"/>
                <c:pt idx="0">
                  <c:v>499.79599999999999</c:v>
                </c:pt>
                <c:pt idx="1">
                  <c:v>752.29499999999996</c:v>
                </c:pt>
                <c:pt idx="2">
                  <c:v>949.69299999999998</c:v>
                </c:pt>
              </c:numCache>
            </c:numRef>
          </c:xVal>
          <c:yVal>
            <c:numRef>
              <c:f>'DATOS &lt;'!$H$149:$H$151</c:f>
              <c:numCache>
                <c:formatCode>General</c:formatCode>
                <c:ptCount val="3"/>
                <c:pt idx="0">
                  <c:v>1.548</c:v>
                </c:pt>
                <c:pt idx="1">
                  <c:v>1.0489999999999999</c:v>
                </c:pt>
                <c:pt idx="2">
                  <c:v>0.82299999999999995</c:v>
                </c:pt>
              </c:numCache>
            </c:numRef>
          </c:yVal>
          <c:smooth val="0"/>
          <c:extLst>
            <c:ext xmlns:c16="http://schemas.microsoft.com/office/drawing/2014/chart" uri="{C3380CC4-5D6E-409C-BE32-E72D297353CC}">
              <c16:uniqueId val="{00000002-C466-4163-8234-D6F3999C017B}"/>
            </c:ext>
          </c:extLst>
        </c:ser>
        <c:dLbls>
          <c:showLegendKey val="0"/>
          <c:showVal val="0"/>
          <c:showCatName val="0"/>
          <c:showSerName val="0"/>
          <c:showPercent val="0"/>
          <c:showBubbleSize val="0"/>
        </c:dLbls>
        <c:axId val="416045312"/>
        <c:axId val="416055296"/>
      </c:scatterChart>
      <c:valAx>
        <c:axId val="4160453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6055296"/>
        <c:crosses val="autoZero"/>
        <c:crossBetween val="midCat"/>
      </c:valAx>
      <c:valAx>
        <c:axId val="4160552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60453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&lt;'!$A$160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&lt;'!$F$160:$F$162</c:f>
              <c:numCache>
                <c:formatCode>0.000</c:formatCode>
                <c:ptCount val="3"/>
                <c:pt idx="0">
                  <c:v>499.02600000000001</c:v>
                </c:pt>
                <c:pt idx="1">
                  <c:v>752.18100000000004</c:v>
                </c:pt>
                <c:pt idx="2">
                  <c:v>900.66499999999996</c:v>
                </c:pt>
              </c:numCache>
            </c:numRef>
          </c:xVal>
          <c:yVal>
            <c:numRef>
              <c:f>'DATOS &lt;'!$H$160:$H$162</c:f>
              <c:numCache>
                <c:formatCode>0.000</c:formatCode>
                <c:ptCount val="3"/>
                <c:pt idx="0" formatCode="General">
                  <c:v>1.573</c:v>
                </c:pt>
                <c:pt idx="1">
                  <c:v>1.0469999999999999</c:v>
                </c:pt>
                <c:pt idx="2" formatCode="General">
                  <c:v>0.73699999999999999</c:v>
                </c:pt>
              </c:numCache>
            </c:numRef>
          </c:yVal>
          <c:smooth val="0"/>
          <c:extLst>
            <c:ext xmlns:c16="http://schemas.microsoft.com/office/drawing/2014/chart" uri="{C3380CC4-5D6E-409C-BE32-E72D297353CC}">
              <c16:uniqueId val="{00000002-8BC9-4DF2-BD4A-60C72AD2DADC}"/>
            </c:ext>
          </c:extLst>
        </c:ser>
        <c:dLbls>
          <c:showLegendKey val="0"/>
          <c:showVal val="0"/>
          <c:showCatName val="0"/>
          <c:showSerName val="0"/>
          <c:showPercent val="0"/>
          <c:showBubbleSize val="0"/>
        </c:dLbls>
        <c:axId val="416085504"/>
        <c:axId val="416087040"/>
      </c:scatterChart>
      <c:valAx>
        <c:axId val="416085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6087040"/>
        <c:crosses val="autoZero"/>
        <c:crossBetween val="midCat"/>
      </c:valAx>
      <c:valAx>
        <c:axId val="416087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6085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&lt;'!$A$157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&lt;'!$F$157:$F$159</c:f>
              <c:numCache>
                <c:formatCode>General</c:formatCode>
                <c:ptCount val="3"/>
                <c:pt idx="0">
                  <c:v>33.299999999999997</c:v>
                </c:pt>
                <c:pt idx="1">
                  <c:v>51.3</c:v>
                </c:pt>
                <c:pt idx="2">
                  <c:v>77.5</c:v>
                </c:pt>
              </c:numCache>
            </c:numRef>
          </c:xVal>
          <c:yVal>
            <c:numRef>
              <c:f>'DATOS &lt;'!$H$157:$H$159</c:f>
              <c:numCache>
                <c:formatCode>General</c:formatCode>
                <c:ptCount val="3"/>
                <c:pt idx="0">
                  <c:v>-3.3</c:v>
                </c:pt>
                <c:pt idx="1">
                  <c:v>-1.4</c:v>
                </c:pt>
                <c:pt idx="2">
                  <c:v>2.5</c:v>
                </c:pt>
              </c:numCache>
            </c:numRef>
          </c:yVal>
          <c:smooth val="0"/>
          <c:extLst>
            <c:ext xmlns:c16="http://schemas.microsoft.com/office/drawing/2014/chart" uri="{C3380CC4-5D6E-409C-BE32-E72D297353CC}">
              <c16:uniqueId val="{00000002-3D4C-4D6E-9DCB-C03EC85CC133}"/>
            </c:ext>
          </c:extLst>
        </c:ser>
        <c:dLbls>
          <c:showLegendKey val="0"/>
          <c:showVal val="0"/>
          <c:showCatName val="0"/>
          <c:showSerName val="0"/>
          <c:showPercent val="0"/>
          <c:showBubbleSize val="0"/>
        </c:dLbls>
        <c:axId val="416146176"/>
        <c:axId val="416147712"/>
      </c:scatterChart>
      <c:valAx>
        <c:axId val="4161461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6147712"/>
        <c:crosses val="autoZero"/>
        <c:crossBetween val="midCat"/>
      </c:valAx>
      <c:valAx>
        <c:axId val="4161477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61461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&lt;'!$A$154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4409899025657283E-2"/>
                  <c:y val="-0.516623505420759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&lt;'!$F$154:$F$156</c:f>
              <c:numCache>
                <c:formatCode>0.0</c:formatCode>
                <c:ptCount val="3"/>
                <c:pt idx="0" formatCode="General">
                  <c:v>10.3</c:v>
                </c:pt>
                <c:pt idx="1">
                  <c:v>20</c:v>
                </c:pt>
                <c:pt idx="2">
                  <c:v>39.200000000000003</c:v>
                </c:pt>
              </c:numCache>
            </c:numRef>
          </c:xVal>
          <c:yVal>
            <c:numRef>
              <c:f>'DATOS &lt;'!$H$154:$H$156</c:f>
              <c:numCache>
                <c:formatCode>0.0</c:formatCode>
                <c:ptCount val="3"/>
                <c:pt idx="0">
                  <c:v>0</c:v>
                </c:pt>
                <c:pt idx="1">
                  <c:v>0.1</c:v>
                </c:pt>
                <c:pt idx="2">
                  <c:v>0.3</c:v>
                </c:pt>
              </c:numCache>
            </c:numRef>
          </c:yVal>
          <c:smooth val="0"/>
          <c:extLst>
            <c:ext xmlns:c16="http://schemas.microsoft.com/office/drawing/2014/chart" uri="{C3380CC4-5D6E-409C-BE32-E72D297353CC}">
              <c16:uniqueId val="{00000002-4093-48F7-89B4-B1EDC50DD858}"/>
            </c:ext>
          </c:extLst>
        </c:ser>
        <c:dLbls>
          <c:showLegendKey val="0"/>
          <c:showVal val="0"/>
          <c:showCatName val="0"/>
          <c:showSerName val="0"/>
          <c:showPercent val="0"/>
          <c:showBubbleSize val="0"/>
        </c:dLbls>
        <c:axId val="416296960"/>
        <c:axId val="416298496"/>
      </c:scatterChart>
      <c:valAx>
        <c:axId val="416296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6298496"/>
        <c:crosses val="autoZero"/>
        <c:crossBetween val="midCat"/>
      </c:valAx>
      <c:valAx>
        <c:axId val="4162984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6296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B7-4368-9215-ABCF4E0C95AE}"/>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'!$E$7</c:f>
                <c:numCache>
                  <c:formatCode>General</c:formatCode>
                  <c:ptCount val="1"/>
                  <c:pt idx="0">
                    <c:v>0</c:v>
                  </c:pt>
                </c:numCache>
              </c:numRef>
            </c:plus>
            <c:minus>
              <c:numRef>
                <c:f>'mili Pc &lt; '!$E$7</c:f>
                <c:numCache>
                  <c:formatCode>General</c:formatCode>
                  <c:ptCount val="1"/>
                  <c:pt idx="0">
                    <c:v>0</c:v>
                  </c:pt>
                </c:numCache>
              </c:numRef>
            </c:minus>
            <c:spPr>
              <a:noFill/>
              <a:ln w="22225" cap="flat" cmpd="sng" algn="ctr">
                <a:solidFill>
                  <a:srgbClr val="0070C0"/>
                </a:solidFill>
                <a:round/>
              </a:ln>
              <a:effectLst/>
            </c:spPr>
          </c:errBars>
          <c:val>
            <c:numRef>
              <c:f>'mili Pc &lt; '!$D$7</c:f>
              <c:numCache>
                <c:formatCode>0.00\ "mg"</c:formatCode>
                <c:ptCount val="1"/>
                <c:pt idx="0">
                  <c:v>#N/A</c:v>
                </c:pt>
              </c:numCache>
            </c:numRef>
          </c:val>
          <c:smooth val="0"/>
          <c:extLst>
            <c:ext xmlns:c16="http://schemas.microsoft.com/office/drawing/2014/chart" uri="{C3380CC4-5D6E-409C-BE32-E72D297353CC}">
              <c16:uniqueId val="{00000001-23B7-4368-9215-ABCF4E0C95AE}"/>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'!$Q$7:$S$7</c:f>
              <c:numCache>
                <c:formatCode>0.00</c:formatCode>
                <c:ptCount val="3"/>
                <c:pt idx="0">
                  <c:v>0.2</c:v>
                </c:pt>
                <c:pt idx="1">
                  <c:v>0.2</c:v>
                </c:pt>
                <c:pt idx="2">
                  <c:v>0.2</c:v>
                </c:pt>
              </c:numCache>
            </c:numRef>
          </c:val>
          <c:smooth val="0"/>
          <c:extLst>
            <c:ext xmlns:c16="http://schemas.microsoft.com/office/drawing/2014/chart" uri="{C3380CC4-5D6E-409C-BE32-E72D297353CC}">
              <c16:uniqueId val="{00000002-23B7-4368-9215-ABCF4E0C95AE}"/>
            </c:ext>
          </c:extLst>
        </c:ser>
        <c:ser>
          <c:idx val="2"/>
          <c:order val="2"/>
          <c:tx>
            <c:strRef>
              <c:f>'mili Pc &lt; '!$T$6:$V$6</c:f>
              <c:strCache>
                <c:ptCount val="3"/>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3-23B7-4368-9215-ABCF4E0C95AE}"/>
              </c:ext>
            </c:extLst>
          </c:dPt>
          <c:dLbls>
            <c:delete val="1"/>
          </c:dLbls>
          <c:val>
            <c:numRef>
              <c:f>'mili Pc &lt; '!$T$7:$V$7</c:f>
              <c:numCache>
                <c:formatCode>0.00</c:formatCode>
                <c:ptCount val="3"/>
                <c:pt idx="0">
                  <c:v>-0.2</c:v>
                </c:pt>
                <c:pt idx="1">
                  <c:v>-0.2</c:v>
                </c:pt>
                <c:pt idx="2">
                  <c:v>-0.2</c:v>
                </c:pt>
              </c:numCache>
            </c:numRef>
          </c:val>
          <c:smooth val="0"/>
          <c:extLst>
            <c:ext xmlns:c16="http://schemas.microsoft.com/office/drawing/2014/chart" uri="{C3380CC4-5D6E-409C-BE32-E72D297353CC}">
              <c16:uniqueId val="{00000004-23B7-4368-9215-ABCF4E0C95AE}"/>
            </c:ext>
          </c:extLst>
        </c:ser>
        <c:dLbls>
          <c:dLblPos val="t"/>
          <c:showLegendKey val="0"/>
          <c:showVal val="1"/>
          <c:showCatName val="0"/>
          <c:showSerName val="0"/>
          <c:showPercent val="0"/>
          <c:showBubbleSize val="0"/>
        </c:dLbls>
        <c:marker val="1"/>
        <c:smooth val="0"/>
        <c:axId val="416505216"/>
        <c:axId val="416519296"/>
      </c:lineChart>
      <c:dateAx>
        <c:axId val="4165052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6519296"/>
        <c:crosses val="autoZero"/>
        <c:auto val="0"/>
        <c:lblOffset val="100"/>
        <c:baseTimeUnit val="days"/>
        <c:majorUnit val="1"/>
      </c:dateAx>
      <c:valAx>
        <c:axId val="416519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650521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08718383431E-2"/>
                  <c:y val="-2.81349206349201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70-4AE7-9D1A-FA86FD5E7D0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'!$E$7</c:f>
                <c:numCache>
                  <c:formatCode>General</c:formatCode>
                  <c:ptCount val="1"/>
                  <c:pt idx="0">
                    <c:v>0</c:v>
                  </c:pt>
                </c:numCache>
              </c:numRef>
            </c:plus>
            <c:minus>
              <c:numRef>
                <c:f>'mili Pc &lt; '!$E$8</c:f>
                <c:numCache>
                  <c:formatCode>General</c:formatCode>
                  <c:ptCount val="1"/>
                  <c:pt idx="0">
                    <c:v>0</c:v>
                  </c:pt>
                </c:numCache>
              </c:numRef>
            </c:minus>
            <c:spPr>
              <a:noFill/>
              <a:ln w="22225" cap="flat" cmpd="sng" algn="ctr">
                <a:solidFill>
                  <a:srgbClr val="0070C0"/>
                </a:solidFill>
                <a:round/>
              </a:ln>
              <a:effectLst/>
            </c:spPr>
          </c:errBars>
          <c:val>
            <c:numRef>
              <c:f>'mili Pc &lt; '!$D$8</c:f>
              <c:numCache>
                <c:formatCode>0.00\ "mg"</c:formatCode>
                <c:ptCount val="1"/>
                <c:pt idx="0">
                  <c:v>#N/A</c:v>
                </c:pt>
              </c:numCache>
            </c:numRef>
          </c:val>
          <c:smooth val="0"/>
          <c:extLst>
            <c:ext xmlns:c16="http://schemas.microsoft.com/office/drawing/2014/chart" uri="{C3380CC4-5D6E-409C-BE32-E72D297353CC}">
              <c16:uniqueId val="{00000001-0C70-4AE7-9D1A-FA86FD5E7D07}"/>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'!$Q$8:$S$8</c:f>
              <c:numCache>
                <c:formatCode>0.00</c:formatCode>
                <c:ptCount val="3"/>
                <c:pt idx="0">
                  <c:v>0.2</c:v>
                </c:pt>
                <c:pt idx="1">
                  <c:v>0.2</c:v>
                </c:pt>
                <c:pt idx="2">
                  <c:v>0.2</c:v>
                </c:pt>
              </c:numCache>
            </c:numRef>
          </c:val>
          <c:smooth val="0"/>
          <c:extLst>
            <c:ext xmlns:c16="http://schemas.microsoft.com/office/drawing/2014/chart" uri="{C3380CC4-5D6E-409C-BE32-E72D297353CC}">
              <c16:uniqueId val="{00000002-0C70-4AE7-9D1A-FA86FD5E7D07}"/>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'!$T$8:$V$8</c:f>
              <c:numCache>
                <c:formatCode>0.00</c:formatCode>
                <c:ptCount val="3"/>
                <c:pt idx="0">
                  <c:v>-0.2</c:v>
                </c:pt>
                <c:pt idx="1">
                  <c:v>-0.2</c:v>
                </c:pt>
                <c:pt idx="2">
                  <c:v>-0.2</c:v>
                </c:pt>
              </c:numCache>
            </c:numRef>
          </c:val>
          <c:smooth val="0"/>
          <c:extLst>
            <c:ext xmlns:c16="http://schemas.microsoft.com/office/drawing/2014/chart" uri="{C3380CC4-5D6E-409C-BE32-E72D297353CC}">
              <c16:uniqueId val="{00000003-0C70-4AE7-9D1A-FA86FD5E7D07}"/>
            </c:ext>
          </c:extLst>
        </c:ser>
        <c:dLbls>
          <c:dLblPos val="t"/>
          <c:showLegendKey val="0"/>
          <c:showVal val="1"/>
          <c:showCatName val="0"/>
          <c:showSerName val="0"/>
          <c:showPercent val="0"/>
          <c:showBubbleSize val="0"/>
        </c:dLbls>
        <c:marker val="1"/>
        <c:smooth val="0"/>
        <c:axId val="416585216"/>
        <c:axId val="416586752"/>
      </c:lineChart>
      <c:dateAx>
        <c:axId val="4165852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6586752"/>
        <c:crosses val="autoZero"/>
        <c:auto val="0"/>
        <c:lblOffset val="100"/>
        <c:baseTimeUnit val="days"/>
        <c:majorUnit val="1"/>
      </c:dateAx>
      <c:valAx>
        <c:axId val="416586752"/>
        <c:scaling>
          <c:orientation val="minMax"/>
          <c:max val="0.55000000000000004"/>
          <c:min val="-0.55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6585216"/>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1.5419593044510568E-2"/>
                  <c:y val="-0.117550705467372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6-433F-9221-292BE95F50A4}"/>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'!$E$10</c:f>
                <c:numCache>
                  <c:formatCode>General</c:formatCode>
                  <c:ptCount val="1"/>
                  <c:pt idx="0">
                    <c:v>0</c:v>
                  </c:pt>
                </c:numCache>
              </c:numRef>
            </c:plus>
            <c:minus>
              <c:numRef>
                <c:f>'mili Pc &lt; '!$E$10</c:f>
                <c:numCache>
                  <c:formatCode>General</c:formatCode>
                  <c:ptCount val="1"/>
                  <c:pt idx="0">
                    <c:v>0</c:v>
                  </c:pt>
                </c:numCache>
              </c:numRef>
            </c:minus>
            <c:spPr>
              <a:noFill/>
              <a:ln w="22225" cap="flat" cmpd="sng" algn="ctr">
                <a:solidFill>
                  <a:srgbClr val="0070C0"/>
                </a:solidFill>
                <a:round/>
              </a:ln>
              <a:effectLst/>
            </c:spPr>
          </c:errBars>
          <c:val>
            <c:numRef>
              <c:f>'mili Pc &lt; '!$D$10</c:f>
              <c:numCache>
                <c:formatCode>0.00\ "mg"</c:formatCode>
                <c:ptCount val="1"/>
                <c:pt idx="0">
                  <c:v>#N/A</c:v>
                </c:pt>
              </c:numCache>
            </c:numRef>
          </c:val>
          <c:smooth val="0"/>
          <c:extLst>
            <c:ext xmlns:c16="http://schemas.microsoft.com/office/drawing/2014/chart" uri="{C3380CC4-5D6E-409C-BE32-E72D297353CC}">
              <c16:uniqueId val="{00000001-E44A-4CDA-9D54-30E6FCA2AF2E}"/>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'!$Q$9:$S$9</c:f>
              <c:numCache>
                <c:formatCode>0.00</c:formatCode>
                <c:ptCount val="3"/>
                <c:pt idx="0">
                  <c:v>0.2</c:v>
                </c:pt>
                <c:pt idx="1">
                  <c:v>0.2</c:v>
                </c:pt>
                <c:pt idx="2">
                  <c:v>0.2</c:v>
                </c:pt>
              </c:numCache>
            </c:numRef>
          </c:val>
          <c:smooth val="0"/>
          <c:extLst>
            <c:ext xmlns:c16="http://schemas.microsoft.com/office/drawing/2014/chart" uri="{C3380CC4-5D6E-409C-BE32-E72D297353CC}">
              <c16:uniqueId val="{00000002-E44A-4CDA-9D54-30E6FCA2AF2E}"/>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'!$T$9:$V$9</c:f>
              <c:numCache>
                <c:formatCode>0.00</c:formatCode>
                <c:ptCount val="3"/>
                <c:pt idx="0">
                  <c:v>-0.2</c:v>
                </c:pt>
                <c:pt idx="1">
                  <c:v>-0.2</c:v>
                </c:pt>
                <c:pt idx="2">
                  <c:v>-0.2</c:v>
                </c:pt>
              </c:numCache>
            </c:numRef>
          </c:val>
          <c:smooth val="0"/>
          <c:extLst>
            <c:ext xmlns:c16="http://schemas.microsoft.com/office/drawing/2014/chart" uri="{C3380CC4-5D6E-409C-BE32-E72D297353CC}">
              <c16:uniqueId val="{00000003-E44A-4CDA-9D54-30E6FCA2AF2E}"/>
            </c:ext>
          </c:extLst>
        </c:ser>
        <c:dLbls>
          <c:dLblPos val="t"/>
          <c:showLegendKey val="0"/>
          <c:showVal val="1"/>
          <c:showCatName val="0"/>
          <c:showSerName val="0"/>
          <c:showPercent val="0"/>
          <c:showBubbleSize val="0"/>
        </c:dLbls>
        <c:marker val="1"/>
        <c:smooth val="0"/>
        <c:axId val="416767360"/>
        <c:axId val="416785536"/>
      </c:lineChart>
      <c:dateAx>
        <c:axId val="4167673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6785536"/>
        <c:crosses val="autoZero"/>
        <c:auto val="0"/>
        <c:lblOffset val="100"/>
        <c:baseTimeUnit val="days"/>
        <c:majorUnit val="1"/>
      </c:dateAx>
      <c:valAx>
        <c:axId val="416785536"/>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6767360"/>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A-4212-83F1-8737AD20301F}"/>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0A-4212-83F1-8737AD20301F}"/>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0A-4212-83F1-8737AD20301F}"/>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0A-4212-83F1-8737AD20301F}"/>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mg &lt; '!$G$59,'10 mg &lt; '!$G$62,'10 mg &lt; '!$G$66:$G$67,'10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B0A-4212-83F1-8737AD20301F}"/>
            </c:ext>
          </c:extLst>
        </c:ser>
        <c:dLbls>
          <c:dLblPos val="inEnd"/>
          <c:showLegendKey val="0"/>
          <c:showVal val="1"/>
          <c:showCatName val="0"/>
          <c:showSerName val="0"/>
          <c:showPercent val="0"/>
          <c:showBubbleSize val="0"/>
        </c:dLbls>
        <c:gapWidth val="65"/>
        <c:axId val="415420800"/>
        <c:axId val="415423872"/>
      </c:barChart>
      <c:catAx>
        <c:axId val="4154208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5423872"/>
        <c:crosses val="autoZero"/>
        <c:auto val="1"/>
        <c:lblAlgn val="ctr"/>
        <c:lblOffset val="100"/>
        <c:noMultiLvlLbl val="0"/>
      </c:catAx>
      <c:valAx>
        <c:axId val="4154238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54208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9.8968035017811054E-3"/>
                  <c:y val="-0.10635141093474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76-421C-B99C-243B61FB3BC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'!$E$9</c:f>
                <c:numCache>
                  <c:formatCode>General</c:formatCode>
                  <c:ptCount val="1"/>
                  <c:pt idx="0">
                    <c:v>0</c:v>
                  </c:pt>
                </c:numCache>
              </c:numRef>
            </c:plus>
            <c:minus>
              <c:numRef>
                <c:f>'mili Pc &lt; '!$E$9</c:f>
                <c:numCache>
                  <c:formatCode>General</c:formatCode>
                  <c:ptCount val="1"/>
                  <c:pt idx="0">
                    <c:v>0</c:v>
                  </c:pt>
                </c:numCache>
              </c:numRef>
            </c:minus>
            <c:spPr>
              <a:noFill/>
              <a:ln w="22225" cap="flat" cmpd="sng" algn="ctr">
                <a:solidFill>
                  <a:srgbClr val="0070C0"/>
                </a:solidFill>
                <a:round/>
              </a:ln>
              <a:effectLst/>
            </c:spPr>
          </c:errBars>
          <c:val>
            <c:numRef>
              <c:f>'mili Pc &lt; '!$D$9</c:f>
              <c:numCache>
                <c:formatCode>0.00\ "mg"</c:formatCode>
                <c:ptCount val="1"/>
                <c:pt idx="0">
                  <c:v>#N/A</c:v>
                </c:pt>
              </c:numCache>
            </c:numRef>
          </c:val>
          <c:smooth val="0"/>
          <c:extLst>
            <c:ext xmlns:c16="http://schemas.microsoft.com/office/drawing/2014/chart" uri="{C3380CC4-5D6E-409C-BE32-E72D297353CC}">
              <c16:uniqueId val="{00000001-AB03-40BB-9423-5770C889BDB5}"/>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'!$Q$8:$S$8</c:f>
              <c:numCache>
                <c:formatCode>0.00</c:formatCode>
                <c:ptCount val="3"/>
                <c:pt idx="0">
                  <c:v>0.2</c:v>
                </c:pt>
                <c:pt idx="1">
                  <c:v>0.2</c:v>
                </c:pt>
                <c:pt idx="2">
                  <c:v>0.2</c:v>
                </c:pt>
              </c:numCache>
            </c:numRef>
          </c:val>
          <c:smooth val="0"/>
          <c:extLst>
            <c:ext xmlns:c16="http://schemas.microsoft.com/office/drawing/2014/chart" uri="{C3380CC4-5D6E-409C-BE32-E72D297353CC}">
              <c16:uniqueId val="{00000002-AB03-40BB-9423-5770C889BDB5}"/>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'!$T$8:$V$8</c:f>
              <c:numCache>
                <c:formatCode>0.00</c:formatCode>
                <c:ptCount val="3"/>
                <c:pt idx="0">
                  <c:v>-0.2</c:v>
                </c:pt>
                <c:pt idx="1">
                  <c:v>-0.2</c:v>
                </c:pt>
                <c:pt idx="2">
                  <c:v>-0.2</c:v>
                </c:pt>
              </c:numCache>
            </c:numRef>
          </c:val>
          <c:smooth val="0"/>
          <c:extLst>
            <c:ext xmlns:c16="http://schemas.microsoft.com/office/drawing/2014/chart" uri="{C3380CC4-5D6E-409C-BE32-E72D297353CC}">
              <c16:uniqueId val="{00000003-AB03-40BB-9423-5770C889BDB5}"/>
            </c:ext>
          </c:extLst>
        </c:ser>
        <c:dLbls>
          <c:dLblPos val="t"/>
          <c:showLegendKey val="0"/>
          <c:showVal val="1"/>
          <c:showCatName val="0"/>
          <c:showSerName val="0"/>
          <c:showPercent val="0"/>
          <c:showBubbleSize val="0"/>
        </c:dLbls>
        <c:marker val="1"/>
        <c:smooth val="0"/>
        <c:axId val="416896512"/>
        <c:axId val="416898048"/>
      </c:lineChart>
      <c:dateAx>
        <c:axId val="41689651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6898048"/>
        <c:crosses val="autoZero"/>
        <c:auto val="0"/>
        <c:lblOffset val="100"/>
        <c:baseTimeUnit val="days"/>
        <c:majorUnit val="1"/>
      </c:dateAx>
      <c:valAx>
        <c:axId val="416898048"/>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6896512"/>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9115461337706352E-2"/>
                  <c:y val="-6.7153880070546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8-4E76-8EBA-8F525781D37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'!$E$11</c:f>
                <c:numCache>
                  <c:formatCode>General</c:formatCode>
                  <c:ptCount val="1"/>
                  <c:pt idx="0">
                    <c:v>0</c:v>
                  </c:pt>
                </c:numCache>
              </c:numRef>
            </c:plus>
            <c:minus>
              <c:numRef>
                <c:f>'mili Pc &lt; '!$E$11</c:f>
                <c:numCache>
                  <c:formatCode>General</c:formatCode>
                  <c:ptCount val="1"/>
                  <c:pt idx="0">
                    <c:v>0</c:v>
                  </c:pt>
                </c:numCache>
              </c:numRef>
            </c:minus>
            <c:spPr>
              <a:noFill/>
              <a:ln w="22225" cap="flat" cmpd="sng" algn="ctr">
                <a:solidFill>
                  <a:srgbClr val="0070C0"/>
                </a:solidFill>
                <a:round/>
              </a:ln>
              <a:effectLst/>
            </c:spPr>
          </c:errBars>
          <c:val>
            <c:numRef>
              <c:f>'mili Pc &lt; '!$D$11</c:f>
              <c:numCache>
                <c:formatCode>0.00\ "mg"</c:formatCode>
                <c:ptCount val="1"/>
                <c:pt idx="0">
                  <c:v>#N/A</c:v>
                </c:pt>
              </c:numCache>
            </c:numRef>
          </c:val>
          <c:smooth val="0"/>
          <c:extLst>
            <c:ext xmlns:c16="http://schemas.microsoft.com/office/drawing/2014/chart" uri="{C3380CC4-5D6E-409C-BE32-E72D297353CC}">
              <c16:uniqueId val="{00000001-14D8-4E76-8EBA-8F525781D372}"/>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'!$Q$11:$S$11</c:f>
              <c:numCache>
                <c:formatCode>0.00</c:formatCode>
                <c:ptCount val="3"/>
                <c:pt idx="0">
                  <c:v>0.25</c:v>
                </c:pt>
                <c:pt idx="1">
                  <c:v>0.25</c:v>
                </c:pt>
                <c:pt idx="2">
                  <c:v>0.25</c:v>
                </c:pt>
              </c:numCache>
            </c:numRef>
          </c:val>
          <c:smooth val="0"/>
          <c:extLst>
            <c:ext xmlns:c16="http://schemas.microsoft.com/office/drawing/2014/chart" uri="{C3380CC4-5D6E-409C-BE32-E72D297353CC}">
              <c16:uniqueId val="{00000002-14D8-4E76-8EBA-8F525781D372}"/>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'!$T$11:$V$11</c:f>
              <c:numCache>
                <c:formatCode>0.00</c:formatCode>
                <c:ptCount val="3"/>
                <c:pt idx="0">
                  <c:v>-0.25</c:v>
                </c:pt>
                <c:pt idx="1">
                  <c:v>-0.25</c:v>
                </c:pt>
                <c:pt idx="2">
                  <c:v>-0.25</c:v>
                </c:pt>
              </c:numCache>
            </c:numRef>
          </c:val>
          <c:smooth val="0"/>
          <c:extLst>
            <c:ext xmlns:c16="http://schemas.microsoft.com/office/drawing/2014/chart" uri="{C3380CC4-5D6E-409C-BE32-E72D297353CC}">
              <c16:uniqueId val="{00000003-14D8-4E76-8EBA-8F525781D372}"/>
            </c:ext>
          </c:extLst>
        </c:ser>
        <c:dLbls>
          <c:dLblPos val="t"/>
          <c:showLegendKey val="0"/>
          <c:showVal val="1"/>
          <c:showCatName val="0"/>
          <c:showSerName val="0"/>
          <c:showPercent val="0"/>
          <c:showBubbleSize val="0"/>
        </c:dLbls>
        <c:marker val="1"/>
        <c:smooth val="0"/>
        <c:axId val="417013120"/>
        <c:axId val="417031296"/>
      </c:lineChart>
      <c:dateAx>
        <c:axId val="41701312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031296"/>
        <c:crosses val="autoZero"/>
        <c:auto val="0"/>
        <c:lblOffset val="100"/>
        <c:baseTimeUnit val="days"/>
        <c:majorUnit val="1"/>
      </c:dateAx>
      <c:valAx>
        <c:axId val="417031296"/>
        <c:scaling>
          <c:orientation val="minMax"/>
          <c:max val="0.55000000000000004"/>
          <c:min val="-0.35000000000000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013120"/>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9125877409977955E-2"/>
                  <c:y val="-3.3555996472663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E3-4B51-A117-0DFA9ECBC54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'!$E$12</c:f>
                <c:numCache>
                  <c:formatCode>General</c:formatCode>
                  <c:ptCount val="1"/>
                  <c:pt idx="0">
                    <c:v>0</c:v>
                  </c:pt>
                </c:numCache>
              </c:numRef>
            </c:plus>
            <c:minus>
              <c:numRef>
                <c:f>'mili Pc &lt; '!$E$12</c:f>
                <c:numCache>
                  <c:formatCode>General</c:formatCode>
                  <c:ptCount val="1"/>
                  <c:pt idx="0">
                    <c:v>0</c:v>
                  </c:pt>
                </c:numCache>
              </c:numRef>
            </c:minus>
            <c:spPr>
              <a:noFill/>
              <a:ln w="22225" cap="flat" cmpd="sng" algn="ctr">
                <a:solidFill>
                  <a:srgbClr val="0070C0"/>
                </a:solidFill>
                <a:round/>
              </a:ln>
              <a:effectLst/>
            </c:spPr>
          </c:errBars>
          <c:val>
            <c:numRef>
              <c:f>'mili Pc &lt; '!$D$12</c:f>
              <c:numCache>
                <c:formatCode>0.00\ "mg"</c:formatCode>
                <c:ptCount val="1"/>
                <c:pt idx="0">
                  <c:v>#N/A</c:v>
                </c:pt>
              </c:numCache>
            </c:numRef>
          </c:val>
          <c:smooth val="0"/>
          <c:extLst>
            <c:ext xmlns:c16="http://schemas.microsoft.com/office/drawing/2014/chart" uri="{C3380CC4-5D6E-409C-BE32-E72D297353CC}">
              <c16:uniqueId val="{00000001-B5E3-4B51-A117-0DFA9ECBC547}"/>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'!$Q$12:$S$12</c:f>
              <c:numCache>
                <c:formatCode>0.0</c:formatCode>
                <c:ptCount val="3"/>
                <c:pt idx="0">
                  <c:v>0.3</c:v>
                </c:pt>
                <c:pt idx="1">
                  <c:v>0.3</c:v>
                </c:pt>
                <c:pt idx="2">
                  <c:v>0.3</c:v>
                </c:pt>
              </c:numCache>
            </c:numRef>
          </c:val>
          <c:smooth val="0"/>
          <c:extLst>
            <c:ext xmlns:c16="http://schemas.microsoft.com/office/drawing/2014/chart" uri="{C3380CC4-5D6E-409C-BE32-E72D297353CC}">
              <c16:uniqueId val="{00000002-B5E3-4B51-A117-0DFA9ECBC547}"/>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'!$T$12:$V$12</c:f>
              <c:numCache>
                <c:formatCode>0.0</c:formatCode>
                <c:ptCount val="3"/>
                <c:pt idx="0">
                  <c:v>-0.3</c:v>
                </c:pt>
                <c:pt idx="1">
                  <c:v>-0.3</c:v>
                </c:pt>
                <c:pt idx="2">
                  <c:v>-0.3</c:v>
                </c:pt>
              </c:numCache>
            </c:numRef>
          </c:val>
          <c:smooth val="0"/>
          <c:extLst>
            <c:ext xmlns:c16="http://schemas.microsoft.com/office/drawing/2014/chart" uri="{C3380CC4-5D6E-409C-BE32-E72D297353CC}">
              <c16:uniqueId val="{00000004-B5E3-4B51-A117-0DFA9ECBC547}"/>
            </c:ext>
          </c:extLst>
        </c:ser>
        <c:dLbls>
          <c:dLblPos val="t"/>
          <c:showLegendKey val="0"/>
          <c:showVal val="1"/>
          <c:showCatName val="0"/>
          <c:showSerName val="0"/>
          <c:showPercent val="0"/>
          <c:showBubbleSize val="0"/>
        </c:dLbls>
        <c:marker val="1"/>
        <c:smooth val="0"/>
        <c:axId val="417072640"/>
        <c:axId val="417074176"/>
      </c:lineChart>
      <c:dateAx>
        <c:axId val="41707264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074176"/>
        <c:crosses val="autoZero"/>
        <c:auto val="0"/>
        <c:lblOffset val="100"/>
        <c:baseTimeUnit val="days"/>
        <c:majorUnit val="1"/>
      </c:dateAx>
      <c:valAx>
        <c:axId val="417074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07264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366209591750098E-3"/>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F-44E9-AF3D-3880C203B88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'!$E$13</c:f>
                <c:numCache>
                  <c:formatCode>General</c:formatCode>
                  <c:ptCount val="1"/>
                  <c:pt idx="0">
                    <c:v>0</c:v>
                  </c:pt>
                </c:numCache>
              </c:numRef>
            </c:plus>
            <c:minus>
              <c:numRef>
                <c:f>'mili Pc &lt; '!$E$13</c:f>
                <c:numCache>
                  <c:formatCode>General</c:formatCode>
                  <c:ptCount val="1"/>
                  <c:pt idx="0">
                    <c:v>0</c:v>
                  </c:pt>
                </c:numCache>
              </c:numRef>
            </c:minus>
            <c:spPr>
              <a:noFill/>
              <a:ln w="22225" cap="flat" cmpd="sng" algn="ctr">
                <a:solidFill>
                  <a:srgbClr val="0070C0"/>
                </a:solidFill>
                <a:round/>
              </a:ln>
              <a:effectLst/>
            </c:spPr>
          </c:errBars>
          <c:val>
            <c:numRef>
              <c:f>'mili Pc &lt; '!$D$13</c:f>
              <c:numCache>
                <c:formatCode>0.00\ "mg"</c:formatCode>
                <c:ptCount val="1"/>
                <c:pt idx="0">
                  <c:v>#N/A</c:v>
                </c:pt>
              </c:numCache>
            </c:numRef>
          </c:val>
          <c:smooth val="0"/>
          <c:extLst>
            <c:ext xmlns:c16="http://schemas.microsoft.com/office/drawing/2014/chart" uri="{C3380CC4-5D6E-409C-BE32-E72D297353CC}">
              <c16:uniqueId val="{00000001-C3FF-44E9-AF3D-3880C203B880}"/>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'!$Q$13:$S$13</c:f>
              <c:numCache>
                <c:formatCode>0.0</c:formatCode>
                <c:ptCount val="3"/>
                <c:pt idx="0">
                  <c:v>0.3</c:v>
                </c:pt>
                <c:pt idx="1">
                  <c:v>0.3</c:v>
                </c:pt>
                <c:pt idx="2">
                  <c:v>0.3</c:v>
                </c:pt>
              </c:numCache>
            </c:numRef>
          </c:val>
          <c:smooth val="0"/>
          <c:extLst>
            <c:ext xmlns:c16="http://schemas.microsoft.com/office/drawing/2014/chart" uri="{C3380CC4-5D6E-409C-BE32-E72D297353CC}">
              <c16:uniqueId val="{00000002-C3FF-44E9-AF3D-3880C203B880}"/>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'!$T$13:$V$13</c:f>
              <c:numCache>
                <c:formatCode>0.0</c:formatCode>
                <c:ptCount val="3"/>
                <c:pt idx="0">
                  <c:v>-0.3</c:v>
                </c:pt>
                <c:pt idx="1">
                  <c:v>-0.3</c:v>
                </c:pt>
                <c:pt idx="2">
                  <c:v>-0.3</c:v>
                </c:pt>
              </c:numCache>
            </c:numRef>
          </c:val>
          <c:smooth val="0"/>
          <c:extLst>
            <c:ext xmlns:c16="http://schemas.microsoft.com/office/drawing/2014/chart" uri="{C3380CC4-5D6E-409C-BE32-E72D297353CC}">
              <c16:uniqueId val="{00000003-C3FF-44E9-AF3D-3880C203B880}"/>
            </c:ext>
          </c:extLst>
        </c:ser>
        <c:dLbls>
          <c:dLblPos val="t"/>
          <c:showLegendKey val="0"/>
          <c:showVal val="1"/>
          <c:showCatName val="0"/>
          <c:showSerName val="0"/>
          <c:showPercent val="0"/>
          <c:showBubbleSize val="0"/>
        </c:dLbls>
        <c:marker val="1"/>
        <c:smooth val="0"/>
        <c:axId val="417209728"/>
        <c:axId val="417211520"/>
      </c:lineChart>
      <c:dateAx>
        <c:axId val="4172097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211520"/>
        <c:crosses val="autoZero"/>
        <c:auto val="0"/>
        <c:lblOffset val="100"/>
        <c:baseTimeUnit val="days"/>
        <c:majorUnit val="1"/>
      </c:dateAx>
      <c:valAx>
        <c:axId val="417211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2097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75156796842280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4-4A91-94A5-9B44AA75CBF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'!$E$14</c:f>
                <c:numCache>
                  <c:formatCode>General</c:formatCode>
                  <c:ptCount val="1"/>
                  <c:pt idx="0">
                    <c:v>0</c:v>
                  </c:pt>
                </c:numCache>
              </c:numRef>
            </c:plus>
            <c:minus>
              <c:numRef>
                <c:f>'mili Pc &lt; '!$E$14</c:f>
                <c:numCache>
                  <c:formatCode>General</c:formatCode>
                  <c:ptCount val="1"/>
                  <c:pt idx="0">
                    <c:v>0</c:v>
                  </c:pt>
                </c:numCache>
              </c:numRef>
            </c:minus>
            <c:spPr>
              <a:noFill/>
              <a:ln w="22225" cap="flat" cmpd="sng" algn="ctr">
                <a:solidFill>
                  <a:srgbClr val="0070C0"/>
                </a:solidFill>
                <a:round/>
              </a:ln>
              <a:effectLst/>
            </c:spPr>
          </c:errBars>
          <c:val>
            <c:numRef>
              <c:f>'mili Pc &lt; '!$D$14</c:f>
              <c:numCache>
                <c:formatCode>0.00\ "mg"</c:formatCode>
                <c:ptCount val="1"/>
                <c:pt idx="0">
                  <c:v>#N/A</c:v>
                </c:pt>
              </c:numCache>
            </c:numRef>
          </c:val>
          <c:smooth val="0"/>
          <c:extLst>
            <c:ext xmlns:c16="http://schemas.microsoft.com/office/drawing/2014/chart" uri="{C3380CC4-5D6E-409C-BE32-E72D297353CC}">
              <c16:uniqueId val="{00000001-F714-4A91-94A5-9B44AA75CBF9}"/>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'!$Q$14:$S$14</c:f>
              <c:numCache>
                <c:formatCode>0.0</c:formatCode>
                <c:ptCount val="3"/>
                <c:pt idx="0">
                  <c:v>0.4</c:v>
                </c:pt>
                <c:pt idx="1">
                  <c:v>0.4</c:v>
                </c:pt>
                <c:pt idx="2">
                  <c:v>0.4</c:v>
                </c:pt>
              </c:numCache>
            </c:numRef>
          </c:val>
          <c:smooth val="0"/>
          <c:extLst>
            <c:ext xmlns:c16="http://schemas.microsoft.com/office/drawing/2014/chart" uri="{C3380CC4-5D6E-409C-BE32-E72D297353CC}">
              <c16:uniqueId val="{00000002-F714-4A91-94A5-9B44AA75CBF9}"/>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'!$T$14:$V$14</c:f>
              <c:numCache>
                <c:formatCode>0.0</c:formatCode>
                <c:ptCount val="3"/>
                <c:pt idx="0">
                  <c:v>-0.4</c:v>
                </c:pt>
                <c:pt idx="1">
                  <c:v>-0.4</c:v>
                </c:pt>
                <c:pt idx="2">
                  <c:v>-0.4</c:v>
                </c:pt>
              </c:numCache>
            </c:numRef>
          </c:val>
          <c:smooth val="0"/>
          <c:extLst>
            <c:ext xmlns:c16="http://schemas.microsoft.com/office/drawing/2014/chart" uri="{C3380CC4-5D6E-409C-BE32-E72D297353CC}">
              <c16:uniqueId val="{00000003-F714-4A91-94A5-9B44AA75CBF9}"/>
            </c:ext>
          </c:extLst>
        </c:ser>
        <c:dLbls>
          <c:dLblPos val="t"/>
          <c:showLegendKey val="0"/>
          <c:showVal val="1"/>
          <c:showCatName val="0"/>
          <c:showSerName val="0"/>
          <c:showPercent val="0"/>
          <c:showBubbleSize val="0"/>
        </c:dLbls>
        <c:marker val="1"/>
        <c:smooth val="0"/>
        <c:axId val="417351168"/>
        <c:axId val="417352704"/>
      </c:lineChart>
      <c:dateAx>
        <c:axId val="4173511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352704"/>
        <c:crosses val="autoZero"/>
        <c:auto val="0"/>
        <c:lblOffset val="100"/>
        <c:baseTimeUnit val="days"/>
        <c:majorUnit val="1"/>
      </c:dateAx>
      <c:valAx>
        <c:axId val="417352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35116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86553345397064E-2"/>
                  <c:y val="-8.3952821869488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1-4E0E-B43B-E5B381CE3B8B}"/>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'!$E$15</c:f>
                <c:numCache>
                  <c:formatCode>General</c:formatCode>
                  <c:ptCount val="1"/>
                  <c:pt idx="0">
                    <c:v>0</c:v>
                  </c:pt>
                </c:numCache>
              </c:numRef>
            </c:plus>
            <c:minus>
              <c:numRef>
                <c:f>'mili Pc &lt; '!$E$15</c:f>
                <c:numCache>
                  <c:formatCode>General</c:formatCode>
                  <c:ptCount val="1"/>
                  <c:pt idx="0">
                    <c:v>0</c:v>
                  </c:pt>
                </c:numCache>
              </c:numRef>
            </c:minus>
            <c:spPr>
              <a:noFill/>
              <a:ln w="22225" cap="flat" cmpd="sng" algn="ctr">
                <a:solidFill>
                  <a:srgbClr val="0070C0"/>
                </a:solidFill>
                <a:round/>
              </a:ln>
              <a:effectLst/>
            </c:spPr>
          </c:errBars>
          <c:val>
            <c:numRef>
              <c:f>'mili Pc &lt; '!$D$15</c:f>
              <c:numCache>
                <c:formatCode>0.00\ "mg"</c:formatCode>
                <c:ptCount val="1"/>
                <c:pt idx="0">
                  <c:v>#N/A</c:v>
                </c:pt>
              </c:numCache>
            </c:numRef>
          </c:val>
          <c:smooth val="0"/>
          <c:extLst>
            <c:ext xmlns:c16="http://schemas.microsoft.com/office/drawing/2014/chart" uri="{C3380CC4-5D6E-409C-BE32-E72D297353CC}">
              <c16:uniqueId val="{00000001-6161-4E0E-B43B-E5B381CE3B8B}"/>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'!$Q$15:$S$15</c:f>
              <c:numCache>
                <c:formatCode>0.0</c:formatCode>
                <c:ptCount val="3"/>
                <c:pt idx="0">
                  <c:v>0.5</c:v>
                </c:pt>
                <c:pt idx="1">
                  <c:v>0.5</c:v>
                </c:pt>
                <c:pt idx="2">
                  <c:v>0.5</c:v>
                </c:pt>
              </c:numCache>
            </c:numRef>
          </c:val>
          <c:smooth val="0"/>
          <c:extLst>
            <c:ext xmlns:c16="http://schemas.microsoft.com/office/drawing/2014/chart" uri="{C3380CC4-5D6E-409C-BE32-E72D297353CC}">
              <c16:uniqueId val="{00000002-6161-4E0E-B43B-E5B381CE3B8B}"/>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'!$T$15:$V$15</c:f>
              <c:numCache>
                <c:formatCode>0.0</c:formatCode>
                <c:ptCount val="3"/>
                <c:pt idx="0">
                  <c:v>-0.5</c:v>
                </c:pt>
                <c:pt idx="1">
                  <c:v>-0.5</c:v>
                </c:pt>
                <c:pt idx="2">
                  <c:v>-0.5</c:v>
                </c:pt>
              </c:numCache>
            </c:numRef>
          </c:val>
          <c:smooth val="0"/>
          <c:extLst>
            <c:ext xmlns:c16="http://schemas.microsoft.com/office/drawing/2014/chart" uri="{C3380CC4-5D6E-409C-BE32-E72D297353CC}">
              <c16:uniqueId val="{00000003-6161-4E0E-B43B-E5B381CE3B8B}"/>
            </c:ext>
          </c:extLst>
        </c:ser>
        <c:dLbls>
          <c:dLblPos val="t"/>
          <c:showLegendKey val="0"/>
          <c:showVal val="1"/>
          <c:showCatName val="0"/>
          <c:showSerName val="0"/>
          <c:showPercent val="0"/>
          <c:showBubbleSize val="0"/>
        </c:dLbls>
        <c:marker val="1"/>
        <c:smooth val="0"/>
        <c:axId val="417389952"/>
        <c:axId val="417473664"/>
      </c:lineChart>
      <c:dateAx>
        <c:axId val="4173899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473664"/>
        <c:crosses val="autoZero"/>
        <c:auto val="0"/>
        <c:lblOffset val="100"/>
        <c:baseTimeUnit val="days"/>
        <c:majorUnit val="1"/>
      </c:dateAx>
      <c:valAx>
        <c:axId val="417473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3899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'!$E$16</c:f>
                <c:numCache>
                  <c:formatCode>General</c:formatCode>
                  <c:ptCount val="1"/>
                  <c:pt idx="0">
                    <c:v>0</c:v>
                  </c:pt>
                </c:numCache>
              </c:numRef>
            </c:plus>
            <c:minus>
              <c:numRef>
                <c:f>'mili Pc &lt; '!$E$16</c:f>
                <c:numCache>
                  <c:formatCode>General</c:formatCode>
                  <c:ptCount val="1"/>
                  <c:pt idx="0">
                    <c:v>0</c:v>
                  </c:pt>
                </c:numCache>
              </c:numRef>
            </c:minus>
            <c:spPr>
              <a:noFill/>
              <a:ln w="22225" cap="flat" cmpd="sng" algn="ctr">
                <a:solidFill>
                  <a:srgbClr val="0070C0"/>
                </a:solidFill>
                <a:round/>
              </a:ln>
              <a:effectLst/>
            </c:spPr>
          </c:errBars>
          <c:val>
            <c:numRef>
              <c:f>'mili Pc &lt; '!$D$16</c:f>
              <c:numCache>
                <c:formatCode>0.00\ "mg"</c:formatCode>
                <c:ptCount val="1"/>
                <c:pt idx="0">
                  <c:v>#N/A</c:v>
                </c:pt>
              </c:numCache>
            </c:numRef>
          </c:val>
          <c:smooth val="0"/>
          <c:extLst>
            <c:ext xmlns:c16="http://schemas.microsoft.com/office/drawing/2014/chart" uri="{C3380CC4-5D6E-409C-BE32-E72D297353CC}">
              <c16:uniqueId val="{00000001-6DD4-4B0D-A3A1-E000829941E5}"/>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'!$Q$16:$S$16</c:f>
              <c:numCache>
                <c:formatCode>0.0</c:formatCode>
                <c:ptCount val="3"/>
                <c:pt idx="0">
                  <c:v>0.6</c:v>
                </c:pt>
                <c:pt idx="1">
                  <c:v>0.6</c:v>
                </c:pt>
                <c:pt idx="2">
                  <c:v>0.6</c:v>
                </c:pt>
              </c:numCache>
            </c:numRef>
          </c:val>
          <c:smooth val="0"/>
          <c:extLst>
            <c:ext xmlns:c16="http://schemas.microsoft.com/office/drawing/2014/chart" uri="{C3380CC4-5D6E-409C-BE32-E72D297353CC}">
              <c16:uniqueId val="{00000002-6DD4-4B0D-A3A1-E000829941E5}"/>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'!$T$16:$V$16</c:f>
              <c:numCache>
                <c:formatCode>0.0</c:formatCode>
                <c:ptCount val="3"/>
                <c:pt idx="0">
                  <c:v>-0.6</c:v>
                </c:pt>
                <c:pt idx="1">
                  <c:v>-0.6</c:v>
                </c:pt>
                <c:pt idx="2">
                  <c:v>-0.6</c:v>
                </c:pt>
              </c:numCache>
            </c:numRef>
          </c:val>
          <c:smooth val="0"/>
          <c:extLst>
            <c:ext xmlns:c16="http://schemas.microsoft.com/office/drawing/2014/chart" uri="{C3380CC4-5D6E-409C-BE32-E72D297353CC}">
              <c16:uniqueId val="{00000003-6DD4-4B0D-A3A1-E000829941E5}"/>
            </c:ext>
          </c:extLst>
        </c:ser>
        <c:dLbls>
          <c:dLblPos val="t"/>
          <c:showLegendKey val="0"/>
          <c:showVal val="1"/>
          <c:showCatName val="0"/>
          <c:showSerName val="0"/>
          <c:showPercent val="0"/>
          <c:showBubbleSize val="0"/>
        </c:dLbls>
        <c:marker val="1"/>
        <c:smooth val="0"/>
        <c:axId val="417551488"/>
        <c:axId val="417553024"/>
      </c:lineChart>
      <c:dateAx>
        <c:axId val="4175514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553024"/>
        <c:crosses val="autoZero"/>
        <c:auto val="0"/>
        <c:lblOffset val="100"/>
        <c:baseTimeUnit val="days"/>
        <c:majorUnit val="1"/>
      </c:dateAx>
      <c:valAx>
        <c:axId val="417553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55148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7439606272796397E-2"/>
                  <c:y val="-7.2753527336860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A-4E6C-99B1-DCFBA373039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'!$E$17</c:f>
                <c:numCache>
                  <c:formatCode>General</c:formatCode>
                  <c:ptCount val="1"/>
                  <c:pt idx="0">
                    <c:v>0</c:v>
                  </c:pt>
                </c:numCache>
              </c:numRef>
            </c:plus>
            <c:minus>
              <c:numRef>
                <c:f>'mili Pc &lt; '!$E$17</c:f>
                <c:numCache>
                  <c:formatCode>General</c:formatCode>
                  <c:ptCount val="1"/>
                  <c:pt idx="0">
                    <c:v>0</c:v>
                  </c:pt>
                </c:numCache>
              </c:numRef>
            </c:minus>
            <c:spPr>
              <a:noFill/>
              <a:ln w="22225" cap="flat" cmpd="sng" algn="ctr">
                <a:solidFill>
                  <a:srgbClr val="0070C0"/>
                </a:solidFill>
                <a:round/>
              </a:ln>
              <a:effectLst/>
            </c:spPr>
          </c:errBars>
          <c:val>
            <c:numRef>
              <c:f>'mili Pc &lt; '!$D$17</c:f>
              <c:numCache>
                <c:formatCode>0.00\ "mg"</c:formatCode>
                <c:ptCount val="1"/>
                <c:pt idx="0">
                  <c:v>#N/A</c:v>
                </c:pt>
              </c:numCache>
            </c:numRef>
          </c:val>
          <c:smooth val="0"/>
          <c:extLst>
            <c:ext xmlns:c16="http://schemas.microsoft.com/office/drawing/2014/chart" uri="{C3380CC4-5D6E-409C-BE32-E72D297353CC}">
              <c16:uniqueId val="{00000000-B88A-4E6C-99B1-DCFBA373039C}"/>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'!$Q$17:$S$17</c:f>
              <c:numCache>
                <c:formatCode>0.0</c:formatCode>
                <c:ptCount val="3"/>
                <c:pt idx="0">
                  <c:v>0.6</c:v>
                </c:pt>
                <c:pt idx="1">
                  <c:v>0.6</c:v>
                </c:pt>
                <c:pt idx="2">
                  <c:v>0.6</c:v>
                </c:pt>
              </c:numCache>
            </c:numRef>
          </c:val>
          <c:smooth val="0"/>
          <c:extLst>
            <c:ext xmlns:c16="http://schemas.microsoft.com/office/drawing/2014/chart" uri="{C3380CC4-5D6E-409C-BE32-E72D297353CC}">
              <c16:uniqueId val="{00000001-B88A-4E6C-99B1-DCFBA373039C}"/>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'!$T$17:$V$17</c:f>
              <c:numCache>
                <c:formatCode>0.0</c:formatCode>
                <c:ptCount val="3"/>
                <c:pt idx="0">
                  <c:v>-0.6</c:v>
                </c:pt>
                <c:pt idx="1">
                  <c:v>-0.6</c:v>
                </c:pt>
                <c:pt idx="2">
                  <c:v>-0.6</c:v>
                </c:pt>
              </c:numCache>
            </c:numRef>
          </c:val>
          <c:smooth val="0"/>
          <c:extLst>
            <c:ext xmlns:c16="http://schemas.microsoft.com/office/drawing/2014/chart" uri="{C3380CC4-5D6E-409C-BE32-E72D297353CC}">
              <c16:uniqueId val="{00000002-B88A-4E6C-99B1-DCFBA373039C}"/>
            </c:ext>
          </c:extLst>
        </c:ser>
        <c:dLbls>
          <c:dLblPos val="t"/>
          <c:showLegendKey val="0"/>
          <c:showVal val="1"/>
          <c:showCatName val="0"/>
          <c:showSerName val="0"/>
          <c:showPercent val="0"/>
          <c:showBubbleSize val="0"/>
        </c:dLbls>
        <c:marker val="1"/>
        <c:smooth val="0"/>
        <c:axId val="417860608"/>
        <c:axId val="417886976"/>
      </c:lineChart>
      <c:dateAx>
        <c:axId val="4178606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886976"/>
        <c:crosses val="autoZero"/>
        <c:auto val="0"/>
        <c:lblOffset val="100"/>
        <c:baseTimeUnit val="days"/>
        <c:majorUnit val="1"/>
      </c:dateAx>
      <c:valAx>
        <c:axId val="417886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786060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2.291050502641121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F-499A-9AC4-F64A1835421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'!$E$18</c:f>
                <c:numCache>
                  <c:formatCode>General</c:formatCode>
                  <c:ptCount val="1"/>
                  <c:pt idx="0">
                    <c:v>0</c:v>
                  </c:pt>
                </c:numCache>
              </c:numRef>
            </c:plus>
            <c:minus>
              <c:numRef>
                <c:f>'mili Pc &lt; '!$E$18</c:f>
                <c:numCache>
                  <c:formatCode>General</c:formatCode>
                  <c:ptCount val="1"/>
                  <c:pt idx="0">
                    <c:v>0</c:v>
                  </c:pt>
                </c:numCache>
              </c:numRef>
            </c:minus>
            <c:spPr>
              <a:noFill/>
              <a:ln w="22225" cap="flat" cmpd="sng" algn="ctr">
                <a:solidFill>
                  <a:srgbClr val="0070C0"/>
                </a:solidFill>
                <a:round/>
              </a:ln>
              <a:effectLst/>
            </c:spPr>
          </c:errBars>
          <c:val>
            <c:numRef>
              <c:f>'mili Pc &lt; '!$D$18</c:f>
              <c:numCache>
                <c:formatCode>0.00\ "mg"</c:formatCode>
                <c:ptCount val="1"/>
                <c:pt idx="0">
                  <c:v>#N/A</c:v>
                </c:pt>
              </c:numCache>
            </c:numRef>
          </c:val>
          <c:smooth val="0"/>
          <c:extLst>
            <c:ext xmlns:c16="http://schemas.microsoft.com/office/drawing/2014/chart" uri="{C3380CC4-5D6E-409C-BE32-E72D297353CC}">
              <c16:uniqueId val="{00000001-6A9F-499A-9AC4-F64A18354219}"/>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'!$Q$18:$S$18</c:f>
              <c:numCache>
                <c:formatCode>0.0</c:formatCode>
                <c:ptCount val="3"/>
                <c:pt idx="0">
                  <c:v>0.8</c:v>
                </c:pt>
                <c:pt idx="1">
                  <c:v>0.8</c:v>
                </c:pt>
                <c:pt idx="2">
                  <c:v>0.8</c:v>
                </c:pt>
              </c:numCache>
            </c:numRef>
          </c:val>
          <c:smooth val="0"/>
          <c:extLst>
            <c:ext xmlns:c16="http://schemas.microsoft.com/office/drawing/2014/chart" uri="{C3380CC4-5D6E-409C-BE32-E72D297353CC}">
              <c16:uniqueId val="{00000002-6A9F-499A-9AC4-F64A18354219}"/>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'!$T$18:$V$18</c:f>
              <c:numCache>
                <c:formatCode>0.0</c:formatCode>
                <c:ptCount val="3"/>
                <c:pt idx="0">
                  <c:v>-0.8</c:v>
                </c:pt>
                <c:pt idx="1">
                  <c:v>-0.8</c:v>
                </c:pt>
                <c:pt idx="2">
                  <c:v>-0.8</c:v>
                </c:pt>
              </c:numCache>
            </c:numRef>
          </c:val>
          <c:smooth val="0"/>
          <c:extLst>
            <c:ext xmlns:c16="http://schemas.microsoft.com/office/drawing/2014/chart" uri="{C3380CC4-5D6E-409C-BE32-E72D297353CC}">
              <c16:uniqueId val="{00000003-6A9F-499A-9AC4-F64A18354219}"/>
            </c:ext>
          </c:extLst>
        </c:ser>
        <c:dLbls>
          <c:dLblPos val="t"/>
          <c:showLegendKey val="0"/>
          <c:showVal val="1"/>
          <c:showCatName val="0"/>
          <c:showSerName val="0"/>
          <c:showPercent val="0"/>
          <c:showBubbleSize val="0"/>
        </c:dLbls>
        <c:marker val="1"/>
        <c:smooth val="0"/>
        <c:axId val="418468992"/>
        <c:axId val="418470528"/>
      </c:lineChart>
      <c:dateAx>
        <c:axId val="41846899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470528"/>
        <c:crosses val="autoZero"/>
        <c:auto val="0"/>
        <c:lblOffset val="100"/>
        <c:baseTimeUnit val="days"/>
        <c:majorUnit val="1"/>
      </c:dateAx>
      <c:valAx>
        <c:axId val="418470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46899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0-4718-AE23-EBA10C8CF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&lt;'!$E$7</c:f>
                <c:numCache>
                  <c:formatCode>General</c:formatCode>
                  <c:ptCount val="1"/>
                  <c:pt idx="0">
                    <c:v>0</c:v>
                  </c:pt>
                </c:numCache>
              </c:numRef>
            </c:plus>
            <c:minus>
              <c:numRef>
                <c:f>'gramo Pc &lt;'!$E$7</c:f>
                <c:numCache>
                  <c:formatCode>General</c:formatCode>
                  <c:ptCount val="1"/>
                  <c:pt idx="0">
                    <c:v>0</c:v>
                  </c:pt>
                </c:numCache>
              </c:numRef>
            </c:minus>
            <c:spPr>
              <a:noFill/>
              <a:ln w="22225" cap="flat" cmpd="sng" algn="ctr">
                <a:solidFill>
                  <a:srgbClr val="0070C0"/>
                </a:solidFill>
                <a:round/>
              </a:ln>
              <a:effectLst/>
            </c:spPr>
          </c:errBars>
          <c:val>
            <c:numRef>
              <c:f>'gramo Pc &lt;'!$D$7</c:f>
              <c:numCache>
                <c:formatCode>0.00\ "mg"</c:formatCode>
                <c:ptCount val="1"/>
                <c:pt idx="0">
                  <c:v>#N/A</c:v>
                </c:pt>
              </c:numCache>
            </c:numRef>
          </c:val>
          <c:smooth val="0"/>
          <c:extLst>
            <c:ext xmlns:c16="http://schemas.microsoft.com/office/drawing/2014/chart" uri="{C3380CC4-5D6E-409C-BE32-E72D297353CC}">
              <c16:uniqueId val="{00000001-8E37-42CC-8D5E-0107F2179BD4}"/>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&lt;'!$Q$7:$S$7</c:f>
              <c:numCache>
                <c:formatCode>General</c:formatCode>
                <c:ptCount val="3"/>
                <c:pt idx="0">
                  <c:v>1</c:v>
                </c:pt>
                <c:pt idx="1">
                  <c:v>1</c:v>
                </c:pt>
                <c:pt idx="2">
                  <c:v>1</c:v>
                </c:pt>
              </c:numCache>
            </c:numRef>
          </c:val>
          <c:smooth val="0"/>
          <c:extLst>
            <c:ext xmlns:c16="http://schemas.microsoft.com/office/drawing/2014/chart" uri="{C3380CC4-5D6E-409C-BE32-E72D297353CC}">
              <c16:uniqueId val="{00000002-8E37-42CC-8D5E-0107F2179BD4}"/>
            </c:ext>
          </c:extLst>
        </c:ser>
        <c:ser>
          <c:idx val="2"/>
          <c:order val="2"/>
          <c:tx>
            <c:strRef>
              <c:f>'gramo Pc &lt;'!$Q$6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6-8E37-42CC-8D5E-0107F2179BD4}"/>
              </c:ext>
            </c:extLst>
          </c:dPt>
          <c:dLbls>
            <c:delete val="1"/>
          </c:dLbls>
          <c:val>
            <c:numRef>
              <c:f>'gramo Pc &lt;'!$T$7:$V$7</c:f>
              <c:numCache>
                <c:formatCode>General</c:formatCode>
                <c:ptCount val="3"/>
                <c:pt idx="0">
                  <c:v>-1</c:v>
                </c:pt>
                <c:pt idx="1">
                  <c:v>-1</c:v>
                </c:pt>
                <c:pt idx="2">
                  <c:v>-1</c:v>
                </c:pt>
              </c:numCache>
            </c:numRef>
          </c:val>
          <c:smooth val="0"/>
          <c:extLst>
            <c:ext xmlns:c16="http://schemas.microsoft.com/office/drawing/2014/chart" uri="{C3380CC4-5D6E-409C-BE32-E72D297353CC}">
              <c16:uniqueId val="{00000007-8E37-42CC-8D5E-0107F2179BD4}"/>
            </c:ext>
          </c:extLst>
        </c:ser>
        <c:ser>
          <c:idx val="3"/>
          <c:order val="3"/>
          <c:tx>
            <c:strRef>
              <c:f>'gramo Pc &lt;'!$W$6:$Y$6</c:f>
              <c:strCache>
                <c:ptCount val="3"/>
                <c:pt idx="0">
                  <c:v> 1/3 EMP </c:v>
                </c:pt>
              </c:strCache>
            </c:strRef>
          </c:tx>
          <c:spPr>
            <a:ln w="28575" cap="rnd">
              <a:solidFill>
                <a:schemeClr val="accent4"/>
              </a:solidFill>
              <a:round/>
            </a:ln>
            <a:effectLst/>
          </c:spPr>
          <c:marker>
            <c:symbol val="none"/>
          </c:marker>
          <c:dLbls>
            <c:delete val="1"/>
          </c:dLbls>
          <c:val>
            <c:numRef>
              <c:f>'gramo Pc &lt;'!$W$7:$Y$7</c:f>
              <c:numCache>
                <c:formatCode>0.00</c:formatCode>
                <c:ptCount val="3"/>
                <c:pt idx="0">
                  <c:v>0.33333333333333331</c:v>
                </c:pt>
                <c:pt idx="1">
                  <c:v>0.33333333333333331</c:v>
                </c:pt>
                <c:pt idx="2">
                  <c:v>0.33333333333333331</c:v>
                </c:pt>
              </c:numCache>
            </c:numRef>
          </c:val>
          <c:smooth val="0"/>
          <c:extLst>
            <c:ext xmlns:c16="http://schemas.microsoft.com/office/drawing/2014/chart" uri="{C3380CC4-5D6E-409C-BE32-E72D297353CC}">
              <c16:uniqueId val="{00000001-6AEE-4FC5-BA89-8D18E612ABBD}"/>
            </c:ext>
          </c:extLst>
        </c:ser>
        <c:ser>
          <c:idx val="4"/>
          <c:order val="4"/>
          <c:tx>
            <c:strRef>
              <c:f>'gramo Pc &lt;'!$Z$6:$AB$6</c:f>
              <c:strCache>
                <c:ptCount val="3"/>
                <c:pt idx="0">
                  <c:v> ± EMP</c:v>
                </c:pt>
              </c:strCache>
            </c:strRef>
          </c:tx>
          <c:spPr>
            <a:ln w="28575" cap="rnd">
              <a:solidFill>
                <a:srgbClr val="FFC000"/>
              </a:solidFill>
              <a:round/>
            </a:ln>
            <a:effectLst/>
          </c:spPr>
          <c:marker>
            <c:symbol val="none"/>
          </c:marker>
          <c:dLbls>
            <c:delete val="1"/>
          </c:dLbls>
          <c:val>
            <c:numRef>
              <c:f>'gramo Pc &lt;'!$Z$7:$AB$7</c:f>
              <c:numCache>
                <c:formatCode>0.00</c:formatCode>
                <c:ptCount val="3"/>
                <c:pt idx="0">
                  <c:v>-0.33333333333333331</c:v>
                </c:pt>
                <c:pt idx="1">
                  <c:v>-0.33333333333333331</c:v>
                </c:pt>
                <c:pt idx="2">
                  <c:v>-0.33333333333333331</c:v>
                </c:pt>
              </c:numCache>
            </c:numRef>
          </c:val>
          <c:smooth val="0"/>
          <c:extLst>
            <c:ext xmlns:c16="http://schemas.microsoft.com/office/drawing/2014/chart" uri="{C3380CC4-5D6E-409C-BE32-E72D297353CC}">
              <c16:uniqueId val="{00000002-6AEE-4FC5-BA89-8D18E612ABBD}"/>
            </c:ext>
          </c:extLst>
        </c:ser>
        <c:dLbls>
          <c:dLblPos val="t"/>
          <c:showLegendKey val="0"/>
          <c:showVal val="1"/>
          <c:showCatName val="0"/>
          <c:showSerName val="0"/>
          <c:showPercent val="0"/>
          <c:showBubbleSize val="0"/>
        </c:dLbls>
        <c:marker val="1"/>
        <c:smooth val="0"/>
        <c:axId val="418597504"/>
        <c:axId val="418615680"/>
      </c:lineChart>
      <c:dateAx>
        <c:axId val="41859750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615680"/>
        <c:crosses val="autoZero"/>
        <c:auto val="0"/>
        <c:lblOffset val="100"/>
        <c:baseTimeUnit val="days"/>
        <c:majorUnit val="1"/>
      </c:dateAx>
      <c:valAx>
        <c:axId val="41861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59750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2-4B78-B221-9B032EAF95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2-4B78-B221-9B032EAF95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2-4B78-B221-9B032EAF95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2-4B78-B221-9B032EAF95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&lt; '!$G$59,'20 mg &lt; '!$G$62,'20 mg &lt; '!$G$66:$G$67,'20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A92-4B78-B221-9B032EAF95B3}"/>
            </c:ext>
          </c:extLst>
        </c:ser>
        <c:dLbls>
          <c:dLblPos val="inEnd"/>
          <c:showLegendKey val="0"/>
          <c:showVal val="1"/>
          <c:showCatName val="0"/>
          <c:showSerName val="0"/>
          <c:showPercent val="0"/>
          <c:showBubbleSize val="0"/>
        </c:dLbls>
        <c:gapWidth val="65"/>
        <c:axId val="527980416"/>
        <c:axId val="528008704"/>
      </c:barChart>
      <c:catAx>
        <c:axId val="5279804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528008704"/>
        <c:crosses val="autoZero"/>
        <c:auto val="1"/>
        <c:lblAlgn val="ctr"/>
        <c:lblOffset val="100"/>
        <c:noMultiLvlLbl val="0"/>
      </c:catAx>
      <c:valAx>
        <c:axId val="5280087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279804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21685407607E-2"/>
                  <c:y val="-0.103607279849832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EA-405C-8E1F-191A979D0AA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&lt;'!$D$8</c:f>
              <c:numCache>
                <c:formatCode>0.00\ "mg"</c:formatCode>
                <c:ptCount val="1"/>
                <c:pt idx="0">
                  <c:v>#N/A</c:v>
                </c:pt>
              </c:numCache>
            </c:numRef>
          </c:val>
          <c:smooth val="0"/>
          <c:extLst>
            <c:ext xmlns:c16="http://schemas.microsoft.com/office/drawing/2014/chart" uri="{C3380CC4-5D6E-409C-BE32-E72D297353CC}">
              <c16:uniqueId val="{00000001-4AF0-4033-AE68-3CC3FC123901}"/>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&lt;'!$Q$8:$S$8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AF0-4033-AE68-3CC3FC123901}"/>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&lt;'!$T$8:$V$8</c:f>
              <c:numCache>
                <c:formatCode>General</c:formatCode>
                <c:ptCount val="3"/>
                <c:pt idx="0">
                  <c:v>-1.2</c:v>
                </c:pt>
                <c:pt idx="1">
                  <c:v>-1.2</c:v>
                </c:pt>
                <c:pt idx="2">
                  <c:v>-1.2</c:v>
                </c:pt>
              </c:numCache>
            </c:numRef>
          </c:val>
          <c:smooth val="0"/>
          <c:extLst>
            <c:ext xmlns:c16="http://schemas.microsoft.com/office/drawing/2014/chart" uri="{C3380CC4-5D6E-409C-BE32-E72D297353CC}">
              <c16:uniqueId val="{00000003-4AF0-4033-AE68-3CC3FC123901}"/>
            </c:ext>
          </c:extLst>
        </c:ser>
        <c:dLbls>
          <c:dLblPos val="t"/>
          <c:showLegendKey val="0"/>
          <c:showVal val="1"/>
          <c:showCatName val="0"/>
          <c:showSerName val="0"/>
          <c:showPercent val="0"/>
          <c:showBubbleSize val="0"/>
        </c:dLbls>
        <c:marker val="1"/>
        <c:smooth val="0"/>
        <c:axId val="418673792"/>
        <c:axId val="418675328"/>
      </c:lineChart>
      <c:dateAx>
        <c:axId val="41867379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675328"/>
        <c:crosses val="autoZero"/>
        <c:auto val="0"/>
        <c:lblOffset val="100"/>
        <c:baseTimeUnit val="days"/>
        <c:majorUnit val="1"/>
      </c:dateAx>
      <c:valAx>
        <c:axId val="41867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67379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4659699728160163E-2"/>
                  <c:y val="-0.139557093671365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4D-4067-8134-357B921AA8E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0.5</c:v>
                </c:pt>
              </c:numLit>
            </c:plus>
            <c:minus>
              <c:numLit>
                <c:formatCode>General</c:formatCode>
                <c:ptCount val="1"/>
                <c:pt idx="0">
                  <c:v>0.5</c:v>
                </c:pt>
              </c:numLit>
            </c:minus>
            <c:spPr>
              <a:noFill/>
              <a:ln w="22225" cap="flat" cmpd="sng" algn="ctr">
                <a:solidFill>
                  <a:srgbClr val="0070C0"/>
                </a:solidFill>
                <a:round/>
              </a:ln>
              <a:effectLst/>
            </c:spPr>
          </c:errBars>
          <c:val>
            <c:numRef>
              <c:f>'gramo Pc &lt;'!$D$10</c:f>
              <c:numCache>
                <c:formatCode>0.00\ "mg"</c:formatCode>
                <c:ptCount val="1"/>
                <c:pt idx="0">
                  <c:v>#N/A</c:v>
                </c:pt>
              </c:numCache>
            </c:numRef>
          </c:val>
          <c:smooth val="0"/>
          <c:extLst>
            <c:ext xmlns:c16="http://schemas.microsoft.com/office/drawing/2014/chart" uri="{C3380CC4-5D6E-409C-BE32-E72D297353CC}">
              <c16:uniqueId val="{00000001-5F5F-4587-9F4B-2109266284B7}"/>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&lt;'!$Q$9:$S$9</c:f>
              <c:numCache>
                <c:formatCode>General</c:formatCode>
                <c:ptCount val="3"/>
                <c:pt idx="0">
                  <c:v>1.6</c:v>
                </c:pt>
                <c:pt idx="1">
                  <c:v>1.6</c:v>
                </c:pt>
                <c:pt idx="2">
                  <c:v>1.6</c:v>
                </c:pt>
              </c:numCache>
            </c:numRef>
          </c:val>
          <c:smooth val="0"/>
          <c:extLst>
            <c:ext xmlns:c16="http://schemas.microsoft.com/office/drawing/2014/chart" uri="{C3380CC4-5D6E-409C-BE32-E72D297353CC}">
              <c16:uniqueId val="{00000002-5F5F-4587-9F4B-2109266284B7}"/>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&lt;'!$T$9:$V$9</c:f>
              <c:numCache>
                <c:formatCode>General</c:formatCode>
                <c:ptCount val="3"/>
                <c:pt idx="0">
                  <c:v>-1.6</c:v>
                </c:pt>
                <c:pt idx="1">
                  <c:v>-1.6</c:v>
                </c:pt>
                <c:pt idx="2">
                  <c:v>-1.6</c:v>
                </c:pt>
              </c:numCache>
            </c:numRef>
          </c:val>
          <c:smooth val="0"/>
          <c:extLst>
            <c:ext xmlns:c16="http://schemas.microsoft.com/office/drawing/2014/chart" uri="{C3380CC4-5D6E-409C-BE32-E72D297353CC}">
              <c16:uniqueId val="{00000003-5F5F-4587-9F4B-2109266284B7}"/>
            </c:ext>
          </c:extLst>
        </c:ser>
        <c:dLbls>
          <c:dLblPos val="t"/>
          <c:showLegendKey val="0"/>
          <c:showVal val="1"/>
          <c:showCatName val="0"/>
          <c:showSerName val="0"/>
          <c:showPercent val="0"/>
          <c:showBubbleSize val="0"/>
        </c:dLbls>
        <c:marker val="1"/>
        <c:smooth val="0"/>
        <c:axId val="418855936"/>
        <c:axId val="418857728"/>
      </c:lineChart>
      <c:dateAx>
        <c:axId val="41885593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857728"/>
        <c:crosses val="autoZero"/>
        <c:auto val="0"/>
        <c:lblOffset val="100"/>
        <c:baseTimeUnit val="days"/>
        <c:majorUnit val="1"/>
      </c:dateAx>
      <c:valAx>
        <c:axId val="418857728"/>
        <c:scaling>
          <c:orientation val="minMax"/>
          <c:max val="1.8"/>
          <c:min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855936"/>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0438200024420697E-2"/>
                  <c:y val="-7.8659757481400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BC-460A-BE0D-D8DF7146B42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0.6</c:v>
                </c:pt>
              </c:numLit>
            </c:plus>
            <c:minus>
              <c:numLit>
                <c:formatCode>General</c:formatCode>
                <c:ptCount val="1"/>
                <c:pt idx="0">
                  <c:v>0.6</c:v>
                </c:pt>
              </c:numLit>
            </c:minus>
            <c:spPr>
              <a:noFill/>
              <a:ln w="22225" cap="flat" cmpd="sng" algn="ctr">
                <a:solidFill>
                  <a:srgbClr val="0070C0"/>
                </a:solidFill>
                <a:round/>
              </a:ln>
              <a:effectLst/>
            </c:spPr>
          </c:errBars>
          <c:val>
            <c:numRef>
              <c:f>'gramo Pc &lt;'!$D$11</c:f>
              <c:numCache>
                <c:formatCode>0.00\ "mg"</c:formatCode>
                <c:ptCount val="1"/>
                <c:pt idx="0">
                  <c:v>#N/A</c:v>
                </c:pt>
              </c:numCache>
            </c:numRef>
          </c:val>
          <c:smooth val="0"/>
          <c:extLst>
            <c:ext xmlns:c16="http://schemas.microsoft.com/office/drawing/2014/chart" uri="{C3380CC4-5D6E-409C-BE32-E72D297353CC}">
              <c16:uniqueId val="{00000001-31EF-4AAA-9AC8-A9D538888726}"/>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&lt;'!$Q$10:$S$10</c:f>
              <c:numCache>
                <c:formatCode>0.0</c:formatCode>
                <c:ptCount val="3"/>
                <c:pt idx="0">
                  <c:v>2</c:v>
                </c:pt>
                <c:pt idx="1">
                  <c:v>2</c:v>
                </c:pt>
                <c:pt idx="2">
                  <c:v>2</c:v>
                </c:pt>
              </c:numCache>
            </c:numRef>
          </c:val>
          <c:smooth val="0"/>
          <c:extLst>
            <c:ext xmlns:c16="http://schemas.microsoft.com/office/drawing/2014/chart" uri="{C3380CC4-5D6E-409C-BE32-E72D297353CC}">
              <c16:uniqueId val="{00000002-31EF-4AAA-9AC8-A9D538888726}"/>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&lt;'!$T$10:$V$10</c:f>
              <c:numCache>
                <c:formatCode>0.0</c:formatCode>
                <c:ptCount val="3"/>
                <c:pt idx="0">
                  <c:v>-2</c:v>
                </c:pt>
                <c:pt idx="1">
                  <c:v>-2</c:v>
                </c:pt>
                <c:pt idx="2">
                  <c:v>-2</c:v>
                </c:pt>
              </c:numCache>
            </c:numRef>
          </c:val>
          <c:smooth val="0"/>
          <c:extLst>
            <c:ext xmlns:c16="http://schemas.microsoft.com/office/drawing/2014/chart" uri="{C3380CC4-5D6E-409C-BE32-E72D297353CC}">
              <c16:uniqueId val="{00000003-31EF-4AAA-9AC8-A9D538888726}"/>
            </c:ext>
          </c:extLst>
        </c:ser>
        <c:dLbls>
          <c:dLblPos val="t"/>
          <c:showLegendKey val="0"/>
          <c:showVal val="1"/>
          <c:showCatName val="0"/>
          <c:showSerName val="0"/>
          <c:showPercent val="0"/>
          <c:showBubbleSize val="0"/>
        </c:dLbls>
        <c:marker val="1"/>
        <c:smooth val="0"/>
        <c:axId val="418915456"/>
        <c:axId val="418916992"/>
      </c:lineChart>
      <c:dateAx>
        <c:axId val="4189154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916992"/>
        <c:crosses val="autoZero"/>
        <c:auto val="0"/>
        <c:lblOffset val="100"/>
        <c:baseTimeUnit val="days"/>
        <c:majorUnit val="1"/>
      </c:dateAx>
      <c:valAx>
        <c:axId val="41891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9154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4221603718968645E-2"/>
                  <c:y val="-0.11308949796093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E-43CC-877E-111B35E5297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&lt;'!$D$12</c:f>
              <c:numCache>
                <c:formatCode>0.00\ "mg"</c:formatCode>
                <c:ptCount val="1"/>
                <c:pt idx="0">
                  <c:v>#N/A</c:v>
                </c:pt>
              </c:numCache>
            </c:numRef>
          </c:val>
          <c:smooth val="0"/>
          <c:extLst>
            <c:ext xmlns:c16="http://schemas.microsoft.com/office/drawing/2014/chart" uri="{C3380CC4-5D6E-409C-BE32-E72D297353CC}">
              <c16:uniqueId val="{00000001-F68C-4E39-A057-58131372197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&lt;'!$Q$11:$S$11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F68C-4E39-A057-58131372197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&lt;'!$T$11:$V$11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3-F68C-4E39-A057-581313721978}"/>
            </c:ext>
          </c:extLst>
        </c:ser>
        <c:dLbls>
          <c:dLblPos val="t"/>
          <c:showLegendKey val="0"/>
          <c:showVal val="1"/>
          <c:showCatName val="0"/>
          <c:showSerName val="0"/>
          <c:showPercent val="0"/>
          <c:showBubbleSize val="0"/>
        </c:dLbls>
        <c:marker val="1"/>
        <c:smooth val="0"/>
        <c:axId val="418966528"/>
        <c:axId val="419054336"/>
      </c:lineChart>
      <c:dateAx>
        <c:axId val="4189665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054336"/>
        <c:crosses val="autoZero"/>
        <c:auto val="0"/>
        <c:lblOffset val="100"/>
        <c:baseTimeUnit val="days"/>
        <c:majorUnit val="1"/>
      </c:dateAx>
      <c:valAx>
        <c:axId val="419054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89665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252937188016949"/>
                  <c:y val="-7.865975748140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F-4349-A8FC-FAC0C4B6FA95}"/>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&lt;'!$E$14</c:f>
                <c:numCache>
                  <c:formatCode>General</c:formatCode>
                  <c:ptCount val="1"/>
                  <c:pt idx="0">
                    <c:v>0</c:v>
                  </c:pt>
                </c:numCache>
              </c:numRef>
            </c:plus>
            <c:minus>
              <c:numRef>
                <c:f>'gramo Pc &lt;'!$E$14</c:f>
                <c:numCache>
                  <c:formatCode>General</c:formatCode>
                  <c:ptCount val="1"/>
                  <c:pt idx="0">
                    <c:v>0</c:v>
                  </c:pt>
                </c:numCache>
              </c:numRef>
            </c:minus>
            <c:spPr>
              <a:noFill/>
              <a:ln w="22225" cap="flat" cmpd="sng" algn="ctr">
                <a:solidFill>
                  <a:srgbClr val="0070C0"/>
                </a:solidFill>
                <a:round/>
              </a:ln>
              <a:effectLst/>
            </c:spPr>
          </c:errBars>
          <c:val>
            <c:numRef>
              <c:f>'gramo Pc &lt;'!$D$14</c:f>
              <c:numCache>
                <c:formatCode>0.0\ "mg"</c:formatCode>
                <c:ptCount val="1"/>
                <c:pt idx="0">
                  <c:v>#N/A</c:v>
                </c:pt>
              </c:numCache>
            </c:numRef>
          </c:val>
          <c:smooth val="0"/>
          <c:extLst>
            <c:ext xmlns:c16="http://schemas.microsoft.com/office/drawing/2014/chart" uri="{C3380CC4-5D6E-409C-BE32-E72D297353CC}">
              <c16:uniqueId val="{00000001-7CCA-49DE-8E27-CC77F29DDE12}"/>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&lt;'!$Q$12:$S$12</c:f>
              <c:numCache>
                <c:formatCode>0.0</c:formatCode>
                <c:ptCount val="3"/>
                <c:pt idx="0">
                  <c:v>3</c:v>
                </c:pt>
                <c:pt idx="1">
                  <c:v>3</c:v>
                </c:pt>
                <c:pt idx="2">
                  <c:v>3</c:v>
                </c:pt>
              </c:numCache>
            </c:numRef>
          </c:val>
          <c:smooth val="0"/>
          <c:extLst>
            <c:ext xmlns:c16="http://schemas.microsoft.com/office/drawing/2014/chart" uri="{C3380CC4-5D6E-409C-BE32-E72D297353CC}">
              <c16:uniqueId val="{00000002-7CCA-49DE-8E27-CC77F29DDE12}"/>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&lt;'!$T$12:$V$12</c:f>
              <c:numCache>
                <c:formatCode>0.0</c:formatCode>
                <c:ptCount val="3"/>
                <c:pt idx="0">
                  <c:v>-3</c:v>
                </c:pt>
                <c:pt idx="1">
                  <c:v>-3</c:v>
                </c:pt>
                <c:pt idx="2">
                  <c:v>-3</c:v>
                </c:pt>
              </c:numCache>
            </c:numRef>
          </c:val>
          <c:smooth val="0"/>
          <c:extLst>
            <c:ext xmlns:c16="http://schemas.microsoft.com/office/drawing/2014/chart" uri="{C3380CC4-5D6E-409C-BE32-E72D297353CC}">
              <c16:uniqueId val="{00000003-7CCA-49DE-8E27-CC77F29DDE12}"/>
            </c:ext>
          </c:extLst>
        </c:ser>
        <c:dLbls>
          <c:dLblPos val="t"/>
          <c:showLegendKey val="0"/>
          <c:showVal val="1"/>
          <c:showCatName val="0"/>
          <c:showSerName val="0"/>
          <c:showPercent val="0"/>
          <c:showBubbleSize val="0"/>
        </c:dLbls>
        <c:marker val="1"/>
        <c:smooth val="0"/>
        <c:axId val="419116160"/>
        <c:axId val="419117696"/>
      </c:lineChart>
      <c:dateAx>
        <c:axId val="4191161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117696"/>
        <c:crosses val="autoZero"/>
        <c:auto val="0"/>
        <c:lblOffset val="100"/>
        <c:baseTimeUnit val="days"/>
        <c:majorUnit val="1"/>
      </c:dateAx>
      <c:valAx>
        <c:axId val="419117696"/>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116160"/>
        <c:crossesAt val="1"/>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461115974030952"/>
                  <c:y val="-0.191361142452150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52-8249-4066A1B13ACF}"/>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&lt;'!$E$15</c:f>
                <c:numCache>
                  <c:formatCode>General</c:formatCode>
                  <c:ptCount val="1"/>
                  <c:pt idx="0">
                    <c:v>0</c:v>
                  </c:pt>
                </c:numCache>
              </c:numRef>
            </c:plus>
            <c:minus>
              <c:numRef>
                <c:f>'gramo Pc &lt;'!$E$15</c:f>
                <c:numCache>
                  <c:formatCode>General</c:formatCode>
                  <c:ptCount val="1"/>
                  <c:pt idx="0">
                    <c:v>0</c:v>
                  </c:pt>
                </c:numCache>
              </c:numRef>
            </c:minus>
            <c:spPr>
              <a:noFill/>
              <a:ln w="22225" cap="flat" cmpd="sng" algn="ctr">
                <a:solidFill>
                  <a:srgbClr val="0070C0"/>
                </a:solidFill>
                <a:round/>
              </a:ln>
              <a:effectLst/>
            </c:spPr>
          </c:errBars>
          <c:val>
            <c:numRef>
              <c:f>'gramo Pc &lt;'!$D$15</c:f>
              <c:numCache>
                <c:formatCode>0.0\ "mg"</c:formatCode>
                <c:ptCount val="1"/>
                <c:pt idx="0">
                  <c:v>#N/A</c:v>
                </c:pt>
              </c:numCache>
            </c:numRef>
          </c:val>
          <c:smooth val="0"/>
          <c:extLst>
            <c:ext xmlns:c16="http://schemas.microsoft.com/office/drawing/2014/chart" uri="{C3380CC4-5D6E-409C-BE32-E72D297353CC}">
              <c16:uniqueId val="{00000001-5DAA-439F-883B-6DB42530EB8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&lt;'!$Q$13:$S$13</c:f>
              <c:numCache>
                <c:formatCode>0.0</c:formatCode>
                <c:ptCount val="3"/>
                <c:pt idx="0">
                  <c:v>5</c:v>
                </c:pt>
                <c:pt idx="1">
                  <c:v>5</c:v>
                </c:pt>
                <c:pt idx="2">
                  <c:v>5</c:v>
                </c:pt>
              </c:numCache>
            </c:numRef>
          </c:val>
          <c:smooth val="0"/>
          <c:extLst>
            <c:ext xmlns:c16="http://schemas.microsoft.com/office/drawing/2014/chart" uri="{C3380CC4-5D6E-409C-BE32-E72D297353CC}">
              <c16:uniqueId val="{00000002-5DAA-439F-883B-6DB42530EB8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&lt;'!$T$13:$V$13</c:f>
              <c:numCache>
                <c:formatCode>0.0</c:formatCode>
                <c:ptCount val="3"/>
                <c:pt idx="0">
                  <c:v>-5</c:v>
                </c:pt>
                <c:pt idx="1">
                  <c:v>-5</c:v>
                </c:pt>
                <c:pt idx="2">
                  <c:v>-5</c:v>
                </c:pt>
              </c:numCache>
            </c:numRef>
          </c:val>
          <c:smooth val="0"/>
          <c:extLst>
            <c:ext xmlns:c16="http://schemas.microsoft.com/office/drawing/2014/chart" uri="{C3380CC4-5D6E-409C-BE32-E72D297353CC}">
              <c16:uniqueId val="{00000003-5DAA-439F-883B-6DB42530EB88}"/>
            </c:ext>
          </c:extLst>
        </c:ser>
        <c:dLbls>
          <c:dLblPos val="t"/>
          <c:showLegendKey val="0"/>
          <c:showVal val="1"/>
          <c:showCatName val="0"/>
          <c:showSerName val="0"/>
          <c:showPercent val="0"/>
          <c:showBubbleSize val="0"/>
        </c:dLbls>
        <c:marker val="1"/>
        <c:smooth val="0"/>
        <c:axId val="419167232"/>
        <c:axId val="419185408"/>
      </c:lineChart>
      <c:dateAx>
        <c:axId val="4191672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185408"/>
        <c:crosses val="autoZero"/>
        <c:auto val="0"/>
        <c:lblOffset val="100"/>
        <c:baseTimeUnit val="days"/>
        <c:majorUnit val="1"/>
      </c:dateAx>
      <c:valAx>
        <c:axId val="419185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1672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8554992154772205E-3"/>
                  <c:y val="-0.13768216973203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71D-9D35-70935810CEC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&lt;'!$D$16</c:f>
              <c:numCache>
                <c:formatCode>0.0\ "mg"</c:formatCode>
                <c:ptCount val="1"/>
                <c:pt idx="0">
                  <c:v>#N/A</c:v>
                </c:pt>
              </c:numCache>
            </c:numRef>
          </c:val>
          <c:smooth val="0"/>
          <c:extLst>
            <c:ext xmlns:c16="http://schemas.microsoft.com/office/drawing/2014/chart" uri="{C3380CC4-5D6E-409C-BE32-E72D297353CC}">
              <c16:uniqueId val="{00000001-DC0D-472D-A1F3-4A0F4BE10113}"/>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&lt;'!$Q$14:$S$14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DC0D-472D-A1F3-4A0F4BE10113}"/>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&lt;'!$T$14:$V$14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3-DC0D-472D-A1F3-4A0F4BE10113}"/>
            </c:ext>
          </c:extLst>
        </c:ser>
        <c:dLbls>
          <c:dLblPos val="t"/>
          <c:showLegendKey val="0"/>
          <c:showVal val="1"/>
          <c:showCatName val="0"/>
          <c:showSerName val="0"/>
          <c:showPercent val="0"/>
          <c:showBubbleSize val="0"/>
        </c:dLbls>
        <c:marker val="1"/>
        <c:smooth val="0"/>
        <c:axId val="419222656"/>
        <c:axId val="419224192"/>
      </c:lineChart>
      <c:dateAx>
        <c:axId val="4192226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224192"/>
        <c:crosses val="autoZero"/>
        <c:auto val="0"/>
        <c:lblOffset val="100"/>
        <c:baseTimeUnit val="days"/>
        <c:majorUnit val="1"/>
      </c:dateAx>
      <c:valAx>
        <c:axId val="419224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2226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3783310139461319"/>
                  <c:y val="-0.117358389785677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C-487B-93B7-C3FDBD3308A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8</c:v>
                </c:pt>
              </c:numLit>
            </c:plus>
            <c:minus>
              <c:numLit>
                <c:formatCode>General</c:formatCode>
                <c:ptCount val="1"/>
                <c:pt idx="0">
                  <c:v>8</c:v>
                </c:pt>
              </c:numLit>
            </c:minus>
            <c:spPr>
              <a:noFill/>
              <a:ln w="22225" cap="flat" cmpd="sng" algn="ctr">
                <a:solidFill>
                  <a:srgbClr val="0070C0"/>
                </a:solidFill>
                <a:round/>
              </a:ln>
              <a:effectLst/>
            </c:spPr>
          </c:errBars>
          <c:val>
            <c:numRef>
              <c:f>'gramo Pc &lt;'!$D$18</c:f>
              <c:numCache>
                <c:formatCode>0\ "mg"</c:formatCode>
                <c:ptCount val="1"/>
                <c:pt idx="0">
                  <c:v>#N/A</c:v>
                </c:pt>
              </c:numCache>
            </c:numRef>
          </c:val>
          <c:smooth val="0"/>
          <c:extLst>
            <c:ext xmlns:c16="http://schemas.microsoft.com/office/drawing/2014/chart" uri="{C3380CC4-5D6E-409C-BE32-E72D297353CC}">
              <c16:uniqueId val="{00000001-2F87-4126-872C-E02D60CDCD01}"/>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&lt;'!$Q$15:$S$15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2-2F87-4126-872C-E02D60CDCD01}"/>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&lt;'!$T$15:$V$15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3-2F87-4126-872C-E02D60CDCD01}"/>
            </c:ext>
          </c:extLst>
        </c:ser>
        <c:dLbls>
          <c:dLblPos val="t"/>
          <c:showLegendKey val="0"/>
          <c:showVal val="1"/>
          <c:showCatName val="0"/>
          <c:showSerName val="0"/>
          <c:showPercent val="0"/>
          <c:showBubbleSize val="0"/>
        </c:dLbls>
        <c:marker val="1"/>
        <c:smooth val="0"/>
        <c:axId val="419355648"/>
        <c:axId val="419365632"/>
      </c:lineChart>
      <c:dateAx>
        <c:axId val="4193556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365632"/>
        <c:crosses val="autoZero"/>
        <c:auto val="0"/>
        <c:lblOffset val="100"/>
        <c:baseTimeUnit val="days"/>
        <c:majorUnit val="1"/>
      </c:dateAx>
      <c:valAx>
        <c:axId val="41936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035835305562716E-3"/>
              <c:y val="0.14087218230469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355648"/>
        <c:crossesAt val="1"/>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a:t>
            </a:r>
            <a:r>
              <a:rPr lang="en-US" baseline="0"/>
              <a:t>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874787740505234"/>
                  <c:y val="6.5275002953155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8-493D-8D6E-345076264C5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16</c:v>
                </c:pt>
              </c:numLit>
            </c:plus>
            <c:minus>
              <c:numLit>
                <c:formatCode>General</c:formatCode>
                <c:ptCount val="1"/>
                <c:pt idx="0">
                  <c:v>16</c:v>
                </c:pt>
              </c:numLit>
            </c:minus>
            <c:spPr>
              <a:noFill/>
              <a:ln w="22225" cap="flat" cmpd="sng" algn="ctr">
                <a:solidFill>
                  <a:srgbClr val="0070C0"/>
                </a:solidFill>
                <a:round/>
              </a:ln>
              <a:effectLst/>
            </c:spPr>
          </c:errBars>
          <c:val>
            <c:numRef>
              <c:f>'gramo Pc &lt;'!$D$19</c:f>
              <c:numCache>
                <c:formatCode>0\ "mg"</c:formatCode>
                <c:ptCount val="1"/>
                <c:pt idx="0">
                  <c:v>#N/A</c:v>
                </c:pt>
              </c:numCache>
            </c:numRef>
          </c:val>
          <c:smooth val="0"/>
          <c:extLst>
            <c:ext xmlns:c16="http://schemas.microsoft.com/office/drawing/2014/chart" uri="{C3380CC4-5D6E-409C-BE32-E72D297353CC}">
              <c16:uniqueId val="{00000001-AF56-4D2C-BE89-675743B6C381}"/>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&lt;'!$Q$16:$S$16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2-AF56-4D2C-BE89-675743B6C381}"/>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&lt;'!$T$16:$V$16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3-AF56-4D2C-BE89-675743B6C381}"/>
            </c:ext>
          </c:extLst>
        </c:ser>
        <c:dLbls>
          <c:dLblPos val="t"/>
          <c:showLegendKey val="0"/>
          <c:showVal val="1"/>
          <c:showCatName val="0"/>
          <c:showSerName val="0"/>
          <c:showPercent val="0"/>
          <c:showBubbleSize val="0"/>
        </c:dLbls>
        <c:marker val="1"/>
        <c:smooth val="0"/>
        <c:axId val="419431552"/>
        <c:axId val="419433088"/>
      </c:lineChart>
      <c:dateAx>
        <c:axId val="4194315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433088"/>
        <c:crosses val="autoZero"/>
        <c:auto val="0"/>
        <c:lblOffset val="100"/>
        <c:baseTimeUnit val="days"/>
        <c:majorUnit val="1"/>
      </c:dateAx>
      <c:valAx>
        <c:axId val="419433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4315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8020144810635219E-2"/>
                  <c:y val="-0.149971495631898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01-441F-9CF6-B138230FD74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&lt;'!$D$20</c:f>
              <c:numCache>
                <c:formatCode>0\ "mg"</c:formatCode>
                <c:ptCount val="1"/>
                <c:pt idx="0">
                  <c:v>#N/A</c:v>
                </c:pt>
              </c:numCache>
            </c:numRef>
          </c:val>
          <c:smooth val="0"/>
          <c:extLst>
            <c:ext xmlns:c16="http://schemas.microsoft.com/office/drawing/2014/chart" uri="{C3380CC4-5D6E-409C-BE32-E72D297353CC}">
              <c16:uniqueId val="{00000001-FC94-40DC-B8EB-8F3D7DE5494B}"/>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&lt;'!$Q$17:$S$17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FC94-40DC-B8EB-8F3D7DE5494B}"/>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&lt;'!$T$17:$V$17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FC94-40DC-B8EB-8F3D7DE5494B}"/>
            </c:ext>
          </c:extLst>
        </c:ser>
        <c:dLbls>
          <c:dLblPos val="t"/>
          <c:showLegendKey val="0"/>
          <c:showVal val="1"/>
          <c:showCatName val="0"/>
          <c:showSerName val="0"/>
          <c:showPercent val="0"/>
          <c:showBubbleSize val="0"/>
        </c:dLbls>
        <c:marker val="1"/>
        <c:smooth val="0"/>
        <c:axId val="419474432"/>
        <c:axId val="426443520"/>
      </c:lineChart>
      <c:dateAx>
        <c:axId val="4194744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6443520"/>
        <c:crosses val="autoZero"/>
        <c:auto val="0"/>
        <c:lblOffset val="100"/>
        <c:baseTimeUnit val="days"/>
        <c:majorUnit val="1"/>
      </c:dateAx>
      <c:valAx>
        <c:axId val="426443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94744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294-8B34-E137E1DD63C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294-8B34-E137E1DD63C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9E-4294-8B34-E137E1DD63C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9E-4294-8B34-E137E1DD63C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&lt; '!$G$59,'20 mg + &lt; '!$G$62,'20 mg + &lt; '!$G$66:$G$67,'20 mg +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F29E-4294-8B34-E137E1DD63C2}"/>
            </c:ext>
          </c:extLst>
        </c:ser>
        <c:dLbls>
          <c:dLblPos val="inEnd"/>
          <c:showLegendKey val="0"/>
          <c:showVal val="1"/>
          <c:showCatName val="0"/>
          <c:showSerName val="0"/>
          <c:showPercent val="0"/>
          <c:showBubbleSize val="0"/>
        </c:dLbls>
        <c:gapWidth val="65"/>
        <c:axId val="533111936"/>
        <c:axId val="533136512"/>
      </c:barChart>
      <c:catAx>
        <c:axId val="5331119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533136512"/>
        <c:crosses val="autoZero"/>
        <c:auto val="1"/>
        <c:lblAlgn val="ctr"/>
        <c:lblOffset val="100"/>
        <c:noMultiLvlLbl val="0"/>
      </c:catAx>
      <c:valAx>
        <c:axId val="5331365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3311193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5059789137033145E-2"/>
                  <c:y val="-0.156494116801142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8-4D86-A06C-B20BE7E55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&lt;'!$E$22</c:f>
                <c:numCache>
                  <c:formatCode>General</c:formatCode>
                  <c:ptCount val="1"/>
                  <c:pt idx="0">
                    <c:v>0</c:v>
                  </c:pt>
                </c:numCache>
              </c:numRef>
            </c:plus>
            <c:minus>
              <c:numRef>
                <c:f>'gramo Pc &lt;'!$E$22</c:f>
                <c:numCache>
                  <c:formatCode>General</c:formatCode>
                  <c:ptCount val="1"/>
                  <c:pt idx="0">
                    <c:v>0</c:v>
                  </c:pt>
                </c:numCache>
              </c:numRef>
            </c:minus>
            <c:spPr>
              <a:noFill/>
              <a:ln w="22225" cap="flat" cmpd="sng" algn="ctr">
                <a:solidFill>
                  <a:srgbClr val="0070C0"/>
                </a:solidFill>
                <a:round/>
              </a:ln>
              <a:effectLst/>
            </c:spPr>
          </c:errBars>
          <c:val>
            <c:numRef>
              <c:f>'gramo Pc &lt;'!$D$22</c:f>
              <c:numCache>
                <c:formatCode>0\ "mg"</c:formatCode>
                <c:ptCount val="1"/>
                <c:pt idx="0">
                  <c:v>#N/A</c:v>
                </c:pt>
              </c:numCache>
            </c:numRef>
          </c:val>
          <c:smooth val="0"/>
          <c:extLst>
            <c:ext xmlns:c16="http://schemas.microsoft.com/office/drawing/2014/chart" uri="{C3380CC4-5D6E-409C-BE32-E72D297353CC}">
              <c16:uniqueId val="{00000001-618D-4672-B295-C85A2AAF7F6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&lt;'!$Q$18:$S$18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618D-4672-B295-C85A2AAF7F6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&lt;'!$T$18:$V$18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3-618D-4672-B295-C85A2AAF7F68}"/>
            </c:ext>
          </c:extLst>
        </c:ser>
        <c:dLbls>
          <c:dLblPos val="t"/>
          <c:showLegendKey val="0"/>
          <c:showVal val="1"/>
          <c:showCatName val="0"/>
          <c:showSerName val="0"/>
          <c:showPercent val="0"/>
          <c:showBubbleSize val="0"/>
        </c:dLbls>
        <c:marker val="1"/>
        <c:smooth val="0"/>
        <c:axId val="426501248"/>
        <c:axId val="426502784"/>
      </c:lineChart>
      <c:dateAx>
        <c:axId val="4265012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6502784"/>
        <c:crosses val="autoZero"/>
        <c:auto val="0"/>
        <c:lblOffset val="100"/>
        <c:baseTimeUnit val="days"/>
        <c:majorUnit val="1"/>
      </c:dateAx>
      <c:valAx>
        <c:axId val="426502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650124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039572056076257"/>
                  <c:y val="1.3094033599202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9-484D-93F5-80251483D6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&lt;'!$E$23</c:f>
                <c:numCache>
                  <c:formatCode>General</c:formatCode>
                  <c:ptCount val="1"/>
                  <c:pt idx="0">
                    <c:v>0</c:v>
                  </c:pt>
                </c:numCache>
              </c:numRef>
            </c:plus>
            <c:minus>
              <c:numRef>
                <c:f>'gramo Pc &lt;'!$E$23</c:f>
                <c:numCache>
                  <c:formatCode>General</c:formatCode>
                  <c:ptCount val="1"/>
                  <c:pt idx="0">
                    <c:v>0</c:v>
                  </c:pt>
                </c:numCache>
              </c:numRef>
            </c:minus>
            <c:spPr>
              <a:noFill/>
              <a:ln w="22225" cap="flat" cmpd="sng" algn="ctr">
                <a:solidFill>
                  <a:srgbClr val="0070C0"/>
                </a:solidFill>
                <a:round/>
              </a:ln>
              <a:effectLst/>
            </c:spPr>
          </c:errBars>
          <c:val>
            <c:numRef>
              <c:f>'gramo Pc &lt;'!$D$23</c:f>
              <c:numCache>
                <c:formatCode>0.00\ "g"</c:formatCode>
                <c:ptCount val="1"/>
                <c:pt idx="0">
                  <c:v>#N/A</c:v>
                </c:pt>
              </c:numCache>
            </c:numRef>
          </c:val>
          <c:smooth val="0"/>
          <c:extLst>
            <c:ext xmlns:c16="http://schemas.microsoft.com/office/drawing/2014/chart" uri="{C3380CC4-5D6E-409C-BE32-E72D297353CC}">
              <c16:uniqueId val="{00000001-B906-4CBA-8A5C-515724D7D910}"/>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&lt;'!$Q$19:$S$19</c:f>
              <c:numCache>
                <c:formatCode>0.00</c:formatCode>
                <c:ptCount val="3"/>
                <c:pt idx="0">
                  <c:v>0.5</c:v>
                </c:pt>
                <c:pt idx="1">
                  <c:v>0.5</c:v>
                </c:pt>
                <c:pt idx="2">
                  <c:v>0.5</c:v>
                </c:pt>
              </c:numCache>
            </c:numRef>
          </c:val>
          <c:smooth val="0"/>
          <c:extLst>
            <c:ext xmlns:c16="http://schemas.microsoft.com/office/drawing/2014/chart" uri="{C3380CC4-5D6E-409C-BE32-E72D297353CC}">
              <c16:uniqueId val="{00000002-B906-4CBA-8A5C-515724D7D910}"/>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&lt;'!$T$19:$V$19</c:f>
              <c:numCache>
                <c:formatCode>0.00</c:formatCode>
                <c:ptCount val="3"/>
                <c:pt idx="0">
                  <c:v>-0.5</c:v>
                </c:pt>
                <c:pt idx="1">
                  <c:v>-0.5</c:v>
                </c:pt>
                <c:pt idx="2">
                  <c:v>-0.5</c:v>
                </c:pt>
              </c:numCache>
            </c:numRef>
          </c:val>
          <c:smooth val="0"/>
          <c:extLst>
            <c:ext xmlns:c16="http://schemas.microsoft.com/office/drawing/2014/chart" uri="{C3380CC4-5D6E-409C-BE32-E72D297353CC}">
              <c16:uniqueId val="{00000003-B906-4CBA-8A5C-515724D7D910}"/>
            </c:ext>
          </c:extLst>
        </c:ser>
        <c:dLbls>
          <c:dLblPos val="t"/>
          <c:showLegendKey val="0"/>
          <c:showVal val="1"/>
          <c:showCatName val="0"/>
          <c:showSerName val="0"/>
          <c:showPercent val="0"/>
          <c:showBubbleSize val="0"/>
        </c:dLbls>
        <c:marker val="1"/>
        <c:smooth val="0"/>
        <c:axId val="426659200"/>
        <c:axId val="426677376"/>
      </c:lineChart>
      <c:dateAx>
        <c:axId val="4266592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6677376"/>
        <c:crosses val="autoZero"/>
        <c:auto val="0"/>
        <c:lblOffset val="100"/>
        <c:baseTimeUnit val="days"/>
        <c:majorUnit val="1"/>
      </c:dateAx>
      <c:valAx>
        <c:axId val="426677376"/>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665920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3685184056755712E-2"/>
                  <c:y val="-0.15649411680114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21-4FB0-A1FC-A334DBC9A4D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&lt;'!$E$26</c:f>
                <c:numCache>
                  <c:formatCode>General</c:formatCode>
                  <c:ptCount val="1"/>
                  <c:pt idx="0">
                    <c:v>0</c:v>
                  </c:pt>
                </c:numCache>
              </c:numRef>
            </c:plus>
            <c:minus>
              <c:numRef>
                <c:f>'gramo Pc &lt;'!$E$26</c:f>
                <c:numCache>
                  <c:formatCode>General</c:formatCode>
                  <c:ptCount val="1"/>
                  <c:pt idx="0">
                    <c:v>0</c:v>
                  </c:pt>
                </c:numCache>
              </c:numRef>
            </c:minus>
            <c:spPr>
              <a:noFill/>
              <a:ln w="22225" cap="flat" cmpd="sng" algn="ctr">
                <a:solidFill>
                  <a:srgbClr val="0070C0"/>
                </a:solidFill>
                <a:round/>
              </a:ln>
              <a:effectLst/>
            </c:spPr>
          </c:errBars>
          <c:val>
            <c:numRef>
              <c:f>'gramo Pc &lt;'!$D$26</c:f>
              <c:numCache>
                <c:formatCode>0.00\ "g"</c:formatCode>
                <c:ptCount val="1"/>
                <c:pt idx="0">
                  <c:v>#N/A</c:v>
                </c:pt>
              </c:numCache>
            </c:numRef>
          </c:val>
          <c:smooth val="0"/>
          <c:extLst>
            <c:ext xmlns:c16="http://schemas.microsoft.com/office/drawing/2014/chart" uri="{C3380CC4-5D6E-409C-BE32-E72D297353CC}">
              <c16:uniqueId val="{00000001-ED23-4877-B7A6-595D04220879}"/>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&lt;'!$Q$20:$S$20</c:f>
              <c:numCache>
                <c:formatCode>General</c:formatCode>
                <c:ptCount val="3"/>
                <c:pt idx="0">
                  <c:v>1</c:v>
                </c:pt>
                <c:pt idx="1">
                  <c:v>1</c:v>
                </c:pt>
                <c:pt idx="2">
                  <c:v>1</c:v>
                </c:pt>
              </c:numCache>
            </c:numRef>
          </c:val>
          <c:smooth val="0"/>
          <c:extLst>
            <c:ext xmlns:c16="http://schemas.microsoft.com/office/drawing/2014/chart" uri="{C3380CC4-5D6E-409C-BE32-E72D297353CC}">
              <c16:uniqueId val="{00000002-ED23-4877-B7A6-595D04220879}"/>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&lt;'!$T$20:$V$20</c:f>
              <c:numCache>
                <c:formatCode>General</c:formatCode>
                <c:ptCount val="3"/>
                <c:pt idx="0">
                  <c:v>-1</c:v>
                </c:pt>
                <c:pt idx="1">
                  <c:v>-1</c:v>
                </c:pt>
                <c:pt idx="2">
                  <c:v>-1</c:v>
                </c:pt>
              </c:numCache>
            </c:numRef>
          </c:val>
          <c:smooth val="0"/>
          <c:extLst>
            <c:ext xmlns:c16="http://schemas.microsoft.com/office/drawing/2014/chart" uri="{C3380CC4-5D6E-409C-BE32-E72D297353CC}">
              <c16:uniqueId val="{00000003-ED23-4877-B7A6-595D04220879}"/>
            </c:ext>
          </c:extLst>
        </c:ser>
        <c:dLbls>
          <c:dLblPos val="t"/>
          <c:showLegendKey val="0"/>
          <c:showVal val="1"/>
          <c:showCatName val="0"/>
          <c:showSerName val="0"/>
          <c:showPercent val="0"/>
          <c:showBubbleSize val="0"/>
        </c:dLbls>
        <c:marker val="1"/>
        <c:smooth val="0"/>
        <c:axId val="426714624"/>
        <c:axId val="426716160"/>
      </c:lineChart>
      <c:dateAx>
        <c:axId val="4267146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6716160"/>
        <c:crosses val="autoZero"/>
        <c:auto val="0"/>
        <c:lblOffset val="100"/>
        <c:baseTimeUnit val="days"/>
        <c:majorUnit val="1"/>
      </c:dateAx>
      <c:valAx>
        <c:axId val="426716160"/>
        <c:scaling>
          <c:orientation val="minMax"/>
          <c:max val="1.3"/>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786275107210986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6714624"/>
        <c:crossesAt val="1"/>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0891117116168212E-2"/>
                  <c:y val="-0.16361406658734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E-443A-A7EF-1505B9FFDEE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&lt;'!$D$9</c:f>
              <c:numCache>
                <c:formatCode>0.00\ "mg"</c:formatCode>
                <c:ptCount val="1"/>
                <c:pt idx="0">
                  <c:v>#N/A</c:v>
                </c:pt>
              </c:numCache>
            </c:numRef>
          </c:val>
          <c:smooth val="0"/>
          <c:extLst>
            <c:ext xmlns:c16="http://schemas.microsoft.com/office/drawing/2014/chart" uri="{C3380CC4-5D6E-409C-BE32-E72D297353CC}">
              <c16:uniqueId val="{00000000-404E-443A-A7EF-1505B9FFDEE0}"/>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&lt;'!$Q$8:$S$8</c:f>
              <c:numCache>
                <c:formatCode>General</c:formatCode>
                <c:ptCount val="3"/>
                <c:pt idx="0">
                  <c:v>1.2</c:v>
                </c:pt>
                <c:pt idx="1">
                  <c:v>1.2</c:v>
                </c:pt>
                <c:pt idx="2">
                  <c:v>1.2</c:v>
                </c:pt>
              </c:numCache>
            </c:numRef>
          </c:val>
          <c:smooth val="0"/>
          <c:extLst>
            <c:ext xmlns:c16="http://schemas.microsoft.com/office/drawing/2014/chart" uri="{C3380CC4-5D6E-409C-BE32-E72D297353CC}">
              <c16:uniqueId val="{00000001-404E-443A-A7EF-1505B9FFDEE0}"/>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&lt;'!$T$8:$V$8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04E-443A-A7EF-1505B9FFDEE0}"/>
            </c:ext>
          </c:extLst>
        </c:ser>
        <c:dLbls>
          <c:dLblPos val="t"/>
          <c:showLegendKey val="0"/>
          <c:showVal val="1"/>
          <c:showCatName val="0"/>
          <c:showSerName val="0"/>
          <c:showPercent val="0"/>
          <c:showBubbleSize val="0"/>
        </c:dLbls>
        <c:marker val="1"/>
        <c:smooth val="0"/>
        <c:axId val="426844544"/>
        <c:axId val="426846080"/>
      </c:lineChart>
      <c:dateAx>
        <c:axId val="4268445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6846080"/>
        <c:crosses val="autoZero"/>
        <c:auto val="0"/>
        <c:lblOffset val="100"/>
        <c:baseTimeUnit val="days"/>
        <c:majorUnit val="1"/>
      </c:dateAx>
      <c:valAx>
        <c:axId val="426846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68445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a:t>
            </a:r>
            <a:r>
              <a:rPr lang="en-US" baseline="0"/>
              <a:t> * </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6102064542243891E-2"/>
                  <c:y val="-9.3415360544059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2-4FEB-A916-BE64AD35233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&lt;'!$D$13</c:f>
              <c:numCache>
                <c:formatCode>0.00\ "mg"</c:formatCode>
                <c:ptCount val="1"/>
                <c:pt idx="0">
                  <c:v>#N/A</c:v>
                </c:pt>
              </c:numCache>
            </c:numRef>
          </c:val>
          <c:smooth val="0"/>
          <c:extLst>
            <c:ext xmlns:c16="http://schemas.microsoft.com/office/drawing/2014/chart" uri="{C3380CC4-5D6E-409C-BE32-E72D297353CC}">
              <c16:uniqueId val="{00000000-36B2-4FEB-A916-BE64AD35233A}"/>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&lt;'!$Q$11:$S$11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1-36B2-4FEB-A916-BE64AD35233A}"/>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&lt;'!$T$11:$V$11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36B2-4FEB-A916-BE64AD35233A}"/>
            </c:ext>
          </c:extLst>
        </c:ser>
        <c:dLbls>
          <c:dLblPos val="t"/>
          <c:showLegendKey val="0"/>
          <c:showVal val="1"/>
          <c:showCatName val="0"/>
          <c:showSerName val="0"/>
          <c:showPercent val="0"/>
          <c:showBubbleSize val="0"/>
        </c:dLbls>
        <c:marker val="1"/>
        <c:smooth val="0"/>
        <c:axId val="427084032"/>
        <c:axId val="427200512"/>
      </c:lineChart>
      <c:dateAx>
        <c:axId val="4270840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7200512"/>
        <c:crosses val="autoZero"/>
        <c:auto val="0"/>
        <c:lblOffset val="100"/>
        <c:baseTimeUnit val="days"/>
        <c:majorUnit val="1"/>
      </c:dateAx>
      <c:valAx>
        <c:axId val="42720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270840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8452226463766591E-2"/>
                  <c:y val="-0.11800803231515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BB-4C48-B101-471900CA74E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&lt;'!$D$17</c:f>
              <c:numCache>
                <c:formatCode>0.0\ "mg"</c:formatCode>
                <c:ptCount val="1"/>
                <c:pt idx="0">
                  <c:v>#N/A</c:v>
                </c:pt>
              </c:numCache>
            </c:numRef>
          </c:val>
          <c:smooth val="0"/>
          <c:extLst>
            <c:ext xmlns:c16="http://schemas.microsoft.com/office/drawing/2014/chart" uri="{C3380CC4-5D6E-409C-BE32-E72D297353CC}">
              <c16:uniqueId val="{00000000-56BB-4C48-B101-471900CA74E3}"/>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&lt;'!$Q$14:$S$14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1-56BB-4C48-B101-471900CA74E3}"/>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&lt;'!$T$14:$V$14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56BB-4C48-B101-471900CA74E3}"/>
            </c:ext>
          </c:extLst>
        </c:ser>
        <c:dLbls>
          <c:dLblPos val="t"/>
          <c:showLegendKey val="0"/>
          <c:showVal val="1"/>
          <c:showCatName val="0"/>
          <c:showSerName val="0"/>
          <c:showPercent val="0"/>
          <c:showBubbleSize val="0"/>
        </c:dLbls>
        <c:marker val="1"/>
        <c:smooth val="0"/>
        <c:axId val="432718208"/>
        <c:axId val="432719744"/>
      </c:lineChart>
      <c:dateAx>
        <c:axId val="4327182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719744"/>
        <c:crosses val="autoZero"/>
        <c:auto val="0"/>
        <c:lblOffset val="100"/>
        <c:baseTimeUnit val="days"/>
        <c:majorUnit val="1"/>
      </c:dateAx>
      <c:valAx>
        <c:axId val="432719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71820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6657026810725542E-3"/>
                  <c:y val="-0.16953935913963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F-4544-8FC2-7C95B4CE295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&lt;'!$D$21</c:f>
              <c:numCache>
                <c:formatCode>0\ "mg"</c:formatCode>
                <c:ptCount val="1"/>
                <c:pt idx="0">
                  <c:v>#N/A</c:v>
                </c:pt>
              </c:numCache>
            </c:numRef>
          </c:val>
          <c:smooth val="0"/>
          <c:extLst>
            <c:ext xmlns:c16="http://schemas.microsoft.com/office/drawing/2014/chart" uri="{C3380CC4-5D6E-409C-BE32-E72D297353CC}">
              <c16:uniqueId val="{00000001-816F-4544-8FC2-7C95B4CE2953}"/>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&lt;'!$Q$17:$S$17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816F-4544-8FC2-7C95B4CE2953}"/>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&lt;'!$T$17:$V$17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816F-4544-8FC2-7C95B4CE2953}"/>
            </c:ext>
          </c:extLst>
        </c:ser>
        <c:dLbls>
          <c:dLblPos val="t"/>
          <c:showLegendKey val="0"/>
          <c:showVal val="1"/>
          <c:showCatName val="0"/>
          <c:showSerName val="0"/>
          <c:showPercent val="0"/>
          <c:showBubbleSize val="0"/>
        </c:dLbls>
        <c:marker val="1"/>
        <c:smooth val="0"/>
        <c:axId val="432797952"/>
        <c:axId val="435965952"/>
      </c:lineChart>
      <c:dateAx>
        <c:axId val="4327979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5965952"/>
        <c:crosses val="autoZero"/>
        <c:auto val="0"/>
        <c:lblOffset val="100"/>
        <c:baseTimeUnit val="days"/>
        <c:majorUnit val="1"/>
      </c:dateAx>
      <c:valAx>
        <c:axId val="43596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7979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 @</a:t>
            </a:r>
            <a:r>
              <a:rPr lang="en-US" baseline="0"/>
              <a:t> (C)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3042898879498391E-2"/>
                  <c:y val="-9.779052627794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40B-BD5C-E5955DA01DC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&lt;'!$E$24</c:f>
                <c:numCache>
                  <c:formatCode>General</c:formatCode>
                  <c:ptCount val="1"/>
                  <c:pt idx="0">
                    <c:v>0</c:v>
                  </c:pt>
                </c:numCache>
              </c:numRef>
            </c:plus>
            <c:minus>
              <c:numRef>
                <c:f>'gramo Pc &lt;'!$E$24</c:f>
                <c:numCache>
                  <c:formatCode>General</c:formatCode>
                  <c:ptCount val="1"/>
                  <c:pt idx="0">
                    <c:v>0</c:v>
                  </c:pt>
                </c:numCache>
              </c:numRef>
            </c:minus>
            <c:spPr>
              <a:noFill/>
              <a:ln w="22225" cap="flat" cmpd="sng" algn="ctr">
                <a:solidFill>
                  <a:srgbClr val="0070C0"/>
                </a:solidFill>
                <a:round/>
              </a:ln>
              <a:effectLst/>
            </c:spPr>
          </c:errBars>
          <c:val>
            <c:numRef>
              <c:f>'gramo Pc &lt;'!$D$24</c:f>
              <c:numCache>
                <c:formatCode>0.00\ "g"</c:formatCode>
                <c:ptCount val="1"/>
                <c:pt idx="0">
                  <c:v>#N/A</c:v>
                </c:pt>
              </c:numCache>
            </c:numRef>
          </c:val>
          <c:smooth val="0"/>
          <c:extLst>
            <c:ext xmlns:c16="http://schemas.microsoft.com/office/drawing/2014/chart" uri="{C3380CC4-5D6E-409C-BE32-E72D297353CC}">
              <c16:uniqueId val="{00000000-E50A-440B-BD5C-E5955DA01DC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&lt;'!$Q$18:$S$18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1-E50A-440B-BD5C-E5955DA01DC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&lt;'!$T$18:$V$18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E50A-440B-BD5C-E5955DA01DC8}"/>
            </c:ext>
          </c:extLst>
        </c:ser>
        <c:dLbls>
          <c:dLblPos val="t"/>
          <c:showLegendKey val="0"/>
          <c:showVal val="1"/>
          <c:showCatName val="0"/>
          <c:showSerName val="0"/>
          <c:showPercent val="0"/>
          <c:showBubbleSize val="0"/>
        </c:dLbls>
        <c:marker val="1"/>
        <c:smooth val="0"/>
        <c:axId val="436052736"/>
        <c:axId val="436054272"/>
      </c:lineChart>
      <c:dateAx>
        <c:axId val="43605273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6054272"/>
        <c:crosses val="autoZero"/>
        <c:auto val="0"/>
        <c:lblOffset val="100"/>
        <c:baseTimeUnit val="days"/>
        <c:majorUnit val="1"/>
      </c:dateAx>
      <c:valAx>
        <c:axId val="436054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605273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&lt;'!$E$25</c:f>
                <c:numCache>
                  <c:formatCode>General</c:formatCode>
                  <c:ptCount val="1"/>
                  <c:pt idx="0">
                    <c:v>0</c:v>
                  </c:pt>
                </c:numCache>
              </c:numRef>
            </c:plus>
            <c:minus>
              <c:numRef>
                <c:f>'gramo Pc &lt;'!$E$25</c:f>
                <c:numCache>
                  <c:formatCode>General</c:formatCode>
                  <c:ptCount val="1"/>
                  <c:pt idx="0">
                    <c:v>0</c:v>
                  </c:pt>
                </c:numCache>
              </c:numRef>
            </c:minus>
            <c:spPr>
              <a:noFill/>
              <a:ln w="22225" cap="flat" cmpd="sng" algn="ctr">
                <a:solidFill>
                  <a:srgbClr val="0070C0"/>
                </a:solidFill>
                <a:round/>
              </a:ln>
              <a:effectLst/>
            </c:spPr>
          </c:errBars>
          <c:val>
            <c:numRef>
              <c:f>'gramo Pc &lt;'!$D$25</c:f>
              <c:numCache>
                <c:formatCode>0.00\ "g"</c:formatCode>
                <c:ptCount val="1"/>
                <c:pt idx="0">
                  <c:v>#N/A</c:v>
                </c:pt>
              </c:numCache>
            </c:numRef>
          </c:val>
          <c:smooth val="0"/>
          <c:extLst>
            <c:ext xmlns:c16="http://schemas.microsoft.com/office/drawing/2014/chart" uri="{C3380CC4-5D6E-409C-BE32-E72D297353CC}">
              <c16:uniqueId val="{00000001-983C-48BC-BBD8-98A3C31AE3EF}"/>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&lt;'!$Q$19:$S$19</c:f>
              <c:numCache>
                <c:formatCode>0.00</c:formatCode>
                <c:ptCount val="3"/>
                <c:pt idx="0">
                  <c:v>0.5</c:v>
                </c:pt>
                <c:pt idx="1">
                  <c:v>0.5</c:v>
                </c:pt>
                <c:pt idx="2">
                  <c:v>0.5</c:v>
                </c:pt>
              </c:numCache>
            </c:numRef>
          </c:val>
          <c:smooth val="0"/>
          <c:extLst>
            <c:ext xmlns:c16="http://schemas.microsoft.com/office/drawing/2014/chart" uri="{C3380CC4-5D6E-409C-BE32-E72D297353CC}">
              <c16:uniqueId val="{00000002-983C-48BC-BBD8-98A3C31AE3EF}"/>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&lt;'!$T$19:$V$19</c:f>
              <c:numCache>
                <c:formatCode>0.00</c:formatCode>
                <c:ptCount val="3"/>
                <c:pt idx="0">
                  <c:v>-0.5</c:v>
                </c:pt>
                <c:pt idx="1">
                  <c:v>-0.5</c:v>
                </c:pt>
                <c:pt idx="2">
                  <c:v>-0.5</c:v>
                </c:pt>
              </c:numCache>
            </c:numRef>
          </c:val>
          <c:smooth val="0"/>
          <c:extLst>
            <c:ext xmlns:c16="http://schemas.microsoft.com/office/drawing/2014/chart" uri="{C3380CC4-5D6E-409C-BE32-E72D297353CC}">
              <c16:uniqueId val="{00000003-983C-48BC-BBD8-98A3C31AE3EF}"/>
            </c:ext>
          </c:extLst>
        </c:ser>
        <c:dLbls>
          <c:dLblPos val="t"/>
          <c:showLegendKey val="0"/>
          <c:showVal val="1"/>
          <c:showCatName val="0"/>
          <c:showSerName val="0"/>
          <c:showPercent val="0"/>
          <c:showBubbleSize val="0"/>
        </c:dLbls>
        <c:marker val="1"/>
        <c:smooth val="0"/>
        <c:axId val="436250880"/>
        <c:axId val="436256768"/>
      </c:lineChart>
      <c:dateAx>
        <c:axId val="4362508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6256768"/>
        <c:crosses val="autoZero"/>
        <c:auto val="0"/>
        <c:lblOffset val="100"/>
        <c:baseTimeUnit val="days"/>
        <c:majorUnit val="1"/>
      </c:dateAx>
      <c:valAx>
        <c:axId val="436256768"/>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62508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&lt;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E-4638-A947-90EFC1FC4D7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E-4638-A947-90EFC1FC4D7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E-4638-A947-90EFC1FC4D7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E-4638-A947-90EFC1FC4D7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&lt; (C)'!$G$59,'5 kg &lt; (C)'!$G$62,'5 kg &lt; (C)'!$G$66:$G$67,'5 kg &lt;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CAE-4638-A947-90EFC1FC4D7E}"/>
            </c:ext>
          </c:extLst>
        </c:ser>
        <c:dLbls>
          <c:dLblPos val="inEnd"/>
          <c:showLegendKey val="0"/>
          <c:showVal val="1"/>
          <c:showCatName val="0"/>
          <c:showSerName val="0"/>
          <c:showPercent val="0"/>
          <c:showBubbleSize val="0"/>
        </c:dLbls>
        <c:gapWidth val="65"/>
        <c:axId val="437887744"/>
        <c:axId val="437890432"/>
      </c:barChart>
      <c:catAx>
        <c:axId val="4378877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7890432"/>
        <c:crosses val="autoZero"/>
        <c:auto val="1"/>
        <c:lblAlgn val="ctr"/>
        <c:lblOffset val="100"/>
        <c:noMultiLvlLbl val="0"/>
      </c:catAx>
      <c:valAx>
        <c:axId val="4378904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78877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1E-4991-95ED-D8423B5E271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E-4991-95ED-D8423B5E271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E-4991-95ED-D8423B5E271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1E-4991-95ED-D8423B5E271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mg &lt; '!$G$59,'50 mg &lt; '!$G$62,'50 mg &lt; '!$G$66:$G$67,'50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B1E-4991-95ED-D8423B5E2716}"/>
            </c:ext>
          </c:extLst>
        </c:ser>
        <c:dLbls>
          <c:dLblPos val="inEnd"/>
          <c:showLegendKey val="0"/>
          <c:showVal val="1"/>
          <c:showCatName val="0"/>
          <c:showSerName val="0"/>
          <c:showPercent val="0"/>
          <c:showBubbleSize val="0"/>
        </c:dLbls>
        <c:gapWidth val="65"/>
        <c:axId val="534176128"/>
        <c:axId val="534273408"/>
      </c:barChart>
      <c:catAx>
        <c:axId val="5341761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534273408"/>
        <c:crosses val="autoZero"/>
        <c:auto val="1"/>
        <c:lblAlgn val="ctr"/>
        <c:lblOffset val="100"/>
        <c:noMultiLvlLbl val="0"/>
      </c:catAx>
      <c:valAx>
        <c:axId val="5342734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341761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65-49BB-919D-51C1CC5284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5-49BB-919D-51C1CC5284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5-49BB-919D-51C1CC5284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&lt; (C)'!$G$59,'10 kg &lt; (C)'!$G$62,'10 kg &lt; (C)'!$G$66:$G$67,'10 kg &lt;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B265-49BB-919D-51C1CC528435}"/>
            </c:ext>
          </c:extLst>
        </c:ser>
        <c:dLbls>
          <c:dLblPos val="inEnd"/>
          <c:showLegendKey val="0"/>
          <c:showVal val="1"/>
          <c:showCatName val="0"/>
          <c:showSerName val="0"/>
          <c:showPercent val="0"/>
          <c:showBubbleSize val="0"/>
        </c:dLbls>
        <c:gapWidth val="65"/>
        <c:axId val="439051008"/>
        <c:axId val="439053696"/>
      </c:barChart>
      <c:catAx>
        <c:axId val="4390510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9053696"/>
        <c:crosses val="autoZero"/>
        <c:auto val="1"/>
        <c:lblAlgn val="ctr"/>
        <c:lblOffset val="100"/>
        <c:noMultiLvlLbl val="0"/>
      </c:catAx>
      <c:valAx>
        <c:axId val="4390536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90510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6357740024810813"/>
          <c:y val="1.450150781425738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kg &lt;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41-49B4-A9AC-F6A9CD22130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41-49B4-A9AC-F6A9CD22130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41-49B4-A9AC-F6A9CD22130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41-49B4-A9AC-F6A9CD2213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'!$A$59:$A$60,'RT03-F13 (mg)&lt; '!$A$62,'RT03-F13 (mg)&lt; '!$A$66:$A$68)</c:f>
              <c:strCache>
                <c:ptCount val="6"/>
                <c:pt idx="0">
                  <c:v>Proceso de pesaje</c:v>
                </c:pt>
                <c:pt idx="1">
                  <c:v>Calibración pesa referencia</c:v>
                </c:pt>
                <c:pt idx="2">
                  <c:v>Pesa de referencia</c:v>
                </c:pt>
                <c:pt idx="3">
                  <c:v>Corrección por empuje del aire</c:v>
                </c:pt>
                <c:pt idx="4">
                  <c:v>Resolución balanza</c:v>
                </c:pt>
                <c:pt idx="5">
                  <c:v>Incertidumbre por repetibilidad del método</c:v>
                </c:pt>
              </c:strCache>
            </c:strRef>
          </c:cat>
          <c:val>
            <c:numRef>
              <c:f>('20 kg &lt; (C)'!$G$59,'20 kg &lt; (C)'!$G$62,'20 kg &lt; (C)'!$G$66:$G$67,'20 kg &lt;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D541-49B4-A9AC-F6A9CD221304}"/>
            </c:ext>
          </c:extLst>
        </c:ser>
        <c:dLbls>
          <c:dLblPos val="inEnd"/>
          <c:showLegendKey val="0"/>
          <c:showVal val="1"/>
          <c:showCatName val="0"/>
          <c:showSerName val="0"/>
          <c:showPercent val="0"/>
          <c:showBubbleSize val="0"/>
        </c:dLbls>
        <c:gapWidth val="65"/>
        <c:axId val="454886912"/>
        <c:axId val="454898048"/>
      </c:barChart>
      <c:catAx>
        <c:axId val="4548869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54898048"/>
        <c:crosses val="autoZero"/>
        <c:auto val="1"/>
        <c:lblAlgn val="ctr"/>
        <c:lblOffset val="100"/>
        <c:noMultiLvlLbl val="0"/>
      </c:catAx>
      <c:valAx>
        <c:axId val="4548980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548869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D0-47ED-A049-B8B4507FF56C}"/>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D0-47ED-A049-B8B4507FF56C}"/>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D0-47ED-A049-B8B4507FF56C}"/>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D0-47ED-A049-B8B4507FF56C}"/>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mg &lt; '!$G$59,'100 mg &lt; '!$G$62,'100 mg &lt; '!$G$66:$G$67,'100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ED0-47ED-A049-B8B4507FF56C}"/>
            </c:ext>
          </c:extLst>
        </c:ser>
        <c:dLbls>
          <c:dLblPos val="inEnd"/>
          <c:showLegendKey val="0"/>
          <c:showVal val="1"/>
          <c:showCatName val="0"/>
          <c:showSerName val="0"/>
          <c:showPercent val="0"/>
          <c:showBubbleSize val="0"/>
        </c:dLbls>
        <c:gapWidth val="65"/>
        <c:axId val="567581696"/>
        <c:axId val="567618944"/>
      </c:barChart>
      <c:catAx>
        <c:axId val="567581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567618944"/>
        <c:crosses val="autoZero"/>
        <c:auto val="1"/>
        <c:lblAlgn val="ctr"/>
        <c:lblOffset val="100"/>
        <c:noMultiLvlLbl val="0"/>
      </c:catAx>
      <c:valAx>
        <c:axId val="5676189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675816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6" Type="http://schemas.openxmlformats.org/officeDocument/2006/relationships/image" Target="../media/image4.png"/><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5" Type="http://schemas.openxmlformats.org/officeDocument/2006/relationships/chart" Target="../charts/chart4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image" Target="../media/image4.png"/><Relationship Id="rId3" Type="http://schemas.openxmlformats.org/officeDocument/2006/relationships/chart" Target="../charts/chart49.xml"/><Relationship Id="rId7" Type="http://schemas.openxmlformats.org/officeDocument/2006/relationships/chart" Target="../charts/chart53.xml"/><Relationship Id="rId12" Type="http://schemas.openxmlformats.org/officeDocument/2006/relationships/chart" Target="../charts/chart58.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0" Type="http://schemas.openxmlformats.org/officeDocument/2006/relationships/chart" Target="../charts/chart56.xml"/><Relationship Id="rId4" Type="http://schemas.openxmlformats.org/officeDocument/2006/relationships/chart" Target="../charts/chart50.xml"/><Relationship Id="rId9" Type="http://schemas.openxmlformats.org/officeDocument/2006/relationships/chart" Target="../charts/chart55.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21" Type="http://schemas.openxmlformats.org/officeDocument/2006/relationships/image" Target="../media/image5.png"/><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79.xml"/></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0.xml"/></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539B232-30A4-4991-B286-69BB6A53942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C559D039-7711-4B8B-BAB0-1052E29A9D7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D1AA3083-4E46-4AF7-B763-A63DBAF1747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FA30CB-1BBF-46BF-B4D6-53CEFB207A2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3C4D509-14C9-4680-9434-DF5319380588}"/>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C61713ED-D80B-4508-8C87-36AFB87EF37E}"/>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1CEE084-DB11-441F-8A75-A905EACB0D4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8291970-7BA9-4FA5-8213-0B77FC08D67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557D0CF-FBEE-4571-9BB8-F76737FAB47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D03DB7B1-630E-4A94-B38B-3A4F9E88830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576597EF-1D88-48A8-8703-38690F7A7DE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2D84580E-E4BC-4629-A903-0AF1F37EC8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BB77957-F86B-416E-8EBC-5691B5E9656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12380EAD-33BA-4E1F-910D-D8BD8E59CE17}"/>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55788C-8FC2-44E8-B44A-59C8C3543F92}"/>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F49EEE3A-512C-44EC-A8D7-93083797E50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DE555BF3-2436-4DF4-9D19-BB0C6C2337F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45CEF39-52D5-41D6-95E2-F9803AD495D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B10DF296-AF04-4D9A-B9FC-2811894D16F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274290B-E7CE-4348-8E5D-F40D4710CE3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12B75BF6-E7AE-4EA4-AE9C-885D7E9ECC9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814CB5C2-CBCA-45C0-B82E-20EA6CA712A4}"/>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7F97EEE2-7FEB-4DF7-83D3-F18F67B2424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13A5FCA8-0211-42C4-ABDB-D4B9077F2A57}"/>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15FC6BA9-77B0-45ED-BBAF-2FF2755DF62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4725349-CAF3-404F-BD48-7DB75DB79F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7FD290F-37C5-4B6A-AA29-C0C1711CCA3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A9FBCC09-43C9-4D29-A88E-1916F00287C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BAFD0F6-AF3D-4637-A3E6-0764ECFB969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a14="http://schemas.microsoft.com/office/drawing/2010/main" xmlns="" id="{733184D5-C083-499E-9BF1-D6A9ABBD8ED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19843</xdr:colOff>
      <xdr:row>73</xdr:row>
      <xdr:rowOff>158750</xdr:rowOff>
    </xdr:from>
    <xdr:ext cx="92472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a14="http://schemas.microsoft.com/office/drawing/2010/main" xmlns="" id="{F0176FFF-CBCE-474F-B0F2-1A3C08721004}"/>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417C2BF3-AAE6-49F9-A1B7-02D4635FBDC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0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0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AFC42AA1-17DC-4F81-89C3-87090071FDA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9F78240F-4EA3-439B-AAFB-ED2716D075B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0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4EF212A-3708-43B7-8840-3E21CBAD29C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621771</xdr:colOff>
      <xdr:row>62</xdr:row>
      <xdr:rowOff>407459</xdr:rowOff>
    </xdr:from>
    <xdr:to>
      <xdr:col>13</xdr:col>
      <xdr:colOff>113771</xdr:colOff>
      <xdr:row>64</xdr:row>
      <xdr:rowOff>677334</xdr:rowOff>
    </xdr:to>
    <xdr:graphicFrame macro="">
      <xdr:nvGraphicFramePr>
        <xdr:cNvPr id="51" name="Gráfico 50">
          <a:extLst>
            <a:ext uri="{FF2B5EF4-FFF2-40B4-BE49-F238E27FC236}">
              <a16:creationId xmlns:a16="http://schemas.microsoft.com/office/drawing/2014/main" id="{00000000-0008-0000-0000-000033000000}"/>
            </a:ext>
            <a:ext uri="{147F2762-F138-4A5C-976F-8EAC2B608ADB}">
              <a16:predDERef xmlns:a16="http://schemas.microsoft.com/office/drawing/2014/main" pre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47625</xdr:rowOff>
    </xdr:from>
    <xdr:to>
      <xdr:col>1</xdr:col>
      <xdr:colOff>495318</xdr:colOff>
      <xdr:row>0</xdr:row>
      <xdr:rowOff>663374</xdr:rowOff>
    </xdr:to>
    <xdr:pic>
      <xdr:nvPicPr>
        <xdr:cNvPr id="52" name="51 Imagen">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
        <a:stretch>
          <a:fillRect/>
        </a:stretch>
      </xdr:blipFill>
      <xdr:spPr>
        <a:xfrm>
          <a:off x="250031" y="47625"/>
          <a:ext cx="1316850" cy="615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5294F771-339B-4F31-807C-70A39D40CA7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20DA5D3C-36D3-46A8-9842-761B2F4BC08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2ABD8150-7764-4A1A-B8AB-0226B497F39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541AFC8F-BF18-4099-A9BB-7382A98CD098}"/>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F380B7C-5042-4481-877F-DC8C1CBBD1B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E382DB2-236E-4DBC-81E9-E98AA9BB61D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9272DC58-FE2E-4E0B-A834-340EC96BC97E}"/>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1ED72682-01B5-48D1-8908-D559380C67A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9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AC771363-1D50-488C-9DAE-0DA5D2A4270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97ACFBE-08D8-4DFF-B71A-F405CBF30E4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9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D28457E-EF9E-431F-BC2C-5B64E1599C4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9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B251D47-12F1-45E5-90A7-D1677EEA9F3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18714137-35CF-4FF7-8883-44B697A4C49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66B414F-1445-47DF-AB2A-BBA99DF2CFD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786F109-1601-46F5-8FBA-8B1F54AA1FB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B5EB811-3A8C-4CC2-90A3-323926F53A8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F6336A62-58A1-42E4-B7E4-1EC036CDFF7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9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9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996AA49F-2F70-44D5-95E4-900D2D9D9598}"/>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9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70E9B622-3E2B-4BAE-932B-9F33EA7946D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9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9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33FCF8-1BC5-4028-8A1C-74E24E0E92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9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6E557CB-1976-400E-AA96-745758E1AC3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9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C6ABA330-1535-4944-BD96-B01DD297DA1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A84C87-E7C6-4975-B62E-5E715889B47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9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9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22AA18-9132-47B7-8034-1589F7A449AB}"/>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9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9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F58F0EA0-F26B-4DAE-845F-BCAA872A551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9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4587F081-830D-4713-8E4D-B7553600F18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9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84AA3CF0-80B0-4678-9C62-991DAECFB72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9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752F34C-E545-4C66-9AE0-3ADEFCFE428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9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AB48FBAF-C2C3-4F0D-BD62-42465CBDAF8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9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8FC306-DDBC-4B05-9BB8-DF03CF039E2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1031874</xdr:colOff>
      <xdr:row>73</xdr:row>
      <xdr:rowOff>95250</xdr:rowOff>
    </xdr:from>
    <xdr:ext cx="881063"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900-000028000000}"/>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5494DE0-1584-4404-99B5-3C098293DB5A}"/>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9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51A1559-5F17-42FD-8437-CB92A1FDC3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9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9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9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9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8CFDC1A-A28A-4311-83F7-F058D31DCF2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9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9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BB4728F-18EA-451E-B7A3-5EA3D075811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320A803F-3545-47FB-98B8-0266F7E7791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378354</xdr:colOff>
      <xdr:row>62</xdr:row>
      <xdr:rowOff>521230</xdr:rowOff>
    </xdr:from>
    <xdr:to>
      <xdr:col>12</xdr:col>
      <xdr:colOff>674687</xdr:colOff>
      <xdr:row>65</xdr:row>
      <xdr:rowOff>50272</xdr:rowOff>
    </xdr:to>
    <xdr:graphicFrame macro="">
      <xdr:nvGraphicFramePr>
        <xdr:cNvPr id="52" name="Gráfico 51">
          <a:extLst>
            <a:ext uri="{FF2B5EF4-FFF2-40B4-BE49-F238E27FC236}">
              <a16:creationId xmlns:a16="http://schemas.microsoft.com/office/drawing/2014/main" id="{00000000-0008-0000-0900-000034000000}"/>
            </a:ext>
            <a:ext uri="{147F2762-F138-4A5C-976F-8EAC2B608ADB}">
              <a16:predDERef xmlns:a16="http://schemas.microsoft.com/office/drawing/2014/main" pre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238124</xdr:colOff>
      <xdr:row>0</xdr:row>
      <xdr:rowOff>71438</xdr:rowOff>
    </xdr:from>
    <xdr:to>
      <xdr:col>1</xdr:col>
      <xdr:colOff>542943</xdr:colOff>
      <xdr:row>0</xdr:row>
      <xdr:rowOff>687187</xdr:rowOff>
    </xdr:to>
    <xdr:pic>
      <xdr:nvPicPr>
        <xdr:cNvPr id="48" name="47 Imagen">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2"/>
        <a:stretch>
          <a:fillRect/>
        </a:stretch>
      </xdr:blipFill>
      <xdr:spPr>
        <a:xfrm>
          <a:off x="238124" y="71438"/>
          <a:ext cx="1316850"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6E7D125-9455-41F9-93D9-C74343530AC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8A4211D5-25A9-4B2E-BE36-6909CCA69EC5}"/>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F0E5415-571E-4328-9EEB-EBC2DA6DB42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8A2DDB-0E65-46C4-B847-CA93EC81466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A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93F2FF7-823C-40DF-8205-D395EB566716}"/>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A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0D8E3852-C024-4B3B-8873-B91AF70E7EB8}"/>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A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DC606F6C-7810-47DC-A73F-E0C1EAD9C735}"/>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A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9694A77-78AF-4318-A780-2CE9ECF6918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A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A3770D3-FC5A-411E-9D1B-ACE0BD38D9AD}"/>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A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5736B131-8269-4E2C-AC20-BC94CCC3661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A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9A7F0D8-8E41-42A7-A24A-EC3D078BAE3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A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6B45CDC-2F23-4847-9051-0DB9A6B844E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A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DA45627-A165-4513-B9FD-36C00D9EBDB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A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A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A96131A-91CD-491E-A72E-470244423DC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A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EB9FBD-6E99-462E-9475-D1415941F97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A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FE12FB-A66D-4C15-B8CA-00874A0F26A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A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6CAAFC2B-25D8-4DA7-B17F-802B93DCCF6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A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A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17B7B4C8-1597-4C27-A990-9AE779B78D8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A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651DB3A-A0CD-496E-9F2C-53786962D0E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A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A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0749D333-D9F9-41AE-AA2D-680E124E9BB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A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6DBD726-DB6D-4D15-A57F-26EC4672E15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A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ACEA6037-1F5F-4FF5-BC22-C6D94991861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A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3023C163-389D-4C21-B91B-DA9F5CFB960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A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A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288F1328-4922-4E41-93E5-18E18C79AE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A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A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035CB8F-6DDF-4195-9A9B-C0DD27F1A5E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A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2250BA8-967D-42F1-BE3C-E56792BC14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A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180EC03-0411-4042-A5D3-623747849C95}"/>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A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7D245403-C28F-4110-8DB0-7C90176D876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A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98287AA8-764B-403E-A9C6-3AFF5682B75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A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A856072-72E8-4F71-A7C2-3AB4B01F36BE}"/>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873126"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A00-000028000000}"/>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E9F69EAB-FBDD-42DF-9FF3-1583C4BEF21A}"/>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A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4528271-18A7-4522-BCD3-7FDF93C09D52}"/>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A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A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A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A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A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343E68-2A0E-4222-9836-8F5A5A8497F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A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A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18E9B59-D582-4CC3-BACC-3C9A0807BA7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A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0698F47C-6ADA-4D47-B767-DE9688659F2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444498</xdr:colOff>
      <xdr:row>62</xdr:row>
      <xdr:rowOff>529165</xdr:rowOff>
    </xdr:from>
    <xdr:to>
      <xdr:col>12</xdr:col>
      <xdr:colOff>690560</xdr:colOff>
      <xdr:row>65</xdr:row>
      <xdr:rowOff>39686</xdr:rowOff>
    </xdr:to>
    <xdr:graphicFrame macro="">
      <xdr:nvGraphicFramePr>
        <xdr:cNvPr id="52" name="Gráfico 51">
          <a:extLst>
            <a:ext uri="{FF2B5EF4-FFF2-40B4-BE49-F238E27FC236}">
              <a16:creationId xmlns:a16="http://schemas.microsoft.com/office/drawing/2014/main" id="{00000000-0008-0000-0A00-000034000000}"/>
            </a:ext>
            <a:ext uri="{147F2762-F138-4A5C-976F-8EAC2B608ADB}">
              <a16:predDERef xmlns:a16="http://schemas.microsoft.com/office/drawing/2014/main" pred="{00000000-0008-0000-0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226217</xdr:colOff>
      <xdr:row>0</xdr:row>
      <xdr:rowOff>71437</xdr:rowOff>
    </xdr:from>
    <xdr:to>
      <xdr:col>1</xdr:col>
      <xdr:colOff>519129</xdr:colOff>
      <xdr:row>0</xdr:row>
      <xdr:rowOff>687186</xdr:rowOff>
    </xdr:to>
    <xdr:pic>
      <xdr:nvPicPr>
        <xdr:cNvPr id="48" name="47 Imagen">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a:stretch>
          <a:fillRect/>
        </a:stretch>
      </xdr:blipFill>
      <xdr:spPr>
        <a:xfrm>
          <a:off x="226217" y="71437"/>
          <a:ext cx="1316850" cy="615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84DCF91-B98E-476E-9317-1129E1308BC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47DE887F-4676-4204-B583-296438EB159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51A6708-7E30-49C9-9ABD-DA92A64214E2}"/>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B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0317497-5089-45EC-9D2C-368C0FE05C8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B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AD413D00-35BD-48E5-9247-69DD8902B61E}"/>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B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68E2A6-640B-439C-826E-9DB72394C77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B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017E5A7-14CB-4B49-A766-A0B1E62B2DF3}"/>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B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4B5205F-F13D-4E53-9915-1B66B66355DC}"/>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5382FB72-D570-4E76-A3C9-1C792B45465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B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F6B604B-901B-4EBB-8B2A-6425AB30DBF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B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D769D605-D08A-43D9-B70C-61A2204A08B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B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8D81A27-B76D-492A-9E01-7E1A17A4354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B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802BA2D-CF8A-452B-ACFA-61A7CA2F97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B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61255253-44BC-4892-8CE2-CF8A733500E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F64CE7-5D57-4FF4-A40F-5A9FEA2B7E9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B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CF740BD5-4BB0-4FC2-8D2A-1E5A8B35550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B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024D97A-957B-4AED-B87D-6A5A2DF6A75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B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B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630F369F-CE06-4E4A-A44A-D7324163DD4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B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BCE50E6-688C-4404-B3EB-B6E32BA558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B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B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5F0082A4-56CA-475B-B4F1-9D375908D45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B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CF7A5E8A-E35E-40BA-9ED9-3E6BDCB5ED5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B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E13968A-D998-42A6-B2DA-2DE06F20D0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B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D233154C-B037-4C58-A2A5-1AB893AAB21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B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B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8C79CEC5-E4FF-4E09-A024-5F7FE18C1FC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B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B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1BB7AE7-D1D3-4367-B806-D105BDF1308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B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AC0399A6-9E09-4550-A661-3FD1EC998A4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B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63A43A0F-FDA4-4936-A7D4-1F4F274A18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B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26176668-7021-472E-B75F-088C36C75D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B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59DD1339-3920-4704-A75F-C5CC2125416F}"/>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B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5E8F0F2-2ED6-4BF1-B3A8-40430CE19139}"/>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853282"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DC05CD08-203B-40B1-964C-328DDEE306E3}"/>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B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7AD3E34-B91D-4CB8-9040-AADE7431C93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B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B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B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0CB0D47-F489-4951-ABE4-5346F601E5F5}"/>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B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B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A74992F9-CD74-42C1-BB47-D742E6C3942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B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C62E89D7-10F0-4AAF-87B7-1F1EC6F3E85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296333</xdr:colOff>
      <xdr:row>62</xdr:row>
      <xdr:rowOff>518583</xdr:rowOff>
    </xdr:from>
    <xdr:to>
      <xdr:col>12</xdr:col>
      <xdr:colOff>592666</xdr:colOff>
      <xdr:row>65</xdr:row>
      <xdr:rowOff>47625</xdr:rowOff>
    </xdr:to>
    <xdr:graphicFrame macro="">
      <xdr:nvGraphicFramePr>
        <xdr:cNvPr id="52" name="Gráfico 51">
          <a:extLst>
            <a:ext uri="{FF2B5EF4-FFF2-40B4-BE49-F238E27FC236}">
              <a16:creationId xmlns:a16="http://schemas.microsoft.com/office/drawing/2014/main" id="{00000000-0008-0000-0B00-000034000000}"/>
            </a:ext>
            <a:ext uri="{147F2762-F138-4A5C-976F-8EAC2B608ADB}">
              <a16:predDERef xmlns:a16="http://schemas.microsoft.com/office/drawing/2014/main" pre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238126</xdr:colOff>
      <xdr:row>0</xdr:row>
      <xdr:rowOff>83344</xdr:rowOff>
    </xdr:from>
    <xdr:to>
      <xdr:col>1</xdr:col>
      <xdr:colOff>495320</xdr:colOff>
      <xdr:row>0</xdr:row>
      <xdr:rowOff>699093</xdr:rowOff>
    </xdr:to>
    <xdr:pic>
      <xdr:nvPicPr>
        <xdr:cNvPr id="51" name="50 Imagen">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2"/>
        <a:stretch>
          <a:fillRect/>
        </a:stretch>
      </xdr:blipFill>
      <xdr:spPr>
        <a:xfrm>
          <a:off x="238126" y="83344"/>
          <a:ext cx="1316850" cy="615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FC9332-1D30-411A-92F8-549A46F351C5}"/>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3" name="CuadroTexto 2">
              <a:extLst>
                <a:ext uri="{FF2B5EF4-FFF2-40B4-BE49-F238E27FC236}">
                  <a16:creationId xmlns:a16="http://schemas.microsoft.com/office/drawing/2014/main" id="{22B03FD4-65F8-4AE6-86C8-29842FA4D79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C8820BD-192F-4DE0-B8B7-9212E8FCCF2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5" name="CuadroTexto 4">
              <a:extLst>
                <a:ext uri="{FF2B5EF4-FFF2-40B4-BE49-F238E27FC236}">
                  <a16:creationId xmlns:a16="http://schemas.microsoft.com/office/drawing/2014/main" id="{3D5B64B2-3F11-423E-B3AA-C080DB24294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C00-000006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6" name="CuadroTexto 5">
              <a:extLst>
                <a:ext uri="{FF2B5EF4-FFF2-40B4-BE49-F238E27FC236}">
                  <a16:creationId xmlns:a16="http://schemas.microsoft.com/office/drawing/2014/main" id="{2E722B46-5E85-4840-9537-E97B602304A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B969605-019C-440E-97D9-7D015BF27FF9}"/>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C00-000008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13B06A-2E0B-4A16-B87E-1CC96999108D}"/>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E5D22B03-EF9C-4536-97A4-124365206342}"/>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a14="http://schemas.microsoft.com/office/drawing/2010/main" xmlns="" id="{CC18AD6D-D471-4D5F-B11C-FCF08684CA8A}"/>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a:rPr>
                <a:t>_</a:t>
              </a:r>
              <a:r>
                <a:rPr lang="es-CO" sz="1100" b="1" i="0">
                  <a:latin typeface="Cambria Math" panose="02040503050406030204" pitchFamily="18" charset="0"/>
                </a:rPr>
                <a:t>𝒅</a:t>
              </a:r>
              <a:endParaRPr lang="es-CO" sz="1100" b="1"/>
            </a:p>
          </xdr:txBody>
        </xdr:sp>
      </mc:Fallback>
    </mc:AlternateContent>
    <xdr:clientData/>
  </xdr:oneCellAnchor>
  <xdr:oneCellAnchor>
    <xdr:from>
      <xdr:col>5</xdr:col>
      <xdr:colOff>417383</xdr:colOff>
      <xdr:row>69</xdr:row>
      <xdr:rowOff>114306</xdr:rowOff>
    </xdr:from>
    <xdr:ext cx="529697"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C00-00000B000000}"/>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F55AB2D5-52A4-43B6-B5D7-720CC94D7F2B}"/>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C00-00000C000000}"/>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2" name="CuadroTexto 11">
              <a:extLst>
                <a:ext uri="{FF2B5EF4-FFF2-40B4-BE49-F238E27FC236}">
                  <a16:creationId xmlns:a16="http://schemas.microsoft.com/office/drawing/2014/main" id="{92305B48-FDB3-4464-A429-599CC391C929}"/>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C00-00000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3" name="CuadroTexto 12">
              <a:extLst>
                <a:ext uri="{FF2B5EF4-FFF2-40B4-BE49-F238E27FC236}">
                  <a16:creationId xmlns:a16="http://schemas.microsoft.com/office/drawing/2014/main" id="{8EAD99FE-562F-479F-B77E-26C0AC499DF4}"/>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C00-00000E000000}"/>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4" name="CuadroTexto 13">
              <a:extLst>
                <a:ext uri="{FF2B5EF4-FFF2-40B4-BE49-F238E27FC236}">
                  <a16:creationId xmlns:a16="http://schemas.microsoft.com/office/drawing/2014/main" id="{62B52021-8096-45CA-84DB-81D16CE7240E}"/>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5" name="CuadroTexto 14">
          <a:extLst>
            <a:ext uri="{FF2B5EF4-FFF2-40B4-BE49-F238E27FC236}">
              <a16:creationId xmlns:a16="http://schemas.microsoft.com/office/drawing/2014/main" id="{00000000-0008-0000-0C00-00000F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C00-00001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6" name="CuadroTexto 15">
              <a:extLst>
                <a:ext uri="{FF2B5EF4-FFF2-40B4-BE49-F238E27FC236}">
                  <a16:creationId xmlns:a16="http://schemas.microsoft.com/office/drawing/2014/main" id="{A62E1A2F-741D-4AC8-BBEF-187E5B8F737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C00-00001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2380213-D62D-4132-87F8-9FD304AADCC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C00-00001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C7FDAE0-C70D-46D5-BDE6-6DD6346A5BB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C00-00001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4FB226-04F4-4558-B161-9CA69EAEA3C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0" name="CuadroTexto 19">
          <a:extLst>
            <a:ext uri="{FF2B5EF4-FFF2-40B4-BE49-F238E27FC236}">
              <a16:creationId xmlns:a16="http://schemas.microsoft.com/office/drawing/2014/main" id="{00000000-0008-0000-0C00-00001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C00-000015000000}"/>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1" name="CuadroTexto 20">
              <a:extLst>
                <a:ext uri="{FF2B5EF4-FFF2-40B4-BE49-F238E27FC236}">
                  <a16:creationId xmlns:a16="http://schemas.microsoft.com/office/drawing/2014/main" id="{77B4B6B5-482F-40A4-8579-37E1348E4F6C}"/>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C00-000016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2" name="CuadroTexto 21">
              <a:extLst>
                <a:ext uri="{FF2B5EF4-FFF2-40B4-BE49-F238E27FC236}">
                  <a16:creationId xmlns:a16="http://schemas.microsoft.com/office/drawing/2014/main" id="{DDE88F06-F65F-4D35-99E1-C66E10F5E467}"/>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3" name="CuadroTexto 22">
          <a:extLst>
            <a:ext uri="{FF2B5EF4-FFF2-40B4-BE49-F238E27FC236}">
              <a16:creationId xmlns:a16="http://schemas.microsoft.com/office/drawing/2014/main" id="{00000000-0008-0000-0C00-000017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C00-000018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4" name="CuadroTexto 23">
              <a:extLst>
                <a:ext uri="{FF2B5EF4-FFF2-40B4-BE49-F238E27FC236}">
                  <a16:creationId xmlns:a16="http://schemas.microsoft.com/office/drawing/2014/main" id="{33A7AAFE-FF71-478A-A648-819047DD453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666CAB06-F36F-4A37-8A1B-8491268B02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C00-00001A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7A14E26-FBF0-4A5A-8CDD-66238D2025F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A8E5182-F68F-4720-8846-16805DE810A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8" name="CuadroTexto 27">
          <a:extLst>
            <a:ext uri="{FF2B5EF4-FFF2-40B4-BE49-F238E27FC236}">
              <a16:creationId xmlns:a16="http://schemas.microsoft.com/office/drawing/2014/main" id="{00000000-0008-0000-0C00-00001C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9" name="CuadroTexto 28">
              <a:extLst>
                <a:ext uri="{FF2B5EF4-FFF2-40B4-BE49-F238E27FC236}">
                  <a16:creationId xmlns:a16="http://schemas.microsoft.com/office/drawing/2014/main" id="{D996E812-3697-41B8-88BC-5A9F9E72396E}"/>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0" name="CuadroTexto 29">
          <a:extLst>
            <a:ext uri="{FF2B5EF4-FFF2-40B4-BE49-F238E27FC236}">
              <a16:creationId xmlns:a16="http://schemas.microsoft.com/office/drawing/2014/main" id="{00000000-0008-0000-0C00-00001E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1" name="CuadroTexto 30">
              <a:extLst>
                <a:ext uri="{FF2B5EF4-FFF2-40B4-BE49-F238E27FC236}">
                  <a16:creationId xmlns:a16="http://schemas.microsoft.com/office/drawing/2014/main" id="{71D183C4-B5C0-4C50-B3FE-4AD5D362488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C00-000020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AE53EB-012A-444F-8217-498DFDDA6AC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61EAE884-43D3-41D9-A0B1-DDA29DD37CF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C00-000022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5FF34370-8039-41C8-A5BD-868E36F25B9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5" name="CuadroTexto 34">
          <a:extLst>
            <a:ext uri="{FF2B5EF4-FFF2-40B4-BE49-F238E27FC236}">
              <a16:creationId xmlns:a16="http://schemas.microsoft.com/office/drawing/2014/main" id="{00000000-0008-0000-0C00-000023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C00-000025000000}"/>
            </a:ext>
          </a:extLst>
        </xdr:cNvPr>
        <xdr:cNvSpPr txBox="1"/>
      </xdr:nvSpPr>
      <xdr:spPr>
        <a:xfrm>
          <a:off x="1318260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C00-00002600000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778E4E14-C79F-4C2B-B8D6-929A69EBC8D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C00-000027000000}"/>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11A677-8882-42F8-9B01-07FF67426474}"/>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121047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C00-000028000000}"/>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3CE97D2C-1905-4040-93BD-39E329F866A9}"/>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632354</xdr:colOff>
      <xdr:row>73</xdr:row>
      <xdr:rowOff>174626</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C00-000029000000}"/>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EAC229A2-874C-441D-80B5-62EDD7555BFE}"/>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C00-00002A000000}"/>
            </a:ext>
          </a:extLst>
        </xdr:cNvPr>
        <xdr:cNvSpPr txBox="1"/>
      </xdr:nvSpPr>
      <xdr:spPr>
        <a:xfrm>
          <a:off x="1139825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C00-00002B000000}"/>
            </a:ext>
          </a:extLst>
        </xdr:cNvPr>
        <xdr:cNvSpPr txBox="1"/>
      </xdr:nvSpPr>
      <xdr:spPr>
        <a:xfrm>
          <a:off x="1136649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C00-00002C000000}"/>
            </a:ext>
          </a:extLst>
        </xdr:cNvPr>
        <xdr:cNvSpPr txBox="1"/>
      </xdr:nvSpPr>
      <xdr:spPr>
        <a:xfrm>
          <a:off x="729826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C00-00002D000000}"/>
            </a:ext>
          </a:extLst>
        </xdr:cNvPr>
        <xdr:cNvSpPr txBox="1"/>
      </xdr:nvSpPr>
      <xdr:spPr>
        <a:xfrm>
          <a:off x="735118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C00-00002E000000}"/>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40699A-CBAA-4796-8004-135B757E02AD}"/>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C00-00002F000000}"/>
            </a:ext>
          </a:extLst>
        </xdr:cNvPr>
        <xdr:cNvSpPr txBox="1"/>
      </xdr:nvSpPr>
      <xdr:spPr>
        <a:xfrm>
          <a:off x="85336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C00-000031000000}"/>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xmlns:a14="http://schemas.microsoft.com/office/drawing/2010/main" xmlns="" id="{D8F76C74-4841-4904-BB69-F60EE8CCC6C6}"/>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a:t>
              </a:r>
              <a:r>
                <a:rPr lang="es-CO" sz="1100" b="1" i="0">
                  <a:latin typeface="Cambria Math"/>
                </a:rPr>
                <a:t>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627063</xdr:colOff>
      <xdr:row>62</xdr:row>
      <xdr:rowOff>272520</xdr:rowOff>
    </xdr:from>
    <xdr:to>
      <xdr:col>12</xdr:col>
      <xdr:colOff>764647</xdr:colOff>
      <xdr:row>64</xdr:row>
      <xdr:rowOff>542395</xdr:rowOff>
    </xdr:to>
    <xdr:graphicFrame macro="">
      <xdr:nvGraphicFramePr>
        <xdr:cNvPr id="52" name="Gráfico 51">
          <a:extLst>
            <a:ext uri="{FF2B5EF4-FFF2-40B4-BE49-F238E27FC236}">
              <a16:creationId xmlns:a16="http://schemas.microsoft.com/office/drawing/2014/main" id="{00000000-0008-0000-0C00-000034000000}"/>
            </a:ext>
            <a:ext uri="{147F2762-F138-4A5C-976F-8EAC2B608ADB}">
              <a16:predDERef xmlns:a16="http://schemas.microsoft.com/office/drawing/2014/main" pre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464345</xdr:colOff>
      <xdr:row>0</xdr:row>
      <xdr:rowOff>47625</xdr:rowOff>
    </xdr:from>
    <xdr:to>
      <xdr:col>1</xdr:col>
      <xdr:colOff>697726</xdr:colOff>
      <xdr:row>0</xdr:row>
      <xdr:rowOff>663374</xdr:rowOff>
    </xdr:to>
    <xdr:pic>
      <xdr:nvPicPr>
        <xdr:cNvPr id="36" name="35 Imagen">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2"/>
        <a:stretch>
          <a:fillRect/>
        </a:stretch>
      </xdr:blipFill>
      <xdr:spPr>
        <a:xfrm>
          <a:off x="464345" y="47625"/>
          <a:ext cx="1316850" cy="615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D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D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D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D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D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D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D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D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D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D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D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D00-000010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D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D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D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D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D00-000015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D00-000017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D00-000018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D00-000019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D00-00001A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D00-00001B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D00-00001C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D00-00001D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D00-00001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D00-00001F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D00-000020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D00-000021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D00-000022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D00-000023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D00-000024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0D00-000026000000}"/>
            </a:ext>
          </a:extLst>
        </xdr:cNvPr>
        <xdr:cNvSpPr txBox="1"/>
      </xdr:nvSpPr>
      <xdr:spPr>
        <a:xfrm>
          <a:off x="12001500" y="22031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67865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0D00-00002C000000}"/>
            </a:ext>
          </a:extLst>
        </xdr:cNvPr>
        <xdr:cNvSpPr txBox="1"/>
      </xdr:nvSpPr>
      <xdr:spPr>
        <a:xfrm>
          <a:off x="10299702" y="298217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0D00-00002D000000}"/>
            </a:ext>
          </a:extLst>
        </xdr:cNvPr>
        <xdr:cNvSpPr txBox="1"/>
      </xdr:nvSpPr>
      <xdr:spPr>
        <a:xfrm>
          <a:off x="10267949" y="3029161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0D00-00002E000000}"/>
            </a:ext>
          </a:extLst>
        </xdr:cNvPr>
        <xdr:cNvSpPr txBox="1"/>
      </xdr:nvSpPr>
      <xdr:spPr>
        <a:xfrm>
          <a:off x="6371167" y="298852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0D00-00002F000000}"/>
            </a:ext>
          </a:extLst>
        </xdr:cNvPr>
        <xdr:cNvSpPr txBox="1"/>
      </xdr:nvSpPr>
      <xdr:spPr>
        <a:xfrm>
          <a:off x="6424083" y="3025986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0D00-000031000000}"/>
            </a:ext>
          </a:extLst>
        </xdr:cNvPr>
        <xdr:cNvSpPr txBox="1"/>
      </xdr:nvSpPr>
      <xdr:spPr>
        <a:xfrm>
          <a:off x="7555706" y="287619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158750</xdr:colOff>
      <xdr:row>67</xdr:row>
      <xdr:rowOff>285750</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D00-000033000000}"/>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344441BD-50E3-4C4E-9F2B-F121DD83AECC}"/>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433915</xdr:colOff>
      <xdr:row>63</xdr:row>
      <xdr:rowOff>148167</xdr:rowOff>
    </xdr:from>
    <xdr:to>
      <xdr:col>13</xdr:col>
      <xdr:colOff>701144</xdr:colOff>
      <xdr:row>65</xdr:row>
      <xdr:rowOff>418042</xdr:rowOff>
    </xdr:to>
    <xdr:graphicFrame macro="">
      <xdr:nvGraphicFramePr>
        <xdr:cNvPr id="52" name="Gráfico 51">
          <a:extLst>
            <a:ext uri="{FF2B5EF4-FFF2-40B4-BE49-F238E27FC236}">
              <a16:creationId xmlns:a16="http://schemas.microsoft.com/office/drawing/2014/main" id="{00000000-0008-0000-0D00-000034000000}"/>
            </a:ext>
            <a:ext uri="{147F2762-F138-4A5C-976F-8EAC2B608ADB}">
              <a16:predDERef xmlns:a16="http://schemas.microsoft.com/office/drawing/2014/main" pred="{00000000-0008-0000-1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0</xdr:row>
      <xdr:rowOff>59531</xdr:rowOff>
    </xdr:from>
    <xdr:to>
      <xdr:col>1</xdr:col>
      <xdr:colOff>657344</xdr:colOff>
      <xdr:row>0</xdr:row>
      <xdr:rowOff>696491</xdr:rowOff>
    </xdr:to>
    <xdr:pic>
      <xdr:nvPicPr>
        <xdr:cNvPr id="2" name="1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404813" y="59531"/>
          <a:ext cx="1371719" cy="6401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17318</xdr:colOff>
      <xdr:row>0</xdr:row>
      <xdr:rowOff>86591</xdr:rowOff>
    </xdr:from>
    <xdr:to>
      <xdr:col>2</xdr:col>
      <xdr:colOff>1177635</xdr:colOff>
      <xdr:row>0</xdr:row>
      <xdr:rowOff>1398443</xdr:rowOff>
    </xdr:to>
    <xdr:pic>
      <xdr:nvPicPr>
        <xdr:cNvPr id="3" name="2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662545" y="86591"/>
          <a:ext cx="2805545" cy="13118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0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F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F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0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0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0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0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0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F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B5D7ABCB-A982-47A9-A819-FECF66D8846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CD6017D2-C690-4345-9412-2FC7D44222F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944562</xdr:colOff>
      <xdr:row>62</xdr:row>
      <xdr:rowOff>391584</xdr:rowOff>
    </xdr:from>
    <xdr:to>
      <xdr:col>13</xdr:col>
      <xdr:colOff>436561</xdr:colOff>
      <xdr:row>64</xdr:row>
      <xdr:rowOff>661459</xdr:rowOff>
    </xdr:to>
    <xdr:graphicFrame macro="">
      <xdr:nvGraphicFramePr>
        <xdr:cNvPr id="53" name="Gráfico 52">
          <a:extLst>
            <a:ext uri="{FF2B5EF4-FFF2-40B4-BE49-F238E27FC236}">
              <a16:creationId xmlns:a16="http://schemas.microsoft.com/office/drawing/2014/main" id="{00000000-0008-0000-0F00-000035000000}"/>
            </a:ext>
            <a:ext uri="{147F2762-F138-4A5C-976F-8EAC2B608ADB}">
              <a16:predDERef xmlns:a16="http://schemas.microsoft.com/office/drawing/2014/main" pred="{00000000-0008-0000-1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180878</xdr:colOff>
      <xdr:row>0</xdr:row>
      <xdr:rowOff>47626</xdr:rowOff>
    </xdr:from>
    <xdr:to>
      <xdr:col>1</xdr:col>
      <xdr:colOff>484901</xdr:colOff>
      <xdr:row>0</xdr:row>
      <xdr:rowOff>690563</xdr:rowOff>
    </xdr:to>
    <xdr:pic>
      <xdr:nvPicPr>
        <xdr:cNvPr id="37" name="36 Imagen">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2"/>
        <a:stretch>
          <a:fillRect/>
        </a:stretch>
      </xdr:blipFill>
      <xdr:spPr>
        <a:xfrm>
          <a:off x="180878" y="47626"/>
          <a:ext cx="1375586" cy="6429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0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0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0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0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0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0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0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0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0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0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0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0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0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0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0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0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0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0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0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0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0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0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0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0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0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0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0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0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5D3BC00-F4EC-4874-A333-B057F8CB52D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0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91EF3C3A-D9D3-42E8-98F7-10058362B13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672041</xdr:colOff>
      <xdr:row>62</xdr:row>
      <xdr:rowOff>608542</xdr:rowOff>
    </xdr:from>
    <xdr:to>
      <xdr:col>13</xdr:col>
      <xdr:colOff>164041</xdr:colOff>
      <xdr:row>65</xdr:row>
      <xdr:rowOff>137584</xdr:rowOff>
    </xdr:to>
    <xdr:graphicFrame macro="">
      <xdr:nvGraphicFramePr>
        <xdr:cNvPr id="53" name="Gráfico 52">
          <a:extLst>
            <a:ext uri="{FF2B5EF4-FFF2-40B4-BE49-F238E27FC236}">
              <a16:creationId xmlns:a16="http://schemas.microsoft.com/office/drawing/2014/main" id="{00000000-0008-0000-1000-000035000000}"/>
            </a:ext>
            <a:ext uri="{147F2762-F138-4A5C-976F-8EAC2B608ADB}">
              <a16:predDERef xmlns:a16="http://schemas.microsoft.com/office/drawing/2014/main" pred="{00000000-0008-0000-1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585906</xdr:colOff>
      <xdr:row>0</xdr:row>
      <xdr:rowOff>687760</xdr:rowOff>
    </xdr:to>
    <xdr:pic>
      <xdr:nvPicPr>
        <xdr:cNvPr id="37" name="36 Imagen">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59531</xdr:colOff>
      <xdr:row>73</xdr:row>
      <xdr:rowOff>95250</xdr:rowOff>
    </xdr:from>
    <xdr:ext cx="736864"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100-00002A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1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1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EF9614B-4236-4903-BCC3-FCEC9148A3F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7FBE6B9-BFB7-4F28-BBEF-2AD63A14DCA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441854</xdr:colOff>
      <xdr:row>62</xdr:row>
      <xdr:rowOff>457730</xdr:rowOff>
    </xdr:from>
    <xdr:to>
      <xdr:col>12</xdr:col>
      <xdr:colOff>738187</xdr:colOff>
      <xdr:row>64</xdr:row>
      <xdr:rowOff>727605</xdr:rowOff>
    </xdr:to>
    <xdr:graphicFrame macro="">
      <xdr:nvGraphicFramePr>
        <xdr:cNvPr id="53" name="Gráfico 52">
          <a:extLst>
            <a:ext uri="{FF2B5EF4-FFF2-40B4-BE49-F238E27FC236}">
              <a16:creationId xmlns:a16="http://schemas.microsoft.com/office/drawing/2014/main" id="{00000000-0008-0000-1100-000035000000}"/>
            </a:ext>
            <a:ext uri="{147F2762-F138-4A5C-976F-8EAC2B608ADB}">
              <a16:predDERef xmlns:a16="http://schemas.microsoft.com/office/drawing/2014/main" pred="{00000000-0008-0000-1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0</xdr:row>
      <xdr:rowOff>47625</xdr:rowOff>
    </xdr:from>
    <xdr:to>
      <xdr:col>1</xdr:col>
      <xdr:colOff>518336</xdr:colOff>
      <xdr:row>0</xdr:row>
      <xdr:rowOff>690562</xdr:rowOff>
    </xdr:to>
    <xdr:pic>
      <xdr:nvPicPr>
        <xdr:cNvPr id="54" name="53 Imagen">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stretch>
          <a:fillRect/>
        </a:stretch>
      </xdr:blipFill>
      <xdr:spPr>
        <a:xfrm>
          <a:off x="166688" y="47625"/>
          <a:ext cx="1375586" cy="642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750095"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200-00002A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2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2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50992FD-9819-4B7A-BAF2-461E41DB501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C85EBF2-66AD-444B-BE3F-52413166DA0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613834</xdr:colOff>
      <xdr:row>62</xdr:row>
      <xdr:rowOff>566208</xdr:rowOff>
    </xdr:from>
    <xdr:to>
      <xdr:col>13</xdr:col>
      <xdr:colOff>105833</xdr:colOff>
      <xdr:row>65</xdr:row>
      <xdr:rowOff>95250</xdr:rowOff>
    </xdr:to>
    <xdr:graphicFrame macro="">
      <xdr:nvGraphicFramePr>
        <xdr:cNvPr id="53" name="Gráfico 52">
          <a:extLst>
            <a:ext uri="{FF2B5EF4-FFF2-40B4-BE49-F238E27FC236}">
              <a16:creationId xmlns:a16="http://schemas.microsoft.com/office/drawing/2014/main" id="{00000000-0008-0000-1200-000035000000}"/>
            </a:ext>
            <a:ext uri="{147F2762-F138-4A5C-976F-8EAC2B608ADB}">
              <a16:predDERef xmlns:a16="http://schemas.microsoft.com/office/drawing/2014/main" pred="{00000000-0008-0000-1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59531</xdr:rowOff>
    </xdr:from>
    <xdr:to>
      <xdr:col>1</xdr:col>
      <xdr:colOff>526376</xdr:colOff>
      <xdr:row>0</xdr:row>
      <xdr:rowOff>699666</xdr:rowOff>
    </xdr:to>
    <xdr:pic>
      <xdr:nvPicPr>
        <xdr:cNvPr id="37" name="36 Imagen">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2"/>
        <a:stretch>
          <a:fillRect/>
        </a:stretch>
      </xdr:blipFill>
      <xdr:spPr>
        <a:xfrm>
          <a:off x="214313" y="59531"/>
          <a:ext cx="1371719" cy="64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EB08D93-2709-4996-8663-EF9F46A6D83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1BF412B-2DD4-4F9E-86A8-45C11A817EB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C1C26E7-5155-474A-B341-13CA7ACFA763}"/>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8325503-4A4A-41E4-872F-09D753CD8A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469B640C-99FE-4A89-B153-6192502B19E4}"/>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1026EEE-DD8E-4FB3-8BE9-C69CACAF4D8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4FF6FD69-42C5-4461-A132-9F80FF414B3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882BC38-9722-499A-AB58-E78F366D191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71ED9D-3364-49A0-8979-26E3E802853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73DCA10-D706-4701-82D4-CC33BF12CE66}"/>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EB130F03-446F-4385-9B45-CBC0C034BC98}"/>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FEF4F948-321C-4EA5-86E0-B7352D42CCCB}"/>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D24A641D-DF15-4ABF-B5A4-DA2DEAD17312}"/>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BFAE22A0-E874-4B98-B845-256A83FBED8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23A811-296F-4D84-9376-D9EF381AB4A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AD0B708-B5B0-40AA-8263-F2CE2B7D2CC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6428F2E-EF54-4231-930B-2A3E6AC24CF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88203A4-393E-4DCD-A07C-DFEA294CA4F6}"/>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9104CB0-7F3C-496E-AE51-29E3DA0BF73D}"/>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A2D89D-4C71-432D-8A0A-D681166D94A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E908B9F-78BB-4B55-B165-DE6C342D66C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3570B13-A09F-4EAC-87A2-A94161360C9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CA9A49-D0A1-4619-825C-2B34F900E54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99DD47BA-C1A3-4432-BF97-9EAA28424AB2}"/>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D9BBADA1-4412-4332-B1C5-7ADF3B664BC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27622A6-23C0-4008-94BC-E1EE0F4B7DD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6AD649D-09BC-4BDA-93C5-CF1DD52BF9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2CC7425-F0E0-44F3-8050-907F81723E3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127444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314EC04-0AD3-47AF-A42E-C28E8CEB84B2}"/>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DA98905-DBB0-4109-BB69-43F322C8C9A5}"/>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972342</xdr:colOff>
      <xdr:row>73</xdr:row>
      <xdr:rowOff>111125</xdr:rowOff>
    </xdr:from>
    <xdr:ext cx="100409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A14ABFE7-D00A-4611-B8B0-94B96CD5C92D}"/>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7EDF02F-DF85-4278-81CF-427894C1A497}"/>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9601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09283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68601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69130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100-00002E000000}"/>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F77D7D6D-94C6-4C38-832D-CA439C8D8A32}"/>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100-00002F000000}"/>
            </a:ext>
          </a:extLst>
        </xdr:cNvPr>
        <xdr:cNvSpPr txBox="1"/>
      </xdr:nvSpPr>
      <xdr:spPr>
        <a:xfrm>
          <a:off x="80954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1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366DC8C-B773-44A2-ADF7-B7DE4A6BF56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87C11473-2BC8-41ED-B35D-CD8E1FD22D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476250</xdr:colOff>
      <xdr:row>62</xdr:row>
      <xdr:rowOff>539750</xdr:rowOff>
    </xdr:from>
    <xdr:to>
      <xdr:col>12</xdr:col>
      <xdr:colOff>775229</xdr:colOff>
      <xdr:row>65</xdr:row>
      <xdr:rowOff>68792</xdr:rowOff>
    </xdr:to>
    <xdr:graphicFrame macro="">
      <xdr:nvGraphicFramePr>
        <xdr:cNvPr id="52" name="Gráfico 51">
          <a:extLst>
            <a:ext uri="{FF2B5EF4-FFF2-40B4-BE49-F238E27FC236}">
              <a16:creationId xmlns:a16="http://schemas.microsoft.com/office/drawing/2014/main" id="{00000000-0008-0000-0100-000034000000}"/>
            </a:ext>
            <a:ext uri="{147F2762-F138-4A5C-976F-8EAC2B608ADB}">
              <a16:predDERef xmlns:a16="http://schemas.microsoft.com/office/drawing/2014/main" pre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83343</xdr:rowOff>
    </xdr:from>
    <xdr:to>
      <xdr:col>1</xdr:col>
      <xdr:colOff>483412</xdr:colOff>
      <xdr:row>0</xdr:row>
      <xdr:rowOff>699092</xdr:rowOff>
    </xdr:to>
    <xdr:pic>
      <xdr:nvPicPr>
        <xdr:cNvPr id="48" name="47 Imagen">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a:stretch>
          <a:fillRect/>
        </a:stretch>
      </xdr:blipFill>
      <xdr:spPr>
        <a:xfrm>
          <a:off x="238125" y="83343"/>
          <a:ext cx="1316850" cy="61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3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3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3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3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3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3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3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3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3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3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3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3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3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3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3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3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3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3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3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3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3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3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3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3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3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3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3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3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3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3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3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3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3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3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3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26282"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300-00002A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3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3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3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3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212DF9CE-2F31-4BFC-98FA-B29F5D59B51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3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E0D46CF-C7EF-4A38-A3A3-39953B09A96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415395</xdr:colOff>
      <xdr:row>62</xdr:row>
      <xdr:rowOff>457729</xdr:rowOff>
    </xdr:from>
    <xdr:to>
      <xdr:col>12</xdr:col>
      <xdr:colOff>711728</xdr:colOff>
      <xdr:row>64</xdr:row>
      <xdr:rowOff>727604</xdr:rowOff>
    </xdr:to>
    <xdr:graphicFrame macro="">
      <xdr:nvGraphicFramePr>
        <xdr:cNvPr id="53" name="Gráfico 52">
          <a:extLst>
            <a:ext uri="{FF2B5EF4-FFF2-40B4-BE49-F238E27FC236}">
              <a16:creationId xmlns:a16="http://schemas.microsoft.com/office/drawing/2014/main" id="{00000000-0008-0000-1300-000035000000}"/>
            </a:ext>
            <a:ext uri="{147F2762-F138-4A5C-976F-8EAC2B608ADB}">
              <a16:predDERef xmlns:a16="http://schemas.microsoft.com/office/drawing/2014/main" pred="{00000000-0008-0000-1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35719</xdr:rowOff>
    </xdr:from>
    <xdr:to>
      <xdr:col>1</xdr:col>
      <xdr:colOff>526375</xdr:colOff>
      <xdr:row>0</xdr:row>
      <xdr:rowOff>675854</xdr:rowOff>
    </xdr:to>
    <xdr:pic>
      <xdr:nvPicPr>
        <xdr:cNvPr id="37" name="36 Imagen">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2"/>
        <a:stretch>
          <a:fillRect/>
        </a:stretch>
      </xdr:blipFill>
      <xdr:spPr>
        <a:xfrm>
          <a:off x="226219" y="35719"/>
          <a:ext cx="1371719" cy="64013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4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4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4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4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4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4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4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4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4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4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4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4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4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4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4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4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4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4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4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4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4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4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4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4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4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4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4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4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4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4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4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xdr:colOff>
      <xdr:row>73</xdr:row>
      <xdr:rowOff>107157</xdr:rowOff>
    </xdr:from>
    <xdr:ext cx="714376"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400-00002A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4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4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4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4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4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4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3E7DFC7-1B51-42A7-A543-32F8A21BC0D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59AF8408-2110-4668-98F0-DCFA1C7F88F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325438</xdr:colOff>
      <xdr:row>62</xdr:row>
      <xdr:rowOff>529166</xdr:rowOff>
    </xdr:from>
    <xdr:to>
      <xdr:col>12</xdr:col>
      <xdr:colOff>621771</xdr:colOff>
      <xdr:row>65</xdr:row>
      <xdr:rowOff>58208</xdr:rowOff>
    </xdr:to>
    <xdr:graphicFrame macro="">
      <xdr:nvGraphicFramePr>
        <xdr:cNvPr id="53" name="Gráfico 52">
          <a:extLst>
            <a:ext uri="{FF2B5EF4-FFF2-40B4-BE49-F238E27FC236}">
              <a16:creationId xmlns:a16="http://schemas.microsoft.com/office/drawing/2014/main" id="{00000000-0008-0000-1400-000035000000}"/>
            </a:ext>
            <a:ext uri="{147F2762-F138-4A5C-976F-8EAC2B608ADB}">
              <a16:predDERef xmlns:a16="http://schemas.microsoft.com/office/drawing/2014/main" pred="{00000000-0008-0000-1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71437</xdr:rowOff>
    </xdr:from>
    <xdr:to>
      <xdr:col>1</xdr:col>
      <xdr:colOff>577868</xdr:colOff>
      <xdr:row>0</xdr:row>
      <xdr:rowOff>714374</xdr:rowOff>
    </xdr:to>
    <xdr:pic>
      <xdr:nvPicPr>
        <xdr:cNvPr id="54" name="53 Imagen">
          <a:extLst>
            <a:ext uri="{FF2B5EF4-FFF2-40B4-BE49-F238E27FC236}">
              <a16:creationId xmlns:a16="http://schemas.microsoft.com/office/drawing/2014/main" id="{00000000-0008-0000-1400-000036000000}"/>
            </a:ext>
          </a:extLst>
        </xdr:cNvPr>
        <xdr:cNvPicPr>
          <a:picLocks noChangeAspect="1"/>
        </xdr:cNvPicPr>
      </xdr:nvPicPr>
      <xdr:blipFill>
        <a:blip xmlns:r="http://schemas.openxmlformats.org/officeDocument/2006/relationships" r:embed="rId2"/>
        <a:stretch>
          <a:fillRect/>
        </a:stretch>
      </xdr:blipFill>
      <xdr:spPr>
        <a:xfrm>
          <a:off x="214313" y="71437"/>
          <a:ext cx="1375586" cy="64293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5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5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5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5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5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5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5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5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5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5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5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5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5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5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5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5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5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5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5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5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5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5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5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5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5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5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5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5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5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5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5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5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5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5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5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5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5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5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5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5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5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5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5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5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1CB19A0-0CE3-4954-8126-D63BEB00591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5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B833B34-FF4B-4498-BE4C-B072C498E0E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373061</xdr:colOff>
      <xdr:row>62</xdr:row>
      <xdr:rowOff>404812</xdr:rowOff>
    </xdr:from>
    <xdr:to>
      <xdr:col>12</xdr:col>
      <xdr:colOff>669394</xdr:colOff>
      <xdr:row>64</xdr:row>
      <xdr:rowOff>674687</xdr:rowOff>
    </xdr:to>
    <xdr:graphicFrame macro="">
      <xdr:nvGraphicFramePr>
        <xdr:cNvPr id="53" name="Gráfico 52">
          <a:extLst>
            <a:ext uri="{FF2B5EF4-FFF2-40B4-BE49-F238E27FC236}">
              <a16:creationId xmlns:a16="http://schemas.microsoft.com/office/drawing/2014/main" id="{00000000-0008-0000-1500-000035000000}"/>
            </a:ext>
            <a:ext uri="{147F2762-F138-4A5C-976F-8EAC2B608ADB}">
              <a16:predDERef xmlns:a16="http://schemas.microsoft.com/office/drawing/2014/main" pred="{00000000-0008-0000-1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59532</xdr:rowOff>
    </xdr:from>
    <xdr:to>
      <xdr:col>1</xdr:col>
      <xdr:colOff>502562</xdr:colOff>
      <xdr:row>0</xdr:row>
      <xdr:rowOff>699667</xdr:rowOff>
    </xdr:to>
    <xdr:pic>
      <xdr:nvPicPr>
        <xdr:cNvPr id="37" name="36 Imagen">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2"/>
        <a:stretch>
          <a:fillRect/>
        </a:stretch>
      </xdr:blipFill>
      <xdr:spPr>
        <a:xfrm>
          <a:off x="202406" y="59532"/>
          <a:ext cx="1371719"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6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73818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600-00002A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6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6EEEFE9-003E-4B05-B8CE-BE710B5201F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05461F6-DACA-45BE-B2EA-895F2197107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330729</xdr:colOff>
      <xdr:row>62</xdr:row>
      <xdr:rowOff>420688</xdr:rowOff>
    </xdr:from>
    <xdr:to>
      <xdr:col>12</xdr:col>
      <xdr:colOff>627062</xdr:colOff>
      <xdr:row>64</xdr:row>
      <xdr:rowOff>690563</xdr:rowOff>
    </xdr:to>
    <xdr:graphicFrame macro="">
      <xdr:nvGraphicFramePr>
        <xdr:cNvPr id="53" name="Gráfico 52">
          <a:extLst>
            <a:ext uri="{FF2B5EF4-FFF2-40B4-BE49-F238E27FC236}">
              <a16:creationId xmlns:a16="http://schemas.microsoft.com/office/drawing/2014/main" id="{00000000-0008-0000-1600-000035000000}"/>
            </a:ext>
            <a:ext uri="{147F2762-F138-4A5C-976F-8EAC2B608ADB}">
              <a16:predDERef xmlns:a16="http://schemas.microsoft.com/office/drawing/2014/main" pred="{00000000-0008-0000-1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154782</xdr:colOff>
      <xdr:row>0</xdr:row>
      <xdr:rowOff>35719</xdr:rowOff>
    </xdr:from>
    <xdr:to>
      <xdr:col>1</xdr:col>
      <xdr:colOff>446899</xdr:colOff>
      <xdr:row>0</xdr:row>
      <xdr:rowOff>678656</xdr:rowOff>
    </xdr:to>
    <xdr:pic>
      <xdr:nvPicPr>
        <xdr:cNvPr id="54" name="53 Imagen">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2"/>
        <a:stretch>
          <a:fillRect/>
        </a:stretch>
      </xdr:blipFill>
      <xdr:spPr>
        <a:xfrm>
          <a:off x="154782" y="35719"/>
          <a:ext cx="1375586" cy="642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E7F27F0-3C29-43AA-BA91-4E9647B75CB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4520B41-3988-4362-AAC5-9E8AFA4AFCB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267229</xdr:colOff>
      <xdr:row>62</xdr:row>
      <xdr:rowOff>431271</xdr:rowOff>
    </xdr:from>
    <xdr:to>
      <xdr:col>12</xdr:col>
      <xdr:colOff>563562</xdr:colOff>
      <xdr:row>64</xdr:row>
      <xdr:rowOff>701146</xdr:rowOff>
    </xdr:to>
    <xdr:graphicFrame macro="">
      <xdr:nvGraphicFramePr>
        <xdr:cNvPr id="53" name="Gráfico 52">
          <a:extLst>
            <a:ext uri="{FF2B5EF4-FFF2-40B4-BE49-F238E27FC236}">
              <a16:creationId xmlns:a16="http://schemas.microsoft.com/office/drawing/2014/main" id="{00000000-0008-0000-1700-000035000000}"/>
            </a:ext>
            <a:ext uri="{147F2762-F138-4A5C-976F-8EAC2B608ADB}">
              <a16:predDERef xmlns:a16="http://schemas.microsoft.com/office/drawing/2014/main" pred="{00000000-0008-0000-1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589773</xdr:colOff>
      <xdr:row>0</xdr:row>
      <xdr:rowOff>702468</xdr:rowOff>
    </xdr:to>
    <xdr:pic>
      <xdr:nvPicPr>
        <xdr:cNvPr id="54" name="53 Imagen">
          <a:extLst>
            <a:ext uri="{FF2B5EF4-FFF2-40B4-BE49-F238E27FC236}">
              <a16:creationId xmlns:a16="http://schemas.microsoft.com/office/drawing/2014/main" id="{00000000-0008-0000-1700-000036000000}"/>
            </a:ext>
          </a:extLst>
        </xdr:cNvPr>
        <xdr:cNvPicPr>
          <a:picLocks noChangeAspect="1"/>
        </xdr:cNvPicPr>
      </xdr:nvPicPr>
      <xdr:blipFill>
        <a:blip xmlns:r="http://schemas.openxmlformats.org/officeDocument/2006/relationships" r:embed="rId2"/>
        <a:stretch>
          <a:fillRect/>
        </a:stretch>
      </xdr:blipFill>
      <xdr:spPr>
        <a:xfrm>
          <a:off x="238125" y="59531"/>
          <a:ext cx="1375586" cy="6429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8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0</xdr:colOff>
      <xdr:row>73</xdr:row>
      <xdr:rowOff>95250</xdr:rowOff>
    </xdr:from>
    <xdr:ext cx="748770"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800-00002A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8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6423C26-4C91-4378-AD2D-301D30D6FC0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D019746-72C6-45BD-BF03-2F4A8C5F6E8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449791</xdr:colOff>
      <xdr:row>62</xdr:row>
      <xdr:rowOff>452437</xdr:rowOff>
    </xdr:from>
    <xdr:to>
      <xdr:col>12</xdr:col>
      <xdr:colOff>746124</xdr:colOff>
      <xdr:row>64</xdr:row>
      <xdr:rowOff>722312</xdr:rowOff>
    </xdr:to>
    <xdr:graphicFrame macro="">
      <xdr:nvGraphicFramePr>
        <xdr:cNvPr id="53" name="Gráfico 52">
          <a:extLst>
            <a:ext uri="{FF2B5EF4-FFF2-40B4-BE49-F238E27FC236}">
              <a16:creationId xmlns:a16="http://schemas.microsoft.com/office/drawing/2014/main" id="{00000000-0008-0000-1800-000035000000}"/>
            </a:ext>
            <a:ext uri="{147F2762-F138-4A5C-976F-8EAC2B608ADB}">
              <a16:predDERef xmlns:a16="http://schemas.microsoft.com/office/drawing/2014/main" pred="{00000000-0008-0000-1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565961</xdr:colOff>
      <xdr:row>0</xdr:row>
      <xdr:rowOff>690562</xdr:rowOff>
    </xdr:to>
    <xdr:pic>
      <xdr:nvPicPr>
        <xdr:cNvPr id="54" name="53 Imagen">
          <a:extLst>
            <a:ext uri="{FF2B5EF4-FFF2-40B4-BE49-F238E27FC236}">
              <a16:creationId xmlns:a16="http://schemas.microsoft.com/office/drawing/2014/main" id="{00000000-0008-0000-1800-000036000000}"/>
            </a:ext>
          </a:extLst>
        </xdr:cNvPr>
        <xdr:cNvPicPr>
          <a:picLocks noChangeAspect="1"/>
        </xdr:cNvPicPr>
      </xdr:nvPicPr>
      <xdr:blipFill>
        <a:blip xmlns:r="http://schemas.openxmlformats.org/officeDocument/2006/relationships" r:embed="rId2"/>
        <a:stretch>
          <a:fillRect/>
        </a:stretch>
      </xdr:blipFill>
      <xdr:spPr>
        <a:xfrm>
          <a:off x="214313" y="47625"/>
          <a:ext cx="1375586" cy="642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202A7E4-EC1A-4334-AD9F-7A83025EFBC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3A8CECE6-4976-4594-8EC7-474F1713308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507999</xdr:colOff>
      <xdr:row>62</xdr:row>
      <xdr:rowOff>291041</xdr:rowOff>
    </xdr:from>
    <xdr:to>
      <xdr:col>12</xdr:col>
      <xdr:colOff>804332</xdr:colOff>
      <xdr:row>64</xdr:row>
      <xdr:rowOff>560916</xdr:rowOff>
    </xdr:to>
    <xdr:graphicFrame macro="">
      <xdr:nvGraphicFramePr>
        <xdr:cNvPr id="53" name="Gráfico 52">
          <a:extLst>
            <a:ext uri="{FF2B5EF4-FFF2-40B4-BE49-F238E27FC236}">
              <a16:creationId xmlns:a16="http://schemas.microsoft.com/office/drawing/2014/main" id="{00000000-0008-0000-1900-000035000000}"/>
            </a:ext>
            <a:ext uri="{147F2762-F138-4A5C-976F-8EAC2B608ADB}">
              <a16:predDERef xmlns:a16="http://schemas.microsoft.com/office/drawing/2014/main" pred="{00000000-0008-0000-1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226220</xdr:colOff>
      <xdr:row>0</xdr:row>
      <xdr:rowOff>71437</xdr:rowOff>
    </xdr:from>
    <xdr:to>
      <xdr:col>1</xdr:col>
      <xdr:colOff>562095</xdr:colOff>
      <xdr:row>0</xdr:row>
      <xdr:rowOff>711572</xdr:rowOff>
    </xdr:to>
    <xdr:pic>
      <xdr:nvPicPr>
        <xdr:cNvPr id="37" name="36 Imagen">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2"/>
        <a:stretch>
          <a:fillRect/>
        </a:stretch>
      </xdr:blipFill>
      <xdr:spPr>
        <a:xfrm>
          <a:off x="226220" y="71437"/>
          <a:ext cx="1371719" cy="6401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A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736864"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A00-00002A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A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488E316-4EC4-4530-9CDB-D63D25CE89E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C31675C-A502-412C-B74A-08792A49D08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314854</xdr:colOff>
      <xdr:row>62</xdr:row>
      <xdr:rowOff>394229</xdr:rowOff>
    </xdr:from>
    <xdr:to>
      <xdr:col>12</xdr:col>
      <xdr:colOff>611187</xdr:colOff>
      <xdr:row>64</xdr:row>
      <xdr:rowOff>664104</xdr:rowOff>
    </xdr:to>
    <xdr:graphicFrame macro="">
      <xdr:nvGraphicFramePr>
        <xdr:cNvPr id="53" name="Gráfico 52">
          <a:extLst>
            <a:ext uri="{FF2B5EF4-FFF2-40B4-BE49-F238E27FC236}">
              <a16:creationId xmlns:a16="http://schemas.microsoft.com/office/drawing/2014/main" id="{00000000-0008-0000-1A00-000035000000}"/>
            </a:ext>
            <a:ext uri="{147F2762-F138-4A5C-976F-8EAC2B608ADB}">
              <a16:predDERef xmlns:a16="http://schemas.microsoft.com/office/drawing/2014/main" pred="{00000000-0008-0000-1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59531</xdr:rowOff>
    </xdr:from>
    <xdr:to>
      <xdr:col>1</xdr:col>
      <xdr:colOff>562093</xdr:colOff>
      <xdr:row>0</xdr:row>
      <xdr:rowOff>699666</xdr:rowOff>
    </xdr:to>
    <xdr:pic>
      <xdr:nvPicPr>
        <xdr:cNvPr id="37" name="36 Imagen">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2"/>
        <a:stretch>
          <a:fillRect/>
        </a:stretch>
      </xdr:blipFill>
      <xdr:spPr>
        <a:xfrm>
          <a:off x="214312" y="59531"/>
          <a:ext cx="1371719" cy="6401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401508</xdr:colOff>
      <xdr:row>69</xdr:row>
      <xdr:rowOff>153994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B00-000033000000}"/>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AE713BF-7829-4ECD-A353-224172BFF5DE}"/>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B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8FDD811-A8F2-4402-91CD-068E28BF6D4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169332</xdr:colOff>
      <xdr:row>62</xdr:row>
      <xdr:rowOff>391584</xdr:rowOff>
    </xdr:from>
    <xdr:to>
      <xdr:col>12</xdr:col>
      <xdr:colOff>465665</xdr:colOff>
      <xdr:row>64</xdr:row>
      <xdr:rowOff>661459</xdr:rowOff>
    </xdr:to>
    <xdr:graphicFrame macro="">
      <xdr:nvGraphicFramePr>
        <xdr:cNvPr id="53" name="Gráfico 52">
          <a:extLst>
            <a:ext uri="{FF2B5EF4-FFF2-40B4-BE49-F238E27FC236}">
              <a16:creationId xmlns:a16="http://schemas.microsoft.com/office/drawing/2014/main" id="{00000000-0008-0000-1B00-000035000000}"/>
            </a:ext>
            <a:ext uri="{147F2762-F138-4A5C-976F-8EAC2B608ADB}">
              <a16:predDERef xmlns:a16="http://schemas.microsoft.com/office/drawing/2014/main" pred="{00000000-0008-0000-1E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35719</xdr:rowOff>
    </xdr:from>
    <xdr:to>
      <xdr:col>1</xdr:col>
      <xdr:colOff>550187</xdr:colOff>
      <xdr:row>0</xdr:row>
      <xdr:rowOff>675854</xdr:rowOff>
    </xdr:to>
    <xdr:pic>
      <xdr:nvPicPr>
        <xdr:cNvPr id="37" name="36 Imagen">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2"/>
        <a:stretch>
          <a:fillRect/>
        </a:stretch>
      </xdr:blipFill>
      <xdr:spPr>
        <a:xfrm>
          <a:off x="214312" y="35719"/>
          <a:ext cx="1371719" cy="6401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C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C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95251</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C00-00002A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C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3C1FD6D-58CD-4BB9-AE4F-67E6B9A0F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C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7CAF4EF-0F3E-47C5-9DBB-A6E3DE4448D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193145</xdr:colOff>
      <xdr:row>62</xdr:row>
      <xdr:rowOff>492125</xdr:rowOff>
    </xdr:from>
    <xdr:to>
      <xdr:col>12</xdr:col>
      <xdr:colOff>489478</xdr:colOff>
      <xdr:row>65</xdr:row>
      <xdr:rowOff>21167</xdr:rowOff>
    </xdr:to>
    <xdr:graphicFrame macro="">
      <xdr:nvGraphicFramePr>
        <xdr:cNvPr id="53" name="Gráfico 52">
          <a:extLst>
            <a:ext uri="{FF2B5EF4-FFF2-40B4-BE49-F238E27FC236}">
              <a16:creationId xmlns:a16="http://schemas.microsoft.com/office/drawing/2014/main" id="{00000000-0008-0000-1C00-000035000000}"/>
            </a:ext>
            <a:ext uri="{147F2762-F138-4A5C-976F-8EAC2B608ADB}">
              <a16:predDERef xmlns:a16="http://schemas.microsoft.com/office/drawing/2014/main" pred="{00000000-0008-0000-1F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538281</xdr:colOff>
      <xdr:row>0</xdr:row>
      <xdr:rowOff>699666</xdr:rowOff>
    </xdr:to>
    <xdr:pic>
      <xdr:nvPicPr>
        <xdr:cNvPr id="37" name="36 Imagen">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2"/>
        <a:stretch>
          <a:fillRect/>
        </a:stretch>
      </xdr:blipFill>
      <xdr:spPr>
        <a:xfrm>
          <a:off x="238125" y="59531"/>
          <a:ext cx="1371719"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48B39686-433B-43C4-A964-DC1828ED8334}"/>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FE572943-1AAD-48F1-A4FB-E6CA07C8AF2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A75104A-7E2D-48CD-A5EF-F30FB72F16B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09E2C95-A7B5-448F-A279-9680C762E406}"/>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6A699EB9-7B9F-4423-9E05-0433338A944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E2E52CB4-56F8-4EBA-9C3E-EE7F0F1519F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7807DBE-D552-4268-829F-71C47591595C}"/>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BBA62C7C-B524-4CD9-B3D2-94800D22B9C1}"/>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EC5D7C-B82F-4563-9BD6-04684BE9A19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4D985BE8-3A8D-488B-A741-F0EED8842AC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75FA8AC-1F4F-4C32-8D7C-8A06779FC036}"/>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4D8DF17-BBA4-418A-B77D-AEC9360C599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904426E-ECAD-45DB-B149-12664D7FF988}"/>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06CD64A-6497-4D69-A1DD-5DCC4BD6A99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97080E7-6525-4324-9E98-D661E0030DD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5CD5EF8-0137-4BA1-968A-21D23ABFFF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784CF693-4E64-4DF3-BEFC-E325BFDBF34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8FF43D12-8606-43C4-9574-9CBF3DBBF14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AEA05AA-113C-498E-A3B0-52B896E1034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94041B12-DFF1-4652-95DF-2A0B7810F16A}"/>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316296E-1190-4184-A2BE-31E90BC68E3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C7EE899-B69C-4B04-B355-AFBBB3EF5BE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49610046-EA16-473E-87DD-B68929CAFEC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B2E30D50-7BB1-4011-A409-95EEC9321D6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4CEFF63-05D8-4A64-9492-22435CFD357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103C053D-01C0-4C51-A5AD-E87215C761E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C47042AD-8DA6-4AC0-9086-F653B38896A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B3793EE-EC1C-40C4-91B8-624522F5178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528ECE6-8C27-438A-90B3-DD8F8679E25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7A9B3ED-2AD3-49DB-90B3-525582AEAEA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892969"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7870F63F-DFC1-4DA0-A9C1-6DF0207AA92A}"/>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C32B1ACF-EE5A-4A4B-A83B-EF9F397CA0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2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2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2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8A930622-55B5-4543-83F9-4E4FF1B59D63}"/>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2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53D85714-F689-4E41-89AA-4BED84557FE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2532A77A-E77F-4790-9C7D-E1B558F45BD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505353</xdr:colOff>
      <xdr:row>62</xdr:row>
      <xdr:rowOff>412750</xdr:rowOff>
    </xdr:from>
    <xdr:to>
      <xdr:col>12</xdr:col>
      <xdr:colOff>804332</xdr:colOff>
      <xdr:row>64</xdr:row>
      <xdr:rowOff>682625</xdr:rowOff>
    </xdr:to>
    <xdr:graphicFrame macro="">
      <xdr:nvGraphicFramePr>
        <xdr:cNvPr id="52" name="Gráfico 51">
          <a:extLst>
            <a:ext uri="{FF2B5EF4-FFF2-40B4-BE49-F238E27FC236}">
              <a16:creationId xmlns:a16="http://schemas.microsoft.com/office/drawing/2014/main" id="{00000000-0008-0000-0200-000034000000}"/>
            </a:ext>
            <a:ext uri="{147F2762-F138-4A5C-976F-8EAC2B608ADB}">
              <a16:predDERef xmlns:a16="http://schemas.microsoft.com/office/drawing/2014/main" pre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35718</xdr:rowOff>
    </xdr:from>
    <xdr:to>
      <xdr:col>1</xdr:col>
      <xdr:colOff>542943</xdr:colOff>
      <xdr:row>0</xdr:row>
      <xdr:rowOff>651467</xdr:rowOff>
    </xdr:to>
    <xdr:pic>
      <xdr:nvPicPr>
        <xdr:cNvPr id="48" name="47 Imagen">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a:stretch>
          <a:fillRect/>
        </a:stretch>
      </xdr:blipFill>
      <xdr:spPr>
        <a:xfrm>
          <a:off x="250031" y="35718"/>
          <a:ext cx="1316850" cy="61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D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D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D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D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D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D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D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D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D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D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D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D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D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D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D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D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D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D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D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D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D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D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D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D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D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D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D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D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D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D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D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D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D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D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D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D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D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D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C17A67F-1290-4308-8C0D-30286039D61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D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EBA5BEE-C1BE-4E2A-AA11-154828997BC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179916</xdr:colOff>
      <xdr:row>62</xdr:row>
      <xdr:rowOff>436562</xdr:rowOff>
    </xdr:from>
    <xdr:to>
      <xdr:col>12</xdr:col>
      <xdr:colOff>478895</xdr:colOff>
      <xdr:row>64</xdr:row>
      <xdr:rowOff>706437</xdr:rowOff>
    </xdr:to>
    <xdr:graphicFrame macro="">
      <xdr:nvGraphicFramePr>
        <xdr:cNvPr id="53" name="Gráfico 52">
          <a:extLst>
            <a:ext uri="{FF2B5EF4-FFF2-40B4-BE49-F238E27FC236}">
              <a16:creationId xmlns:a16="http://schemas.microsoft.com/office/drawing/2014/main" id="{00000000-0008-0000-1D00-000035000000}"/>
            </a:ext>
            <a:ext uri="{147F2762-F138-4A5C-976F-8EAC2B608ADB}">
              <a16:predDERef xmlns:a16="http://schemas.microsoft.com/office/drawing/2014/main" pred="{00000000-0008-0000-2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59531</xdr:rowOff>
    </xdr:from>
    <xdr:to>
      <xdr:col>1</xdr:col>
      <xdr:colOff>502562</xdr:colOff>
      <xdr:row>0</xdr:row>
      <xdr:rowOff>699666</xdr:rowOff>
    </xdr:to>
    <xdr:pic>
      <xdr:nvPicPr>
        <xdr:cNvPr id="37" name="36 Imagen">
          <a:extLst>
            <a:ext uri="{FF2B5EF4-FFF2-40B4-BE49-F238E27FC236}">
              <a16:creationId xmlns:a16="http://schemas.microsoft.com/office/drawing/2014/main" id="{00000000-0008-0000-1D00-000025000000}"/>
            </a:ext>
          </a:extLst>
        </xdr:cNvPr>
        <xdr:cNvPicPr>
          <a:picLocks noChangeAspect="1"/>
        </xdr:cNvPicPr>
      </xdr:nvPicPr>
      <xdr:blipFill>
        <a:blip xmlns:r="http://schemas.openxmlformats.org/officeDocument/2006/relationships" r:embed="rId2"/>
        <a:stretch>
          <a:fillRect/>
        </a:stretch>
      </xdr:blipFill>
      <xdr:spPr>
        <a:xfrm>
          <a:off x="202406" y="59531"/>
          <a:ext cx="1371719" cy="640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E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E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E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E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E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E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E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E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E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E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E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E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E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E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E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E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E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E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E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E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E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E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E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E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E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E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E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E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E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E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E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E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E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E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E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E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E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E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E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E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E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996C4A5D-F6F1-4BC3-81E3-6DFB846A20B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E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A71394F-DDFF-4B4F-A500-6283CEDAB5E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132292</xdr:colOff>
      <xdr:row>62</xdr:row>
      <xdr:rowOff>420688</xdr:rowOff>
    </xdr:from>
    <xdr:to>
      <xdr:col>12</xdr:col>
      <xdr:colOff>428625</xdr:colOff>
      <xdr:row>64</xdr:row>
      <xdr:rowOff>690563</xdr:rowOff>
    </xdr:to>
    <xdr:graphicFrame macro="">
      <xdr:nvGraphicFramePr>
        <xdr:cNvPr id="53" name="Gráfico 52">
          <a:extLst>
            <a:ext uri="{FF2B5EF4-FFF2-40B4-BE49-F238E27FC236}">
              <a16:creationId xmlns:a16="http://schemas.microsoft.com/office/drawing/2014/main" id="{00000000-0008-0000-1E00-000035000000}"/>
            </a:ext>
            <a:ext uri="{147F2762-F138-4A5C-976F-8EAC2B608ADB}">
              <a16:predDERef xmlns:a16="http://schemas.microsoft.com/office/drawing/2014/main" pred="{00000000-0008-0000-2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538281</xdr:colOff>
      <xdr:row>0</xdr:row>
      <xdr:rowOff>687760</xdr:rowOff>
    </xdr:to>
    <xdr:pic>
      <xdr:nvPicPr>
        <xdr:cNvPr id="37" name="36 Imagen">
          <a:extLst>
            <a:ext uri="{FF2B5EF4-FFF2-40B4-BE49-F238E27FC236}">
              <a16:creationId xmlns:a16="http://schemas.microsoft.com/office/drawing/2014/main" id="{00000000-0008-0000-1E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F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F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F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DBF2DECE-B26C-46D0-B033-F9492965500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BCE1E1CD-5944-49A1-B0A9-1E7D5255E16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468313</xdr:colOff>
      <xdr:row>62</xdr:row>
      <xdr:rowOff>531813</xdr:rowOff>
    </xdr:from>
    <xdr:to>
      <xdr:col>12</xdr:col>
      <xdr:colOff>767292</xdr:colOff>
      <xdr:row>65</xdr:row>
      <xdr:rowOff>60855</xdr:rowOff>
    </xdr:to>
    <xdr:graphicFrame macro="">
      <xdr:nvGraphicFramePr>
        <xdr:cNvPr id="53" name="Gráfico 52">
          <a:extLst>
            <a:ext uri="{FF2B5EF4-FFF2-40B4-BE49-F238E27FC236}">
              <a16:creationId xmlns:a16="http://schemas.microsoft.com/office/drawing/2014/main" id="{00000000-0008-0000-1F00-000035000000}"/>
            </a:ext>
            <a:ext uri="{147F2762-F138-4A5C-976F-8EAC2B608ADB}">
              <a16:predDERef xmlns:a16="http://schemas.microsoft.com/office/drawing/2014/main" pred="{00000000-0008-0000-2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178594</xdr:colOff>
      <xdr:row>0</xdr:row>
      <xdr:rowOff>23813</xdr:rowOff>
    </xdr:from>
    <xdr:to>
      <xdr:col>1</xdr:col>
      <xdr:colOff>514469</xdr:colOff>
      <xdr:row>0</xdr:row>
      <xdr:rowOff>663948</xdr:rowOff>
    </xdr:to>
    <xdr:pic>
      <xdr:nvPicPr>
        <xdr:cNvPr id="37" name="36 Imagen">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embed="rId2"/>
        <a:stretch>
          <a:fillRect/>
        </a:stretch>
      </xdr:blipFill>
      <xdr:spPr>
        <a:xfrm>
          <a:off x="178594" y="23813"/>
          <a:ext cx="1371719" cy="6401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79750</xdr:colOff>
      <xdr:row>190</xdr:row>
      <xdr:rowOff>76200</xdr:rowOff>
    </xdr:from>
    <xdr:to>
      <xdr:col>14</xdr:col>
      <xdr:colOff>1160416</xdr:colOff>
      <xdr:row>194</xdr:row>
      <xdr:rowOff>352200</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291346</xdr:colOff>
      <xdr:row>190</xdr:row>
      <xdr:rowOff>92074</xdr:rowOff>
    </xdr:from>
    <xdr:to>
      <xdr:col>16</xdr:col>
      <xdr:colOff>1372013</xdr:colOff>
      <xdr:row>194</xdr:row>
      <xdr:rowOff>368074</xdr:rowOff>
    </xdr:to>
    <xdr:graphicFrame macro="">
      <xdr:nvGraphicFramePr>
        <xdr:cNvPr id="3" name="Gráfico 2">
          <a:extLst>
            <a:ext uri="{FF2B5EF4-FFF2-40B4-BE49-F238E27FC236}">
              <a16:creationId xmlns:a16="http://schemas.microsoft.com/office/drawing/2014/main" id="{00000000-0008-0000-2000-000003000000}"/>
            </a:ext>
            <a:ext uri="{147F2762-F138-4A5C-976F-8EAC2B608ADB}">
              <a16:predDERef xmlns:a16="http://schemas.microsoft.com/office/drawing/2014/main" pre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244863</xdr:colOff>
      <xdr:row>190</xdr:row>
      <xdr:rowOff>69273</xdr:rowOff>
    </xdr:from>
    <xdr:to>
      <xdr:col>18</xdr:col>
      <xdr:colOff>1325530</xdr:colOff>
      <xdr:row>194</xdr:row>
      <xdr:rowOff>345273</xdr:rowOff>
    </xdr:to>
    <xdr:graphicFrame macro="">
      <xdr:nvGraphicFramePr>
        <xdr:cNvPr id="4" name="Gráfico 3">
          <a:extLst>
            <a:ext uri="{FF2B5EF4-FFF2-40B4-BE49-F238E27FC236}">
              <a16:creationId xmlns:a16="http://schemas.microsoft.com/office/drawing/2014/main" id="{00000000-0008-0000-2000-000004000000}"/>
            </a:ext>
            <a:ext uri="{147F2762-F138-4A5C-976F-8EAC2B608ADB}">
              <a16:predDERef xmlns:a16="http://schemas.microsoft.com/office/drawing/2014/main" pre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301626</xdr:colOff>
      <xdr:row>168</xdr:row>
      <xdr:rowOff>-1</xdr:rowOff>
    </xdr:from>
    <xdr:to>
      <xdr:col>18</xdr:col>
      <xdr:colOff>1382293</xdr:colOff>
      <xdr:row>172</xdr:row>
      <xdr:rowOff>275999</xdr:rowOff>
    </xdr:to>
    <xdr:graphicFrame macro="">
      <xdr:nvGraphicFramePr>
        <xdr:cNvPr id="5" name="Gráfico 4">
          <a:extLst>
            <a:ext uri="{FF2B5EF4-FFF2-40B4-BE49-F238E27FC236}">
              <a16:creationId xmlns:a16="http://schemas.microsoft.com/office/drawing/2014/main" id="{00000000-0008-0000-2000-000005000000}"/>
            </a:ext>
            <a:ext uri="{147F2762-F138-4A5C-976F-8EAC2B608ADB}">
              <a16:predDERef xmlns:a16="http://schemas.microsoft.com/office/drawing/2014/main" pre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359835</xdr:colOff>
      <xdr:row>168</xdr:row>
      <xdr:rowOff>100543</xdr:rowOff>
    </xdr:from>
    <xdr:to>
      <xdr:col>17</xdr:col>
      <xdr:colOff>1168</xdr:colOff>
      <xdr:row>172</xdr:row>
      <xdr:rowOff>376543</xdr:rowOff>
    </xdr:to>
    <xdr:graphicFrame macro="">
      <xdr:nvGraphicFramePr>
        <xdr:cNvPr id="6" name="Gráfico 5">
          <a:extLst>
            <a:ext uri="{FF2B5EF4-FFF2-40B4-BE49-F238E27FC236}">
              <a16:creationId xmlns:a16="http://schemas.microsoft.com/office/drawing/2014/main" id="{00000000-0008-0000-2000-000006000000}"/>
            </a:ext>
            <a:ext uri="{147F2762-F138-4A5C-976F-8EAC2B608ADB}">
              <a16:predDERef xmlns:a16="http://schemas.microsoft.com/office/drawing/2014/main" pre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224518</xdr:colOff>
      <xdr:row>168</xdr:row>
      <xdr:rowOff>95250</xdr:rowOff>
    </xdr:from>
    <xdr:to>
      <xdr:col>14</xdr:col>
      <xdr:colOff>1305184</xdr:colOff>
      <xdr:row>172</xdr:row>
      <xdr:rowOff>371250</xdr:rowOff>
    </xdr:to>
    <xdr:graphicFrame macro="">
      <xdr:nvGraphicFramePr>
        <xdr:cNvPr id="7" name="Gráfico 6">
          <a:extLst>
            <a:ext uri="{FF2B5EF4-FFF2-40B4-BE49-F238E27FC236}">
              <a16:creationId xmlns:a16="http://schemas.microsoft.com/office/drawing/2014/main" id="{00000000-0008-0000-2000-000007000000}"/>
            </a:ext>
            <a:ext uri="{147F2762-F138-4A5C-976F-8EAC2B608ADB}">
              <a16:predDERef xmlns:a16="http://schemas.microsoft.com/office/drawing/2014/main" pre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174624</xdr:colOff>
      <xdr:row>179</xdr:row>
      <xdr:rowOff>206378</xdr:rowOff>
    </xdr:from>
    <xdr:to>
      <xdr:col>14</xdr:col>
      <xdr:colOff>1255290</xdr:colOff>
      <xdr:row>183</xdr:row>
      <xdr:rowOff>101378</xdr:rowOff>
    </xdr:to>
    <xdr:graphicFrame macro="">
      <xdr:nvGraphicFramePr>
        <xdr:cNvPr id="8" name="Gráfico 7">
          <a:extLst>
            <a:ext uri="{FF2B5EF4-FFF2-40B4-BE49-F238E27FC236}">
              <a16:creationId xmlns:a16="http://schemas.microsoft.com/office/drawing/2014/main" id="{00000000-0008-0000-2000-000008000000}"/>
            </a:ext>
            <a:ext uri="{147F2762-F138-4A5C-976F-8EAC2B608ADB}">
              <a16:predDERef xmlns:a16="http://schemas.microsoft.com/office/drawing/2014/main" pre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439512</xdr:colOff>
      <xdr:row>179</xdr:row>
      <xdr:rowOff>222254</xdr:rowOff>
    </xdr:from>
    <xdr:to>
      <xdr:col>17</xdr:col>
      <xdr:colOff>80845</xdr:colOff>
      <xdr:row>183</xdr:row>
      <xdr:rowOff>117254</xdr:rowOff>
    </xdr:to>
    <xdr:graphicFrame macro="">
      <xdr:nvGraphicFramePr>
        <xdr:cNvPr id="9" name="Gráfico 8">
          <a:extLst>
            <a:ext uri="{FF2B5EF4-FFF2-40B4-BE49-F238E27FC236}">
              <a16:creationId xmlns:a16="http://schemas.microsoft.com/office/drawing/2014/main" id="{00000000-0008-0000-2000-000009000000}"/>
            </a:ext>
            <a:ext uri="{147F2762-F138-4A5C-976F-8EAC2B608ADB}">
              <a16:predDERef xmlns:a16="http://schemas.microsoft.com/office/drawing/2014/main" pre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387805</xdr:colOff>
      <xdr:row>179</xdr:row>
      <xdr:rowOff>264585</xdr:rowOff>
    </xdr:from>
    <xdr:to>
      <xdr:col>19</xdr:col>
      <xdr:colOff>29139</xdr:colOff>
      <xdr:row>183</xdr:row>
      <xdr:rowOff>159585</xdr:rowOff>
    </xdr:to>
    <xdr:graphicFrame macro="">
      <xdr:nvGraphicFramePr>
        <xdr:cNvPr id="10" name="Gráfico 9">
          <a:extLst>
            <a:ext uri="{FF2B5EF4-FFF2-40B4-BE49-F238E27FC236}">
              <a16:creationId xmlns:a16="http://schemas.microsoft.com/office/drawing/2014/main" id="{00000000-0008-0000-2000-00000A000000}"/>
            </a:ext>
            <a:ext uri="{147F2762-F138-4A5C-976F-8EAC2B608ADB}">
              <a16:predDERef xmlns:a16="http://schemas.microsoft.com/office/drawing/2014/main" pre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223611</xdr:colOff>
      <xdr:row>146</xdr:row>
      <xdr:rowOff>21161</xdr:rowOff>
    </xdr:from>
    <xdr:to>
      <xdr:col>14</xdr:col>
      <xdr:colOff>1304277</xdr:colOff>
      <xdr:row>150</xdr:row>
      <xdr:rowOff>297161</xdr:rowOff>
    </xdr:to>
    <xdr:graphicFrame macro="">
      <xdr:nvGraphicFramePr>
        <xdr:cNvPr id="11" name="Gráfico 10">
          <a:extLst>
            <a:ext uri="{FF2B5EF4-FFF2-40B4-BE49-F238E27FC236}">
              <a16:creationId xmlns:a16="http://schemas.microsoft.com/office/drawing/2014/main" id="{00000000-0008-0000-2000-00000B000000}"/>
            </a:ext>
            <a:ext uri="{147F2762-F138-4A5C-976F-8EAC2B608ADB}">
              <a16:predDERef xmlns:a16="http://schemas.microsoft.com/office/drawing/2014/main" pre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412625</xdr:colOff>
      <xdr:row>146</xdr:row>
      <xdr:rowOff>28377</xdr:rowOff>
    </xdr:from>
    <xdr:to>
      <xdr:col>17</xdr:col>
      <xdr:colOff>53958</xdr:colOff>
      <xdr:row>150</xdr:row>
      <xdr:rowOff>304377</xdr:rowOff>
    </xdr:to>
    <xdr:graphicFrame macro="">
      <xdr:nvGraphicFramePr>
        <xdr:cNvPr id="12" name="Gráfico 11">
          <a:extLst>
            <a:ext uri="{FF2B5EF4-FFF2-40B4-BE49-F238E27FC236}">
              <a16:creationId xmlns:a16="http://schemas.microsoft.com/office/drawing/2014/main" id="{00000000-0008-0000-2000-00000C000000}"/>
            </a:ext>
            <a:ext uri="{147F2762-F138-4A5C-976F-8EAC2B608ADB}">
              <a16:predDERef xmlns:a16="http://schemas.microsoft.com/office/drawing/2014/main" pre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349250</xdr:colOff>
      <xdr:row>146</xdr:row>
      <xdr:rowOff>37035</xdr:rowOff>
    </xdr:from>
    <xdr:to>
      <xdr:col>18</xdr:col>
      <xdr:colOff>1429917</xdr:colOff>
      <xdr:row>150</xdr:row>
      <xdr:rowOff>313035</xdr:rowOff>
    </xdr:to>
    <xdr:graphicFrame macro="">
      <xdr:nvGraphicFramePr>
        <xdr:cNvPr id="13" name="Gráfico 12">
          <a:extLst>
            <a:ext uri="{FF2B5EF4-FFF2-40B4-BE49-F238E27FC236}">
              <a16:creationId xmlns:a16="http://schemas.microsoft.com/office/drawing/2014/main" id="{00000000-0008-0000-2000-00000D000000}"/>
            </a:ext>
            <a:ext uri="{147F2762-F138-4A5C-976F-8EAC2B608ADB}">
              <a16:predDERef xmlns:a16="http://schemas.microsoft.com/office/drawing/2014/main" pre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349250</xdr:colOff>
      <xdr:row>157</xdr:row>
      <xdr:rowOff>37041</xdr:rowOff>
    </xdr:from>
    <xdr:to>
      <xdr:col>18</xdr:col>
      <xdr:colOff>1429917</xdr:colOff>
      <xdr:row>161</xdr:row>
      <xdr:rowOff>313041</xdr:rowOff>
    </xdr:to>
    <xdr:graphicFrame macro="">
      <xdr:nvGraphicFramePr>
        <xdr:cNvPr id="14" name="Gráfico 13">
          <a:extLst>
            <a:ext uri="{FF2B5EF4-FFF2-40B4-BE49-F238E27FC236}">
              <a16:creationId xmlns:a16="http://schemas.microsoft.com/office/drawing/2014/main" id="{00000000-0008-0000-2000-00000E000000}"/>
            </a:ext>
            <a:ext uri="{147F2762-F138-4A5C-976F-8EAC2B608ADB}">
              <a16:predDERef xmlns:a16="http://schemas.microsoft.com/office/drawing/2014/main" pre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412750</xdr:colOff>
      <xdr:row>157</xdr:row>
      <xdr:rowOff>0</xdr:rowOff>
    </xdr:from>
    <xdr:to>
      <xdr:col>17</xdr:col>
      <xdr:colOff>54083</xdr:colOff>
      <xdr:row>161</xdr:row>
      <xdr:rowOff>276000</xdr:rowOff>
    </xdr:to>
    <xdr:graphicFrame macro="">
      <xdr:nvGraphicFramePr>
        <xdr:cNvPr id="15" name="Gráfico 14">
          <a:extLst>
            <a:ext uri="{FF2B5EF4-FFF2-40B4-BE49-F238E27FC236}">
              <a16:creationId xmlns:a16="http://schemas.microsoft.com/office/drawing/2014/main" id="{00000000-0008-0000-2000-00000F000000}"/>
            </a:ext>
            <a:ext uri="{147F2762-F138-4A5C-976F-8EAC2B608ADB}">
              <a16:predDERef xmlns:a16="http://schemas.microsoft.com/office/drawing/2014/main" pre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221795</xdr:colOff>
      <xdr:row>156</xdr:row>
      <xdr:rowOff>333376</xdr:rowOff>
    </xdr:from>
    <xdr:to>
      <xdr:col>14</xdr:col>
      <xdr:colOff>1302461</xdr:colOff>
      <xdr:row>161</xdr:row>
      <xdr:rowOff>228376</xdr:rowOff>
    </xdr:to>
    <xdr:graphicFrame macro="">
      <xdr:nvGraphicFramePr>
        <xdr:cNvPr id="16" name="Gráfico 15">
          <a:extLst>
            <a:ext uri="{FF2B5EF4-FFF2-40B4-BE49-F238E27FC236}">
              <a16:creationId xmlns:a16="http://schemas.microsoft.com/office/drawing/2014/main" id="{00000000-0008-0000-2000-000010000000}"/>
            </a:ext>
            <a:ext uri="{147F2762-F138-4A5C-976F-8EAC2B608ADB}">
              <a16:predDERef xmlns:a16="http://schemas.microsoft.com/office/drawing/2014/main" pre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1365250</xdr:colOff>
      <xdr:row>0</xdr:row>
      <xdr:rowOff>15875</xdr:rowOff>
    </xdr:from>
    <xdr:to>
      <xdr:col>3</xdr:col>
      <xdr:colOff>169153</xdr:colOff>
      <xdr:row>0</xdr:row>
      <xdr:rowOff>1326629</xdr:rowOff>
    </xdr:to>
    <xdr:pic>
      <xdr:nvPicPr>
        <xdr:cNvPr id="17" name="16 Imagen">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16"/>
        <a:stretch>
          <a:fillRect/>
        </a:stretch>
      </xdr:blipFill>
      <xdr:spPr>
        <a:xfrm>
          <a:off x="1365250" y="15875"/>
          <a:ext cx="2804403" cy="13107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274815</xdr:colOff>
      <xdr:row>19</xdr:row>
      <xdr:rowOff>432234</xdr:rowOff>
    </xdr:from>
    <xdr:to>
      <xdr:col>3</xdr:col>
      <xdr:colOff>874440</xdr:colOff>
      <xdr:row>24</xdr:row>
      <xdr:rowOff>160234</xdr:rowOff>
    </xdr:to>
    <xdr:graphicFrame macro="">
      <xdr:nvGraphicFramePr>
        <xdr:cNvPr id="28" name="Gráfico 27">
          <a:extLst>
            <a:ext uri="{FF2B5EF4-FFF2-40B4-BE49-F238E27FC236}">
              <a16:creationId xmlns:a16="http://schemas.microsoft.com/office/drawing/2014/main" id="{00000000-0008-0000-2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923386</xdr:colOff>
      <xdr:row>19</xdr:row>
      <xdr:rowOff>440348</xdr:rowOff>
    </xdr:from>
    <xdr:to>
      <xdr:col>8</xdr:col>
      <xdr:colOff>522886</xdr:colOff>
      <xdr:row>24</xdr:row>
      <xdr:rowOff>168348</xdr:rowOff>
    </xdr:to>
    <xdr:graphicFrame macro="">
      <xdr:nvGraphicFramePr>
        <xdr:cNvPr id="29" name="Gráfico 28">
          <a:extLst>
            <a:ext uri="{FF2B5EF4-FFF2-40B4-BE49-F238E27FC236}">
              <a16:creationId xmlns:a16="http://schemas.microsoft.com/office/drawing/2014/main" id="{00000000-0008-0000-2100-00001D000000}"/>
            </a:ext>
            <a:ext uri="{147F2762-F138-4A5C-976F-8EAC2B608ADB}">
              <a16:predDERef xmlns:a16="http://schemas.microsoft.com/office/drawing/2014/main" pre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965197</xdr:colOff>
      <xdr:row>19</xdr:row>
      <xdr:rowOff>442994</xdr:rowOff>
    </xdr:from>
    <xdr:to>
      <xdr:col>18</xdr:col>
      <xdr:colOff>802822</xdr:colOff>
      <xdr:row>24</xdr:row>
      <xdr:rowOff>170994</xdr:rowOff>
    </xdr:to>
    <xdr:graphicFrame macro="">
      <xdr:nvGraphicFramePr>
        <xdr:cNvPr id="30" name="Gráfico 29">
          <a:extLst>
            <a:ext uri="{FF2B5EF4-FFF2-40B4-BE49-F238E27FC236}">
              <a16:creationId xmlns:a16="http://schemas.microsoft.com/office/drawing/2014/main" id="{00000000-0008-0000-2100-00001E000000}"/>
            </a:ext>
            <a:ext uri="{147F2762-F138-4A5C-976F-8EAC2B608ADB}">
              <a16:predDERef xmlns:a16="http://schemas.microsoft.com/office/drawing/2014/main" pre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841909</xdr:colOff>
      <xdr:row>19</xdr:row>
      <xdr:rowOff>492205</xdr:rowOff>
    </xdr:from>
    <xdr:to>
      <xdr:col>13</xdr:col>
      <xdr:colOff>917659</xdr:colOff>
      <xdr:row>24</xdr:row>
      <xdr:rowOff>220205</xdr:rowOff>
    </xdr:to>
    <xdr:graphicFrame macro="">
      <xdr:nvGraphicFramePr>
        <xdr:cNvPr id="31" name="Gráfico 30">
          <a:extLst>
            <a:ext uri="{FF2B5EF4-FFF2-40B4-BE49-F238E27FC236}">
              <a16:creationId xmlns:a16="http://schemas.microsoft.com/office/drawing/2014/main" id="{00000000-0008-0000-2100-00001F000000}"/>
            </a:ext>
            <a:ext uri="{147F2762-F138-4A5C-976F-8EAC2B608ADB}">
              <a16:predDERef xmlns:a16="http://schemas.microsoft.com/office/drawing/2014/main" pre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87302</xdr:colOff>
      <xdr:row>19</xdr:row>
      <xdr:rowOff>455086</xdr:rowOff>
    </xdr:from>
    <xdr:to>
      <xdr:col>25</xdr:col>
      <xdr:colOff>115427</xdr:colOff>
      <xdr:row>24</xdr:row>
      <xdr:rowOff>183086</xdr:rowOff>
    </xdr:to>
    <xdr:graphicFrame macro="">
      <xdr:nvGraphicFramePr>
        <xdr:cNvPr id="15" name="Gráfico 14">
          <a:extLst>
            <a:ext uri="{FF2B5EF4-FFF2-40B4-BE49-F238E27FC236}">
              <a16:creationId xmlns:a16="http://schemas.microsoft.com/office/drawing/2014/main" id="{00000000-0008-0000-2100-00000F000000}"/>
            </a:ext>
            <a:ext uri="{147F2762-F138-4A5C-976F-8EAC2B608ADB}">
              <a16:predDERef xmlns:a16="http://schemas.microsoft.com/office/drawing/2014/main" pre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264581</xdr:colOff>
      <xdr:row>25</xdr:row>
      <xdr:rowOff>201080</xdr:rowOff>
    </xdr:from>
    <xdr:to>
      <xdr:col>3</xdr:col>
      <xdr:colOff>864206</xdr:colOff>
      <xdr:row>31</xdr:row>
      <xdr:rowOff>56080</xdr:rowOff>
    </xdr:to>
    <xdr:graphicFrame macro="">
      <xdr:nvGraphicFramePr>
        <xdr:cNvPr id="16" name="Gráfico 15">
          <a:extLst>
            <a:ext uri="{FF2B5EF4-FFF2-40B4-BE49-F238E27FC236}">
              <a16:creationId xmlns:a16="http://schemas.microsoft.com/office/drawing/2014/main" id="{00000000-0008-0000-2100-000010000000}"/>
            </a:ext>
            <a:ext uri="{147F2762-F138-4A5C-976F-8EAC2B608ADB}">
              <a16:predDERef xmlns:a16="http://schemas.microsoft.com/office/drawing/2014/main" pre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981601</xdr:colOff>
      <xdr:row>25</xdr:row>
      <xdr:rowOff>190500</xdr:rowOff>
    </xdr:from>
    <xdr:to>
      <xdr:col>8</xdr:col>
      <xdr:colOff>581101</xdr:colOff>
      <xdr:row>31</xdr:row>
      <xdr:rowOff>45500</xdr:rowOff>
    </xdr:to>
    <xdr:graphicFrame macro="">
      <xdr:nvGraphicFramePr>
        <xdr:cNvPr id="19" name="Gráfico 18">
          <a:extLst>
            <a:ext uri="{FF2B5EF4-FFF2-40B4-BE49-F238E27FC236}">
              <a16:creationId xmlns:a16="http://schemas.microsoft.com/office/drawing/2014/main" id="{00000000-0008-0000-2100-000013000000}"/>
            </a:ext>
            <a:ext uri="{147F2762-F138-4A5C-976F-8EAC2B608ADB}">
              <a16:predDERef xmlns:a16="http://schemas.microsoft.com/office/drawing/2014/main" pre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809629</xdr:colOff>
      <xdr:row>25</xdr:row>
      <xdr:rowOff>243413</xdr:rowOff>
    </xdr:from>
    <xdr:to>
      <xdr:col>13</xdr:col>
      <xdr:colOff>885379</xdr:colOff>
      <xdr:row>31</xdr:row>
      <xdr:rowOff>98413</xdr:rowOff>
    </xdr:to>
    <xdr:graphicFrame macro="">
      <xdr:nvGraphicFramePr>
        <xdr:cNvPr id="20" name="Gráfico 19">
          <a:extLst>
            <a:ext uri="{FF2B5EF4-FFF2-40B4-BE49-F238E27FC236}">
              <a16:creationId xmlns:a16="http://schemas.microsoft.com/office/drawing/2014/main" id="{00000000-0008-0000-2100-000014000000}"/>
            </a:ext>
            <a:ext uri="{147F2762-F138-4A5C-976F-8EAC2B608ADB}">
              <a16:predDERef xmlns:a16="http://schemas.microsoft.com/office/drawing/2014/main" pre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947198</xdr:colOff>
      <xdr:row>25</xdr:row>
      <xdr:rowOff>254001</xdr:rowOff>
    </xdr:from>
    <xdr:to>
      <xdr:col>18</xdr:col>
      <xdr:colOff>784823</xdr:colOff>
      <xdr:row>31</xdr:row>
      <xdr:rowOff>109001</xdr:rowOff>
    </xdr:to>
    <xdr:graphicFrame macro="">
      <xdr:nvGraphicFramePr>
        <xdr:cNvPr id="21" name="Gráfico 20">
          <a:extLst>
            <a:ext uri="{FF2B5EF4-FFF2-40B4-BE49-F238E27FC236}">
              <a16:creationId xmlns:a16="http://schemas.microsoft.com/office/drawing/2014/main" id="{00000000-0008-0000-2100-000015000000}"/>
            </a:ext>
            <a:ext uri="{147F2762-F138-4A5C-976F-8EAC2B608ADB}">
              <a16:predDERef xmlns:a16="http://schemas.microsoft.com/office/drawing/2014/main" pre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171970</xdr:colOff>
      <xdr:row>25</xdr:row>
      <xdr:rowOff>179918</xdr:rowOff>
    </xdr:from>
    <xdr:to>
      <xdr:col>25</xdr:col>
      <xdr:colOff>200095</xdr:colOff>
      <xdr:row>31</xdr:row>
      <xdr:rowOff>34918</xdr:rowOff>
    </xdr:to>
    <xdr:graphicFrame macro="">
      <xdr:nvGraphicFramePr>
        <xdr:cNvPr id="23" name="Gráfico 22">
          <a:extLst>
            <a:ext uri="{FF2B5EF4-FFF2-40B4-BE49-F238E27FC236}">
              <a16:creationId xmlns:a16="http://schemas.microsoft.com/office/drawing/2014/main" id="{00000000-0008-0000-2100-000017000000}"/>
            </a:ext>
            <a:ext uri="{147F2762-F138-4A5C-976F-8EAC2B608ADB}">
              <a16:predDERef xmlns:a16="http://schemas.microsoft.com/office/drawing/2014/main" pre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201083</xdr:colOff>
      <xdr:row>32</xdr:row>
      <xdr:rowOff>306916</xdr:rowOff>
    </xdr:from>
    <xdr:to>
      <xdr:col>3</xdr:col>
      <xdr:colOff>800708</xdr:colOff>
      <xdr:row>38</xdr:row>
      <xdr:rowOff>288916</xdr:rowOff>
    </xdr:to>
    <xdr:graphicFrame macro="">
      <xdr:nvGraphicFramePr>
        <xdr:cNvPr id="24" name="Gráfico 23">
          <a:extLst>
            <a:ext uri="{FF2B5EF4-FFF2-40B4-BE49-F238E27FC236}">
              <a16:creationId xmlns:a16="http://schemas.microsoft.com/office/drawing/2014/main" id="{00000000-0008-0000-2100-000018000000}"/>
            </a:ext>
            <a:ext uri="{147F2762-F138-4A5C-976F-8EAC2B608ADB}">
              <a16:predDERef xmlns:a16="http://schemas.microsoft.com/office/drawing/2014/main" pre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1023934</xdr:colOff>
      <xdr:row>33</xdr:row>
      <xdr:rowOff>0</xdr:rowOff>
    </xdr:from>
    <xdr:to>
      <xdr:col>8</xdr:col>
      <xdr:colOff>623434</xdr:colOff>
      <xdr:row>38</xdr:row>
      <xdr:rowOff>363000</xdr:rowOff>
    </xdr:to>
    <xdr:graphicFrame macro="">
      <xdr:nvGraphicFramePr>
        <xdr:cNvPr id="25" name="Gráfico 24">
          <a:extLst>
            <a:ext uri="{FF2B5EF4-FFF2-40B4-BE49-F238E27FC236}">
              <a16:creationId xmlns:a16="http://schemas.microsoft.com/office/drawing/2014/main" id="{00000000-0008-0000-2100-000019000000}"/>
            </a:ext>
            <a:ext uri="{147F2762-F138-4A5C-976F-8EAC2B608ADB}">
              <a16:predDERef xmlns:a16="http://schemas.microsoft.com/office/drawing/2014/main" pre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693398</xdr:colOff>
      <xdr:row>0</xdr:row>
      <xdr:rowOff>63500</xdr:rowOff>
    </xdr:from>
    <xdr:to>
      <xdr:col>2</xdr:col>
      <xdr:colOff>419185</xdr:colOff>
      <xdr:row>2</xdr:row>
      <xdr:rowOff>222250</xdr:rowOff>
    </xdr:to>
    <xdr:pic>
      <xdr:nvPicPr>
        <xdr:cNvPr id="2" name="1 Imagen">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3"/>
        <a:stretch>
          <a:fillRect/>
        </a:stretch>
      </xdr:blipFill>
      <xdr:spPr>
        <a:xfrm>
          <a:off x="693398" y="63500"/>
          <a:ext cx="1698255" cy="793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243065</xdr:colOff>
      <xdr:row>27</xdr:row>
      <xdr:rowOff>104070</xdr:rowOff>
    </xdr:from>
    <xdr:to>
      <xdr:col>3</xdr:col>
      <xdr:colOff>902784</xdr:colOff>
      <xdr:row>33</xdr:row>
      <xdr:rowOff>86070</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891636</xdr:colOff>
      <xdr:row>27</xdr:row>
      <xdr:rowOff>112184</xdr:rowOff>
    </xdr:from>
    <xdr:to>
      <xdr:col>8</xdr:col>
      <xdr:colOff>491136</xdr:colOff>
      <xdr:row>33</xdr:row>
      <xdr:rowOff>94184</xdr:rowOff>
    </xdr:to>
    <xdr:graphicFrame macro="">
      <xdr:nvGraphicFramePr>
        <xdr:cNvPr id="3" name="Gráfico 2">
          <a:extLst>
            <a:ext uri="{FF2B5EF4-FFF2-40B4-BE49-F238E27FC236}">
              <a16:creationId xmlns:a16="http://schemas.microsoft.com/office/drawing/2014/main" id="{00000000-0008-0000-2200-000003000000}"/>
            </a:ext>
            <a:ext uri="{147F2762-F138-4A5C-976F-8EAC2B608ADB}">
              <a16:predDERef xmlns:a16="http://schemas.microsoft.com/office/drawing/2014/main" pre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742951</xdr:colOff>
      <xdr:row>27</xdr:row>
      <xdr:rowOff>114830</xdr:rowOff>
    </xdr:from>
    <xdr:to>
      <xdr:col>18</xdr:col>
      <xdr:colOff>580576</xdr:colOff>
      <xdr:row>33</xdr:row>
      <xdr:rowOff>96830</xdr:rowOff>
    </xdr:to>
    <xdr:graphicFrame macro="">
      <xdr:nvGraphicFramePr>
        <xdr:cNvPr id="4" name="Gráfico 3">
          <a:extLst>
            <a:ext uri="{FF2B5EF4-FFF2-40B4-BE49-F238E27FC236}">
              <a16:creationId xmlns:a16="http://schemas.microsoft.com/office/drawing/2014/main" id="{00000000-0008-0000-2200-000004000000}"/>
            </a:ext>
            <a:ext uri="{147F2762-F138-4A5C-976F-8EAC2B608ADB}">
              <a16:predDERef xmlns:a16="http://schemas.microsoft.com/office/drawing/2014/main" pre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667808</xdr:colOff>
      <xdr:row>27</xdr:row>
      <xdr:rowOff>110067</xdr:rowOff>
    </xdr:from>
    <xdr:to>
      <xdr:col>24</xdr:col>
      <xdr:colOff>505433</xdr:colOff>
      <xdr:row>33</xdr:row>
      <xdr:rowOff>92067</xdr:rowOff>
    </xdr:to>
    <xdr:graphicFrame macro="">
      <xdr:nvGraphicFramePr>
        <xdr:cNvPr id="5" name="Gráfico 4">
          <a:extLst>
            <a:ext uri="{FF2B5EF4-FFF2-40B4-BE49-F238E27FC236}">
              <a16:creationId xmlns:a16="http://schemas.microsoft.com/office/drawing/2014/main" id="{00000000-0008-0000-2200-000005000000}"/>
            </a:ext>
            <a:ext uri="{147F2762-F138-4A5C-976F-8EAC2B608ADB}">
              <a16:predDERef xmlns:a16="http://schemas.microsoft.com/office/drawing/2014/main" pre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205848</xdr:colOff>
      <xdr:row>34</xdr:row>
      <xdr:rowOff>306123</xdr:rowOff>
    </xdr:from>
    <xdr:to>
      <xdr:col>3</xdr:col>
      <xdr:colOff>865567</xdr:colOff>
      <xdr:row>40</xdr:row>
      <xdr:rowOff>288123</xdr:rowOff>
    </xdr:to>
    <xdr:graphicFrame macro="">
      <xdr:nvGraphicFramePr>
        <xdr:cNvPr id="6" name="Gráfico 5">
          <a:extLst>
            <a:ext uri="{FF2B5EF4-FFF2-40B4-BE49-F238E27FC236}">
              <a16:creationId xmlns:a16="http://schemas.microsoft.com/office/drawing/2014/main" id="{00000000-0008-0000-2200-000006000000}"/>
            </a:ext>
            <a:ext uri="{147F2762-F138-4A5C-976F-8EAC2B608ADB}">
              <a16:predDERef xmlns:a16="http://schemas.microsoft.com/office/drawing/2014/main" pre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790313</xdr:colOff>
      <xdr:row>34</xdr:row>
      <xdr:rowOff>320675</xdr:rowOff>
    </xdr:from>
    <xdr:to>
      <xdr:col>13</xdr:col>
      <xdr:colOff>866063</xdr:colOff>
      <xdr:row>40</xdr:row>
      <xdr:rowOff>302675</xdr:rowOff>
    </xdr:to>
    <xdr:graphicFrame macro="">
      <xdr:nvGraphicFramePr>
        <xdr:cNvPr id="7" name="Gráfico 6">
          <a:extLst>
            <a:ext uri="{FF2B5EF4-FFF2-40B4-BE49-F238E27FC236}">
              <a16:creationId xmlns:a16="http://schemas.microsoft.com/office/drawing/2014/main" id="{00000000-0008-0000-2200-000007000000}"/>
            </a:ext>
            <a:ext uri="{147F2762-F138-4A5C-976F-8EAC2B608ADB}">
              <a16:predDERef xmlns:a16="http://schemas.microsoft.com/office/drawing/2014/main" pre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794542</xdr:colOff>
      <xdr:row>34</xdr:row>
      <xdr:rowOff>347133</xdr:rowOff>
    </xdr:from>
    <xdr:to>
      <xdr:col>18</xdr:col>
      <xdr:colOff>632167</xdr:colOff>
      <xdr:row>40</xdr:row>
      <xdr:rowOff>329133</xdr:rowOff>
    </xdr:to>
    <xdr:graphicFrame macro="">
      <xdr:nvGraphicFramePr>
        <xdr:cNvPr id="8" name="Gráfico 7">
          <a:extLst>
            <a:ext uri="{FF2B5EF4-FFF2-40B4-BE49-F238E27FC236}">
              <a16:creationId xmlns:a16="http://schemas.microsoft.com/office/drawing/2014/main" id="{00000000-0008-0000-2200-000008000000}"/>
            </a:ext>
            <a:ext uri="{147F2762-F138-4A5C-976F-8EAC2B608ADB}">
              <a16:predDERef xmlns:a16="http://schemas.microsoft.com/office/drawing/2014/main" pre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720726</xdr:colOff>
      <xdr:row>34</xdr:row>
      <xdr:rowOff>296864</xdr:rowOff>
    </xdr:from>
    <xdr:to>
      <xdr:col>24</xdr:col>
      <xdr:colOff>558351</xdr:colOff>
      <xdr:row>40</xdr:row>
      <xdr:rowOff>278864</xdr:rowOff>
    </xdr:to>
    <xdr:graphicFrame macro="">
      <xdr:nvGraphicFramePr>
        <xdr:cNvPr id="9" name="Gráfico 8">
          <a:extLst>
            <a:ext uri="{FF2B5EF4-FFF2-40B4-BE49-F238E27FC236}">
              <a16:creationId xmlns:a16="http://schemas.microsoft.com/office/drawing/2014/main" id="{00000000-0008-0000-2200-000009000000}"/>
            </a:ext>
            <a:ext uri="{147F2762-F138-4A5C-976F-8EAC2B608ADB}">
              <a16:predDERef xmlns:a16="http://schemas.microsoft.com/office/drawing/2014/main" pred="{00000000-0008-0000-2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963343</xdr:colOff>
      <xdr:row>42</xdr:row>
      <xdr:rowOff>166688</xdr:rowOff>
    </xdr:from>
    <xdr:to>
      <xdr:col>8</xdr:col>
      <xdr:colOff>562843</xdr:colOff>
      <xdr:row>48</xdr:row>
      <xdr:rowOff>148688</xdr:rowOff>
    </xdr:to>
    <xdr:graphicFrame macro="">
      <xdr:nvGraphicFramePr>
        <xdr:cNvPr id="10" name="Gráfico 9">
          <a:extLst>
            <a:ext uri="{FF2B5EF4-FFF2-40B4-BE49-F238E27FC236}">
              <a16:creationId xmlns:a16="http://schemas.microsoft.com/office/drawing/2014/main" id="{00000000-0008-0000-2200-00000A000000}"/>
            </a:ext>
            <a:ext uri="{147F2762-F138-4A5C-976F-8EAC2B608ADB}">
              <a16:predDERef xmlns:a16="http://schemas.microsoft.com/office/drawing/2014/main" pre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866513</xdr:colOff>
      <xdr:row>42</xdr:row>
      <xdr:rowOff>150018</xdr:rowOff>
    </xdr:from>
    <xdr:to>
      <xdr:col>13</xdr:col>
      <xdr:colOff>942263</xdr:colOff>
      <xdr:row>48</xdr:row>
      <xdr:rowOff>132018</xdr:rowOff>
    </xdr:to>
    <xdr:graphicFrame macro="">
      <xdr:nvGraphicFramePr>
        <xdr:cNvPr id="11" name="Gráfico 10">
          <a:extLst>
            <a:ext uri="{FF2B5EF4-FFF2-40B4-BE49-F238E27FC236}">
              <a16:creationId xmlns:a16="http://schemas.microsoft.com/office/drawing/2014/main" id="{00000000-0008-0000-2200-00000B000000}"/>
            </a:ext>
            <a:ext uri="{147F2762-F138-4A5C-976F-8EAC2B608ADB}">
              <a16:predDERef xmlns:a16="http://schemas.microsoft.com/office/drawing/2014/main" pred="{00000000-0008-0000-2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782649</xdr:colOff>
      <xdr:row>42</xdr:row>
      <xdr:rowOff>138112</xdr:rowOff>
    </xdr:from>
    <xdr:to>
      <xdr:col>24</xdr:col>
      <xdr:colOff>620274</xdr:colOff>
      <xdr:row>48</xdr:row>
      <xdr:rowOff>120112</xdr:rowOff>
    </xdr:to>
    <xdr:graphicFrame macro="">
      <xdr:nvGraphicFramePr>
        <xdr:cNvPr id="12" name="Gráfico 11">
          <a:extLst>
            <a:ext uri="{FF2B5EF4-FFF2-40B4-BE49-F238E27FC236}">
              <a16:creationId xmlns:a16="http://schemas.microsoft.com/office/drawing/2014/main" id="{00000000-0008-0000-2200-00000C000000}"/>
            </a:ext>
            <a:ext uri="{147F2762-F138-4A5C-976F-8EAC2B608ADB}">
              <a16:predDERef xmlns:a16="http://schemas.microsoft.com/office/drawing/2014/main" pre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205317</xdr:colOff>
      <xdr:row>50</xdr:row>
      <xdr:rowOff>28574</xdr:rowOff>
    </xdr:from>
    <xdr:to>
      <xdr:col>3</xdr:col>
      <xdr:colOff>865036</xdr:colOff>
      <xdr:row>56</xdr:row>
      <xdr:rowOff>10574</xdr:rowOff>
    </xdr:to>
    <xdr:graphicFrame macro="">
      <xdr:nvGraphicFramePr>
        <xdr:cNvPr id="13" name="Gráfico 12">
          <a:extLst>
            <a:ext uri="{FF2B5EF4-FFF2-40B4-BE49-F238E27FC236}">
              <a16:creationId xmlns:a16="http://schemas.microsoft.com/office/drawing/2014/main" id="{00000000-0008-0000-2200-00000D000000}"/>
            </a:ext>
            <a:ext uri="{147F2762-F138-4A5C-976F-8EAC2B608ADB}">
              <a16:predDERef xmlns:a16="http://schemas.microsoft.com/office/drawing/2014/main" pred="{00000000-0008-0000-2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1021815</xdr:colOff>
      <xdr:row>50</xdr:row>
      <xdr:rowOff>30956</xdr:rowOff>
    </xdr:from>
    <xdr:to>
      <xdr:col>8</xdr:col>
      <xdr:colOff>621315</xdr:colOff>
      <xdr:row>56</xdr:row>
      <xdr:rowOff>12956</xdr:rowOff>
    </xdr:to>
    <xdr:graphicFrame macro="">
      <xdr:nvGraphicFramePr>
        <xdr:cNvPr id="14" name="Gráfico 13">
          <a:extLst>
            <a:ext uri="{FF2B5EF4-FFF2-40B4-BE49-F238E27FC236}">
              <a16:creationId xmlns:a16="http://schemas.microsoft.com/office/drawing/2014/main" id="{00000000-0008-0000-2200-00000E000000}"/>
            </a:ext>
            <a:ext uri="{147F2762-F138-4A5C-976F-8EAC2B608ADB}">
              <a16:predDERef xmlns:a16="http://schemas.microsoft.com/office/drawing/2014/main" pred="{00000000-0008-0000-2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802217</xdr:colOff>
      <xdr:row>50</xdr:row>
      <xdr:rowOff>49211</xdr:rowOff>
    </xdr:from>
    <xdr:to>
      <xdr:col>24</xdr:col>
      <xdr:colOff>639842</xdr:colOff>
      <xdr:row>56</xdr:row>
      <xdr:rowOff>31211</xdr:rowOff>
    </xdr:to>
    <xdr:graphicFrame macro="">
      <xdr:nvGraphicFramePr>
        <xdr:cNvPr id="15" name="Gráfico 14">
          <a:extLst>
            <a:ext uri="{FF2B5EF4-FFF2-40B4-BE49-F238E27FC236}">
              <a16:creationId xmlns:a16="http://schemas.microsoft.com/office/drawing/2014/main" id="{00000000-0008-0000-2200-00000F000000}"/>
            </a:ext>
            <a:ext uri="{147F2762-F138-4A5C-976F-8EAC2B608ADB}">
              <a16:predDERef xmlns:a16="http://schemas.microsoft.com/office/drawing/2014/main" pred="{00000000-0008-0000-2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738720</xdr:colOff>
      <xdr:row>27</xdr:row>
      <xdr:rowOff>164041</xdr:rowOff>
    </xdr:from>
    <xdr:to>
      <xdr:col>13</xdr:col>
      <xdr:colOff>814470</xdr:colOff>
      <xdr:row>33</xdr:row>
      <xdr:rowOff>146041</xdr:rowOff>
    </xdr:to>
    <xdr:graphicFrame macro="">
      <xdr:nvGraphicFramePr>
        <xdr:cNvPr id="18" name="Gráfico 17">
          <a:extLst>
            <a:ext uri="{FF2B5EF4-FFF2-40B4-BE49-F238E27FC236}">
              <a16:creationId xmlns:a16="http://schemas.microsoft.com/office/drawing/2014/main" id="{00000000-0008-0000-2200-000012000000}"/>
            </a:ext>
            <a:ext uri="{147F2762-F138-4A5C-976F-8EAC2B608ADB}">
              <a16:predDERef xmlns:a16="http://schemas.microsoft.com/office/drawing/2014/main" pred="{00000000-0008-0000-2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940853</xdr:colOff>
      <xdr:row>34</xdr:row>
      <xdr:rowOff>297392</xdr:rowOff>
    </xdr:from>
    <xdr:to>
      <xdr:col>8</xdr:col>
      <xdr:colOff>540353</xdr:colOff>
      <xdr:row>40</xdr:row>
      <xdr:rowOff>279392</xdr:rowOff>
    </xdr:to>
    <xdr:graphicFrame macro="">
      <xdr:nvGraphicFramePr>
        <xdr:cNvPr id="19" name="Gráfico 18">
          <a:extLst>
            <a:ext uri="{FF2B5EF4-FFF2-40B4-BE49-F238E27FC236}">
              <a16:creationId xmlns:a16="http://schemas.microsoft.com/office/drawing/2014/main" id="{00000000-0008-0000-2200-000013000000}"/>
            </a:ext>
            <a:ext uri="{147F2762-F138-4A5C-976F-8EAC2B608ADB}">
              <a16:predDERef xmlns:a16="http://schemas.microsoft.com/office/drawing/2014/main" pred="{00000000-0008-0000-2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206639</xdr:colOff>
      <xdr:row>42</xdr:row>
      <xdr:rowOff>112977</xdr:rowOff>
    </xdr:from>
    <xdr:to>
      <xdr:col>3</xdr:col>
      <xdr:colOff>866358</xdr:colOff>
      <xdr:row>48</xdr:row>
      <xdr:rowOff>94977</xdr:rowOff>
    </xdr:to>
    <xdr:graphicFrame macro="">
      <xdr:nvGraphicFramePr>
        <xdr:cNvPr id="20" name="Gráfico 19">
          <a:extLst>
            <a:ext uri="{FF2B5EF4-FFF2-40B4-BE49-F238E27FC236}">
              <a16:creationId xmlns:a16="http://schemas.microsoft.com/office/drawing/2014/main" id="{00000000-0008-0000-2200-000014000000}"/>
            </a:ext>
            <a:ext uri="{147F2762-F138-4A5C-976F-8EAC2B608ADB}">
              <a16:predDERef xmlns:a16="http://schemas.microsoft.com/office/drawing/2014/main" pred="{00000000-0008-0000-2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835554</xdr:colOff>
      <xdr:row>42</xdr:row>
      <xdr:rowOff>145257</xdr:rowOff>
    </xdr:from>
    <xdr:to>
      <xdr:col>18</xdr:col>
      <xdr:colOff>673179</xdr:colOff>
      <xdr:row>48</xdr:row>
      <xdr:rowOff>127257</xdr:rowOff>
    </xdr:to>
    <xdr:graphicFrame macro="">
      <xdr:nvGraphicFramePr>
        <xdr:cNvPr id="21" name="Gráfico 20">
          <a:extLst>
            <a:ext uri="{FF2B5EF4-FFF2-40B4-BE49-F238E27FC236}">
              <a16:creationId xmlns:a16="http://schemas.microsoft.com/office/drawing/2014/main" id="{00000000-0008-0000-2200-000015000000}"/>
            </a:ext>
            <a:ext uri="{147F2762-F138-4A5C-976F-8EAC2B608ADB}">
              <a16:predDERef xmlns:a16="http://schemas.microsoft.com/office/drawing/2014/main" pred="{00000000-0008-0000-2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845348</xdr:colOff>
      <xdr:row>50</xdr:row>
      <xdr:rowOff>71435</xdr:rowOff>
    </xdr:from>
    <xdr:to>
      <xdr:col>13</xdr:col>
      <xdr:colOff>921098</xdr:colOff>
      <xdr:row>56</xdr:row>
      <xdr:rowOff>53435</xdr:rowOff>
    </xdr:to>
    <xdr:graphicFrame macro="">
      <xdr:nvGraphicFramePr>
        <xdr:cNvPr id="22" name="Gráfico 21">
          <a:extLst>
            <a:ext uri="{FF2B5EF4-FFF2-40B4-BE49-F238E27FC236}">
              <a16:creationId xmlns:a16="http://schemas.microsoft.com/office/drawing/2014/main" id="{00000000-0008-0000-2200-000016000000}"/>
            </a:ext>
            <a:ext uri="{147F2762-F138-4A5C-976F-8EAC2B608ADB}">
              <a16:predDERef xmlns:a16="http://schemas.microsoft.com/office/drawing/2014/main" pred="{00000000-0008-0000-2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758558</xdr:colOff>
      <xdr:row>50</xdr:row>
      <xdr:rowOff>19315</xdr:rowOff>
    </xdr:from>
    <xdr:to>
      <xdr:col>18</xdr:col>
      <xdr:colOff>596183</xdr:colOff>
      <xdr:row>56</xdr:row>
      <xdr:rowOff>1315</xdr:rowOff>
    </xdr:to>
    <xdr:graphicFrame macro="">
      <xdr:nvGraphicFramePr>
        <xdr:cNvPr id="23" name="Gráfico 22">
          <a:extLst>
            <a:ext uri="{FF2B5EF4-FFF2-40B4-BE49-F238E27FC236}">
              <a16:creationId xmlns:a16="http://schemas.microsoft.com/office/drawing/2014/main" id="{00000000-0008-0000-2200-000017000000}"/>
            </a:ext>
            <a:ext uri="{147F2762-F138-4A5C-976F-8EAC2B608ADB}">
              <a16:predDERef xmlns:a16="http://schemas.microsoft.com/office/drawing/2014/main" pred="{00000000-0008-0000-2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508000</xdr:colOff>
      <xdr:row>0</xdr:row>
      <xdr:rowOff>47625</xdr:rowOff>
    </xdr:from>
    <xdr:to>
      <xdr:col>2</xdr:col>
      <xdr:colOff>581141</xdr:colOff>
      <xdr:row>2</xdr:row>
      <xdr:rowOff>240242</xdr:rowOff>
    </xdr:to>
    <xdr:pic>
      <xdr:nvPicPr>
        <xdr:cNvPr id="24" name="23 Imagen">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21"/>
        <a:stretch>
          <a:fillRect/>
        </a:stretch>
      </xdr:blipFill>
      <xdr:spPr>
        <a:xfrm>
          <a:off x="508000" y="47625"/>
          <a:ext cx="2045609" cy="95461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508000</xdr:colOff>
      <xdr:row>67</xdr:row>
      <xdr:rowOff>112031</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 xmlns:a14="http://schemas.microsoft.com/office/drawing/2010/main" id="{00000000-0008-0000-0E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7.xml><?xml version="1.0" encoding="utf-8"?>
<xdr:wsDr xmlns:xdr="http://schemas.openxmlformats.org/drawingml/2006/spreadsheetDrawing" xmlns:a="http://schemas.openxmlformats.org/drawingml/2006/main">
  <xdr:twoCellAnchor editAs="oneCell">
    <xdr:from>
      <xdr:col>1</xdr:col>
      <xdr:colOff>285750</xdr:colOff>
      <xdr:row>0</xdr:row>
      <xdr:rowOff>143565</xdr:rowOff>
    </xdr:from>
    <xdr:to>
      <xdr:col>2</xdr:col>
      <xdr:colOff>1333500</xdr:colOff>
      <xdr:row>0</xdr:row>
      <xdr:rowOff>1404938</xdr:rowOff>
    </xdr:to>
    <xdr:pic>
      <xdr:nvPicPr>
        <xdr:cNvPr id="4" name="3 Imagen">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936750" y="143565"/>
          <a:ext cx="2698750" cy="12613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5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600-000002000000}"/>
                </a:ext>
              </a:extLst>
            </xdr:cNvPr>
            <xdr:cNvSpPr txBox="1"/>
          </xdr:nvSpPr>
          <xdr:spPr>
            <a:xfrm>
              <a:off x="2597944" y="3734752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00000000-0008-0000-2800-000002000000}"/>
                </a:ext>
              </a:extLst>
            </xdr:cNvPr>
            <xdr:cNvSpPr txBox="1"/>
          </xdr:nvSpPr>
          <xdr:spPr>
            <a:xfrm>
              <a:off x="2597944" y="3734752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D023BE8-3628-4CB7-9106-8B52C52AF78B}"/>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3FBA4683-F806-4254-8D20-94D7BF11A66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0B7E9EA-19F0-4350-911F-9E5B0CFDC0E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6016417-5A32-408B-9816-92C930C3897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01C3550-1C44-42B8-AD66-75DA06D6668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4D67C1-FF13-4C1A-A72F-C37994DD63D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FEA52BC1-0352-4A1D-B687-E721FC35195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6B6C573F-68F0-4872-8BD1-50BAFDABE9C8}"/>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4A9B1A1-F234-40BD-B771-D34310D5DE8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AD90CB2-095F-48C3-8A5A-335C528ECAA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45E57050-1372-48F3-8C40-0CAC0D24A18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7EDBEE1D-7AE3-4905-B163-5FD96C3C503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AF50DC6B-3336-4418-8AC1-EA2851B02019}"/>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CDEF87A4-FD2B-4C0F-9D00-FA8E4B864A2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3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E93384B-7FE2-4081-957D-43049CA5597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3C3C6AB2-C039-491F-B636-9FF9370C624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3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8299E78-D03B-4983-B5D0-53D4BF3E8A8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3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1300491-4B26-4F57-A1E0-DD3E56E59FBE}"/>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62268918-8812-42A5-877F-6F3ECBFD3A76}"/>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3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9D398FD-F197-4D13-9CCC-FCB03F3E600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3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A8C68BA1-4EBD-40FE-856A-B9BDB5C2E36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3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3B54C0C-F985-41F2-8878-F64C126226C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3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2AF373-5A78-49A4-8262-E04BA3C8618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3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3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A81ED64-7A18-4E92-8472-6E499B55A60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3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3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E769B55B-C362-4C81-BF95-769072FC711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3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81B09B2-4584-418C-A8F3-A63B18EF6AB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3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2AB0A243-C8E6-4DB6-AE78-F5E36A35E3E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3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E0EDA39D-90A4-419D-A6C4-5DCE8E5BE04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3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3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3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326412B-3BB6-4DA4-BC18-E4AE1E4D37A6}"/>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3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36C162-E0FE-461A-B061-FCFE0316F741}"/>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976314"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300-000028000000}"/>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2626CADD-8A7E-41EB-A62B-20DE4F6BFB07}"/>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3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EEB8AD5-C096-4E50-9A0E-8BA62E152248}"/>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3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3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3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3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3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EA29F3C3-4941-4FDD-A832-D35C69E5E27A}"/>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3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190499</xdr:colOff>
      <xdr:row>67</xdr:row>
      <xdr:rowOff>293688</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47C08128-615C-4260-A8A7-3E6E47CE4EA4}"/>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3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CDEE71F-7729-490E-8D6B-1DCFEBE19A1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518583</xdr:colOff>
      <xdr:row>62</xdr:row>
      <xdr:rowOff>214313</xdr:rowOff>
    </xdr:from>
    <xdr:to>
      <xdr:col>13</xdr:col>
      <xdr:colOff>10582</xdr:colOff>
      <xdr:row>64</xdr:row>
      <xdr:rowOff>484188</xdr:rowOff>
    </xdr:to>
    <xdr:graphicFrame macro="">
      <xdr:nvGraphicFramePr>
        <xdr:cNvPr id="52" name="Gráfico 51">
          <a:extLst>
            <a:ext uri="{FF2B5EF4-FFF2-40B4-BE49-F238E27FC236}">
              <a16:creationId xmlns:a16="http://schemas.microsoft.com/office/drawing/2014/main" id="{00000000-0008-0000-0300-000034000000}"/>
            </a:ext>
            <a:ext uri="{147F2762-F138-4A5C-976F-8EAC2B608ADB}">
              <a16:predDERef xmlns:a16="http://schemas.microsoft.com/office/drawing/2014/main" pre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95249</xdr:rowOff>
    </xdr:from>
    <xdr:to>
      <xdr:col>1</xdr:col>
      <xdr:colOff>471506</xdr:colOff>
      <xdr:row>0</xdr:row>
      <xdr:rowOff>710998</xdr:rowOff>
    </xdr:to>
    <xdr:pic>
      <xdr:nvPicPr>
        <xdr:cNvPr id="48" name="47 Imagen">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a:stretch>
          <a:fillRect/>
        </a:stretch>
      </xdr:blipFill>
      <xdr:spPr>
        <a:xfrm>
          <a:off x="190500" y="95249"/>
          <a:ext cx="1316850" cy="61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185744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616480</xdr:colOff>
      <xdr:row>73</xdr:row>
      <xdr:rowOff>174626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A28403E-11A9-4DF1-B0A2-9DC42BB73FC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A8F5116-31D0-49B8-9DC1-96CE960AD6D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306916</xdr:colOff>
      <xdr:row>62</xdr:row>
      <xdr:rowOff>492124</xdr:rowOff>
    </xdr:from>
    <xdr:to>
      <xdr:col>12</xdr:col>
      <xdr:colOff>603249</xdr:colOff>
      <xdr:row>65</xdr:row>
      <xdr:rowOff>21166</xdr:rowOff>
    </xdr:to>
    <xdr:graphicFrame macro="">
      <xdr:nvGraphicFramePr>
        <xdr:cNvPr id="50" name="Gráfico 49">
          <a:extLst>
            <a:ext uri="{FF2B5EF4-FFF2-40B4-BE49-F238E27FC236}">
              <a16:creationId xmlns:a16="http://schemas.microsoft.com/office/drawing/2014/main" id="{00000000-0008-0000-2700-000032000000}"/>
            </a:ext>
            <a:ext uri="{147F2762-F138-4A5C-976F-8EAC2B608ADB}">
              <a16:predDERef xmlns:a16="http://schemas.microsoft.com/office/drawing/2014/main" pred="{00000000-0008-0000-2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261937</xdr:colOff>
      <xdr:row>0</xdr:row>
      <xdr:rowOff>35718</xdr:rowOff>
    </xdr:from>
    <xdr:to>
      <xdr:col>1</xdr:col>
      <xdr:colOff>574000</xdr:colOff>
      <xdr:row>0</xdr:row>
      <xdr:rowOff>675853</xdr:rowOff>
    </xdr:to>
    <xdr:pic>
      <xdr:nvPicPr>
        <xdr:cNvPr id="37" name="36 Imagen">
          <a:extLst>
            <a:ext uri="{FF2B5EF4-FFF2-40B4-BE49-F238E27FC236}">
              <a16:creationId xmlns:a16="http://schemas.microsoft.com/office/drawing/2014/main" id="{00000000-0008-0000-2700-000025000000}"/>
            </a:ext>
          </a:extLst>
        </xdr:cNvPr>
        <xdr:cNvPicPr>
          <a:picLocks noChangeAspect="1"/>
        </xdr:cNvPicPr>
      </xdr:nvPicPr>
      <xdr:blipFill>
        <a:blip xmlns:r="http://schemas.openxmlformats.org/officeDocument/2006/relationships" r:embed="rId2"/>
        <a:stretch>
          <a:fillRect/>
        </a:stretch>
      </xdr:blipFill>
      <xdr:spPr>
        <a:xfrm>
          <a:off x="261937" y="35718"/>
          <a:ext cx="1371719" cy="6401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3</xdr:col>
      <xdr:colOff>250030</xdr:colOff>
      <xdr:row>63</xdr:row>
      <xdr:rowOff>126205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8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7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401509</xdr:colOff>
      <xdr:row>69</xdr:row>
      <xdr:rowOff>138119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648230</xdr:colOff>
      <xdr:row>73</xdr:row>
      <xdr:rowOff>166689</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58B06E8-CFFF-4A7C-85F5-F4F7A16F830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4DB4DAA-CFE3-4B34-BF65-ED0C0F66BFD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2900-000035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3" name="CuadroTexto 52">
              <a:extLst>
                <a:ext uri="{FF2B5EF4-FFF2-40B4-BE49-F238E27FC236}">
                  <a16:creationId xmlns:a16="http://schemas.microsoft.com/office/drawing/2014/main" id="{DA86B98C-CF3F-4FE2-A84E-B5CAF4691E7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595312</xdr:colOff>
      <xdr:row>62</xdr:row>
      <xdr:rowOff>381001</xdr:rowOff>
    </xdr:from>
    <xdr:to>
      <xdr:col>13</xdr:col>
      <xdr:colOff>87311</xdr:colOff>
      <xdr:row>64</xdr:row>
      <xdr:rowOff>650876</xdr:rowOff>
    </xdr:to>
    <xdr:graphicFrame macro="">
      <xdr:nvGraphicFramePr>
        <xdr:cNvPr id="54" name="Gráfico 53">
          <a:extLst>
            <a:ext uri="{FF2B5EF4-FFF2-40B4-BE49-F238E27FC236}">
              <a16:creationId xmlns:a16="http://schemas.microsoft.com/office/drawing/2014/main" id="{00000000-0008-0000-2900-000036000000}"/>
            </a:ext>
            <a:ext uri="{147F2762-F138-4A5C-976F-8EAC2B608ADB}">
              <a16:predDERef xmlns:a16="http://schemas.microsoft.com/office/drawing/2014/main" pred="{00000000-0008-0000-2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562094</xdr:colOff>
      <xdr:row>0</xdr:row>
      <xdr:rowOff>687760</xdr:rowOff>
    </xdr:to>
    <xdr:pic>
      <xdr:nvPicPr>
        <xdr:cNvPr id="55" name="54 Imagen">
          <a:extLst>
            <a:ext uri="{FF2B5EF4-FFF2-40B4-BE49-F238E27FC236}">
              <a16:creationId xmlns:a16="http://schemas.microsoft.com/office/drawing/2014/main" id="{00000000-0008-0000-2900-000037000000}"/>
            </a:ext>
          </a:extLst>
        </xdr:cNvPr>
        <xdr:cNvPicPr>
          <a:picLocks noChangeAspect="1"/>
        </xdr:cNvPicPr>
      </xdr:nvPicPr>
      <xdr:blipFill>
        <a:blip xmlns:r="http://schemas.openxmlformats.org/officeDocument/2006/relationships" r:embed="rId2"/>
        <a:stretch>
          <a:fillRect/>
        </a:stretch>
      </xdr:blipFill>
      <xdr:spPr>
        <a:xfrm>
          <a:off x="214313" y="47625"/>
          <a:ext cx="1371719" cy="6401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3</xdr:col>
      <xdr:colOff>500063</xdr:colOff>
      <xdr:row>62</xdr:row>
      <xdr:rowOff>90487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A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203072</xdr:colOff>
      <xdr:row>69</xdr:row>
      <xdr:rowOff>153993</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69340</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5</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9</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10</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10</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7</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7</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4</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B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699BD3F3-5E6A-4166-A481-A975E8DD9EA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9</xdr:col>
      <xdr:colOff>169334</xdr:colOff>
      <xdr:row>62</xdr:row>
      <xdr:rowOff>404813</xdr:rowOff>
    </xdr:from>
    <xdr:to>
      <xdr:col>13</xdr:col>
      <xdr:colOff>627062</xdr:colOff>
      <xdr:row>64</xdr:row>
      <xdr:rowOff>674688</xdr:rowOff>
    </xdr:to>
    <xdr:graphicFrame macro="">
      <xdr:nvGraphicFramePr>
        <xdr:cNvPr id="50" name="Gráfico 49">
          <a:extLst>
            <a:ext uri="{FF2B5EF4-FFF2-40B4-BE49-F238E27FC236}">
              <a16:creationId xmlns:a16="http://schemas.microsoft.com/office/drawing/2014/main" id="{00000000-0008-0000-2B00-000032000000}"/>
            </a:ext>
            <a:ext uri="{147F2762-F138-4A5C-976F-8EAC2B608ADB}">
              <a16:predDERef xmlns:a16="http://schemas.microsoft.com/office/drawing/2014/main" pred="{00000000-0008-0000-3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71438</xdr:rowOff>
    </xdr:from>
    <xdr:to>
      <xdr:col>1</xdr:col>
      <xdr:colOff>514469</xdr:colOff>
      <xdr:row>0</xdr:row>
      <xdr:rowOff>711573</xdr:rowOff>
    </xdr:to>
    <xdr:pic>
      <xdr:nvPicPr>
        <xdr:cNvPr id="52" name="51 Imagen">
          <a:extLst>
            <a:ext uri="{FF2B5EF4-FFF2-40B4-BE49-F238E27FC236}">
              <a16:creationId xmlns:a16="http://schemas.microsoft.com/office/drawing/2014/main" id="{00000000-0008-0000-2B00-000034000000}"/>
            </a:ext>
          </a:extLst>
        </xdr:cNvPr>
        <xdr:cNvPicPr>
          <a:picLocks noChangeAspect="1"/>
        </xdr:cNvPicPr>
      </xdr:nvPicPr>
      <xdr:blipFill>
        <a:blip xmlns:r="http://schemas.openxmlformats.org/officeDocument/2006/relationships" r:embed="rId2"/>
        <a:stretch>
          <a:fillRect/>
        </a:stretch>
      </xdr:blipFill>
      <xdr:spPr>
        <a:xfrm>
          <a:off x="214313" y="71438"/>
          <a:ext cx="1371719" cy="640135"/>
        </a:xfrm>
        <a:prstGeom prst="rect">
          <a:avLst/>
        </a:prstGeom>
      </xdr:spPr>
    </xdr:pic>
    <xdr:clientData/>
  </xdr:twoCellAnchor>
  <xdr:oneCellAnchor>
    <xdr:from>
      <xdr:col>4</xdr:col>
      <xdr:colOff>155713</xdr:colOff>
      <xdr:row>37</xdr:row>
      <xdr:rowOff>106017</xdr:rowOff>
    </xdr:from>
    <xdr:ext cx="65" cy="172227"/>
    <xdr:sp macro="" textlink="">
      <xdr:nvSpPr>
        <xdr:cNvPr id="53" name="CuadroTexto 52">
          <a:extLst>
            <a:ext uri="{FF2B5EF4-FFF2-40B4-BE49-F238E27FC236}">
              <a16:creationId xmlns:a16="http://schemas.microsoft.com/office/drawing/2014/main" id="{00000000-0008-0000-2B00-000035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4" name="CuadroTexto 53">
          <a:extLst>
            <a:ext uri="{FF2B5EF4-FFF2-40B4-BE49-F238E27FC236}">
              <a16:creationId xmlns:a16="http://schemas.microsoft.com/office/drawing/2014/main" id="{00000000-0008-0000-2B00-000036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5" name="CuadroTexto 54">
          <a:extLst>
            <a:ext uri="{FF2B5EF4-FFF2-40B4-BE49-F238E27FC236}">
              <a16:creationId xmlns:a16="http://schemas.microsoft.com/office/drawing/2014/main" id="{00000000-0008-0000-2B00-000037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6" name="CuadroTexto 55">
          <a:extLst>
            <a:ext uri="{FF2B5EF4-FFF2-40B4-BE49-F238E27FC236}">
              <a16:creationId xmlns:a16="http://schemas.microsoft.com/office/drawing/2014/main" id="{00000000-0008-0000-2B00-000038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7" name="CuadroTexto 56">
          <a:extLst>
            <a:ext uri="{FF2B5EF4-FFF2-40B4-BE49-F238E27FC236}">
              <a16:creationId xmlns:a16="http://schemas.microsoft.com/office/drawing/2014/main" id="{00000000-0008-0000-2B00-000039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8" name="CuadroTexto 57">
          <a:extLst>
            <a:ext uri="{FF2B5EF4-FFF2-40B4-BE49-F238E27FC236}">
              <a16:creationId xmlns:a16="http://schemas.microsoft.com/office/drawing/2014/main" id="{00000000-0008-0000-2B00-00003A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78" name="CuadroTexto 77">
              <a:extLst>
                <a:ext uri="{FF2B5EF4-FFF2-40B4-BE49-F238E27FC236}">
                  <a16:creationId xmlns:a16="http://schemas.microsoft.com/office/drawing/2014/main" id="{00000000-0008-0000-2B00-00004E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78" name="CuadroTexto 77">
              <a:extLst>
                <a:ext uri="{FF2B5EF4-FFF2-40B4-BE49-F238E27FC236}">
                  <a16:creationId xmlns="" xmlns:a16="http://schemas.microsoft.com/office/drawing/2014/main" xmlns:a14="http://schemas.microsoft.com/office/drawing/2010/main" id="{00000000-0008-0000-2800-000003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79" name="CuadroTexto 78">
          <a:extLst>
            <a:ext uri="{FF2B5EF4-FFF2-40B4-BE49-F238E27FC236}">
              <a16:creationId xmlns:a16="http://schemas.microsoft.com/office/drawing/2014/main" id="{00000000-0008-0000-2B00-00004F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2B00-00005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0" name="CuadroTexto 79">
              <a:extLst>
                <a:ext uri="{FF2B5EF4-FFF2-40B4-BE49-F238E27FC236}">
                  <a16:creationId xmlns="" xmlns:a16="http://schemas.microsoft.com/office/drawing/2014/main" xmlns:a14="http://schemas.microsoft.com/office/drawing/2010/main" id="{00000000-0008-0000-2800-000011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2B00-00005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1" name="CuadroTexto 80">
              <a:extLst>
                <a:ext uri="{FF2B5EF4-FFF2-40B4-BE49-F238E27FC236}">
                  <a16:creationId xmlns="" xmlns:a16="http://schemas.microsoft.com/office/drawing/2014/main" xmlns:a14="http://schemas.microsoft.com/office/drawing/2010/main" id="{00000000-0008-0000-2800-000012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2" name="CuadroTexto 81">
              <a:extLst>
                <a:ext uri="{FF2B5EF4-FFF2-40B4-BE49-F238E27FC236}">
                  <a16:creationId xmlns:a16="http://schemas.microsoft.com/office/drawing/2014/main" id="{00000000-0008-0000-2B00-00005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2" name="CuadroTexto 81">
              <a:extLst>
                <a:ext uri="{FF2B5EF4-FFF2-40B4-BE49-F238E27FC236}">
                  <a16:creationId xmlns="" xmlns:a16="http://schemas.microsoft.com/office/drawing/2014/main" xmlns:a14="http://schemas.microsoft.com/office/drawing/2010/main" id="{00000000-0008-0000-2800-000013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3" name="CuadroTexto 82">
              <a:extLst>
                <a:ext uri="{FF2B5EF4-FFF2-40B4-BE49-F238E27FC236}">
                  <a16:creationId xmlns:a16="http://schemas.microsoft.com/office/drawing/2014/main" id="{00000000-0008-0000-2B00-00005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3" name="CuadroTexto 82">
              <a:extLst>
                <a:ext uri="{FF2B5EF4-FFF2-40B4-BE49-F238E27FC236}">
                  <a16:creationId xmlns="" xmlns:a16="http://schemas.microsoft.com/office/drawing/2014/main" xmlns:a14="http://schemas.microsoft.com/office/drawing/2010/main" id="{00000000-0008-0000-2800-000014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84" name="CuadroTexto 83">
          <a:extLst>
            <a:ext uri="{FF2B5EF4-FFF2-40B4-BE49-F238E27FC236}">
              <a16:creationId xmlns:a16="http://schemas.microsoft.com/office/drawing/2014/main" id="{00000000-0008-0000-2B00-000054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85" name="CuadroTexto 84">
          <a:extLst>
            <a:ext uri="{FF2B5EF4-FFF2-40B4-BE49-F238E27FC236}">
              <a16:creationId xmlns:a16="http://schemas.microsoft.com/office/drawing/2014/main" id="{00000000-0008-0000-2B00-000055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6" name="CuadroTexto 85">
              <a:extLst>
                <a:ext uri="{FF2B5EF4-FFF2-40B4-BE49-F238E27FC236}">
                  <a16:creationId xmlns:a16="http://schemas.microsoft.com/office/drawing/2014/main" id="{00000000-0008-0000-2B00-000056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6" name="CuadroTexto 85">
              <a:extLst>
                <a:ext uri="{FF2B5EF4-FFF2-40B4-BE49-F238E27FC236}">
                  <a16:creationId xmlns="" xmlns:a16="http://schemas.microsoft.com/office/drawing/2014/main" xmlns:a14="http://schemas.microsoft.com/office/drawing/2010/main" id="{00000000-0008-0000-2800-000019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2B00-000057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7" name="CuadroTexto 86">
              <a:extLst>
                <a:ext uri="{FF2B5EF4-FFF2-40B4-BE49-F238E27FC236}">
                  <a16:creationId xmlns="" xmlns:a16="http://schemas.microsoft.com/office/drawing/2014/main" xmlns:a14="http://schemas.microsoft.com/office/drawing/2010/main" id="{00000000-0008-0000-2800-00001A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8" name="CuadroTexto 87">
              <a:extLst>
                <a:ext uri="{FF2B5EF4-FFF2-40B4-BE49-F238E27FC236}">
                  <a16:creationId xmlns:a16="http://schemas.microsoft.com/office/drawing/2014/main" id="{00000000-0008-0000-2B00-000058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8" name="CuadroTexto 87">
              <a:extLst>
                <a:ext uri="{FF2B5EF4-FFF2-40B4-BE49-F238E27FC236}">
                  <a16:creationId xmlns="" xmlns:a16="http://schemas.microsoft.com/office/drawing/2014/main" xmlns:a14="http://schemas.microsoft.com/office/drawing/2010/main" id="{00000000-0008-0000-2800-00001B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9" name="CuadroTexto 88">
              <a:extLst>
                <a:ext uri="{FF2B5EF4-FFF2-40B4-BE49-F238E27FC236}">
                  <a16:creationId xmlns:a16="http://schemas.microsoft.com/office/drawing/2014/main" id="{00000000-0008-0000-2B00-000059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9" name="CuadroTexto 88">
              <a:extLst>
                <a:ext uri="{FF2B5EF4-FFF2-40B4-BE49-F238E27FC236}">
                  <a16:creationId xmlns="" xmlns:a16="http://schemas.microsoft.com/office/drawing/2014/main" xmlns:a14="http://schemas.microsoft.com/office/drawing/2010/main" id="{00000000-0008-0000-2800-00001C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0" name="CuadroTexto 89">
          <a:extLst>
            <a:ext uri="{FF2B5EF4-FFF2-40B4-BE49-F238E27FC236}">
              <a16:creationId xmlns:a16="http://schemas.microsoft.com/office/drawing/2014/main" id="{00000000-0008-0000-2B00-00005A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91" name="CuadroTexto 90">
          <a:extLst>
            <a:ext uri="{FF2B5EF4-FFF2-40B4-BE49-F238E27FC236}">
              <a16:creationId xmlns:a16="http://schemas.microsoft.com/office/drawing/2014/main" id="{00000000-0008-0000-2B00-00005B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92" name="CuadroTexto 91">
              <a:extLst>
                <a:ext uri="{FF2B5EF4-FFF2-40B4-BE49-F238E27FC236}">
                  <a16:creationId xmlns:a16="http://schemas.microsoft.com/office/drawing/2014/main" id="{00000000-0008-0000-2B00-00005C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2" name="CuadroTexto 91">
              <a:extLst>
                <a:ext uri="{FF2B5EF4-FFF2-40B4-BE49-F238E27FC236}">
                  <a16:creationId xmlns="" xmlns:a16="http://schemas.microsoft.com/office/drawing/2014/main" xmlns:a14="http://schemas.microsoft.com/office/drawing/2010/main" id="{00000000-0008-0000-2800-00002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93" name="CuadroTexto 92">
              <a:extLst>
                <a:ext uri="{FF2B5EF4-FFF2-40B4-BE49-F238E27FC236}">
                  <a16:creationId xmlns:a16="http://schemas.microsoft.com/office/drawing/2014/main" id="{00000000-0008-0000-2B00-00005D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3" name="CuadroTexto 92">
              <a:extLst>
                <a:ext uri="{FF2B5EF4-FFF2-40B4-BE49-F238E27FC236}">
                  <a16:creationId xmlns="" xmlns:a16="http://schemas.microsoft.com/office/drawing/2014/main" xmlns:a14="http://schemas.microsoft.com/office/drawing/2010/main" id="{00000000-0008-0000-2800-00002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94" name="CuadroTexto 93">
              <a:extLst>
                <a:ext uri="{FF2B5EF4-FFF2-40B4-BE49-F238E27FC236}">
                  <a16:creationId xmlns:a16="http://schemas.microsoft.com/office/drawing/2014/main" id="{00000000-0008-0000-2B00-00005E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4" name="CuadroTexto 93">
              <a:extLst>
                <a:ext uri="{FF2B5EF4-FFF2-40B4-BE49-F238E27FC236}">
                  <a16:creationId xmlns="" xmlns:a16="http://schemas.microsoft.com/office/drawing/2014/main" xmlns:a14="http://schemas.microsoft.com/office/drawing/2010/main" id="{00000000-0008-0000-2800-00002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95" name="CuadroTexto 94">
              <a:extLst>
                <a:ext uri="{FF2B5EF4-FFF2-40B4-BE49-F238E27FC236}">
                  <a16:creationId xmlns:a16="http://schemas.microsoft.com/office/drawing/2014/main" id="{00000000-0008-0000-2B00-00005F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5" name="CuadroTexto 94">
              <a:extLst>
                <a:ext uri="{FF2B5EF4-FFF2-40B4-BE49-F238E27FC236}">
                  <a16:creationId xmlns="" xmlns:a16="http://schemas.microsoft.com/office/drawing/2014/main" xmlns:a14="http://schemas.microsoft.com/office/drawing/2010/main" id="{00000000-0008-0000-2800-00002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6" name="CuadroTexto 95">
          <a:extLst>
            <a:ext uri="{FF2B5EF4-FFF2-40B4-BE49-F238E27FC236}">
              <a16:creationId xmlns:a16="http://schemas.microsoft.com/office/drawing/2014/main" id="{00000000-0008-0000-2B00-000060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3</xdr:col>
      <xdr:colOff>90348</xdr:colOff>
      <xdr:row>62</xdr:row>
      <xdr:rowOff>69477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B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479BAF6-9947-4C44-98E6-823CCD30E2F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6D6DC945-2F43-4C74-90AD-2D0682EF5E4B}"/>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A192896D-F52C-4915-9F85-74ED01497C0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9122DC05-BE7B-425D-B8F9-A2AFA99A95E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59941DED-D280-4E24-A4E2-5D2E50D6A64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A48FB748-424B-46EB-B668-D2EF064D16BF}"/>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6E4329D-01AD-4FC7-BFE2-6DBFD65D851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23D2CECA-BD1C-4E56-A735-DE0D8F0B255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3A50BDC5-074A-4483-8B17-A7BB5886F26D}"/>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168C660E-2C65-4BD1-9689-D6E9DAB9450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016B603B-1210-4B33-856D-4B1E1F0876C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1025E0D-B240-4F5C-97D2-DA925C573C2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4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0B4F37F8-25D1-4438-A3B6-AFBDBDED4F7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4224B383-C7A7-4FD1-870E-D0A427D5A6F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D6572AEC-C995-463D-AD38-F5FFF56A055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4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89E5DFF-2F59-4216-AC0D-CFC6C5F35B9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4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E3D3908-CBA2-4293-BB90-5542C580763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4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51F611D3-6538-4E0B-8A33-9A6FA1C1489E}"/>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F0227D38-00A8-43BC-8D84-941DF2D6FF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4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9C2C67C-B6EA-4F09-834F-383536D5803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26261045-614D-479B-B606-2AA5F27542A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087E93-2720-4722-9B81-861112D2313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4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D5054BCE-CD1F-4978-B2D7-5E4C62B422A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4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4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8718B5A-6CC1-4AC9-8B19-30AA1276157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4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7E3442B-66F0-4C55-B301-4FBF697E6E9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4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A11C0E73-EEF5-4F15-8511-027C983638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4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B619838-5A4A-4A7D-87CD-6F08D33C849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D37E183-47C0-4FA9-BD96-B38468371B32}"/>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766D56D8-E621-4888-B5EB-6B023AF06A0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97234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400-000028000000}"/>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EC4B579-39C3-4E33-AFCE-A81256F87519}"/>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4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3CBC44EB-EF52-4651-93D7-AED70CE63EF5}"/>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4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4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4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F47491A-B5EE-4CC4-A318-292725AB04E7}"/>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6EC3100C-38DF-4D24-BB9B-62EEE857D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D44AB906-F68C-472F-8814-EF181FDECE8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150811</xdr:colOff>
      <xdr:row>62</xdr:row>
      <xdr:rowOff>357187</xdr:rowOff>
    </xdr:from>
    <xdr:to>
      <xdr:col>12</xdr:col>
      <xdr:colOff>447144</xdr:colOff>
      <xdr:row>64</xdr:row>
      <xdr:rowOff>627062</xdr:rowOff>
    </xdr:to>
    <xdr:graphicFrame macro="">
      <xdr:nvGraphicFramePr>
        <xdr:cNvPr id="52" name="Gráfico 51">
          <a:extLst>
            <a:ext uri="{FF2B5EF4-FFF2-40B4-BE49-F238E27FC236}">
              <a16:creationId xmlns:a16="http://schemas.microsoft.com/office/drawing/2014/main" id="{00000000-0008-0000-0400-000034000000}"/>
            </a:ext>
            <a:ext uri="{147F2762-F138-4A5C-976F-8EAC2B608ADB}">
              <a16:predDERef xmlns:a16="http://schemas.microsoft.com/office/drawing/2014/main" pre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495319</xdr:colOff>
      <xdr:row>0</xdr:row>
      <xdr:rowOff>675280</xdr:rowOff>
    </xdr:to>
    <xdr:pic>
      <xdr:nvPicPr>
        <xdr:cNvPr id="48" name="47 Imagen">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
        <a:stretch>
          <a:fillRect/>
        </a:stretch>
      </xdr:blipFill>
      <xdr:spPr>
        <a:xfrm>
          <a:off x="238125" y="59531"/>
          <a:ext cx="1316850" cy="615749"/>
        </a:xfrm>
        <a:prstGeom prst="rect">
          <a:avLst/>
        </a:prstGeom>
      </xdr:spPr>
    </xdr:pic>
    <xdr:clientData/>
  </xdr:twoCellAnchor>
  <xdr:oneCellAnchor>
    <xdr:from>
      <xdr:col>4</xdr:col>
      <xdr:colOff>155713</xdr:colOff>
      <xdr:row>39</xdr:row>
      <xdr:rowOff>106017</xdr:rowOff>
    </xdr:from>
    <xdr:ext cx="65" cy="172227"/>
    <xdr:sp macro="" textlink="">
      <xdr:nvSpPr>
        <xdr:cNvPr id="53" name="CuadroTexto 52">
          <a:extLst>
            <a:ext uri="{FF2B5EF4-FFF2-40B4-BE49-F238E27FC236}">
              <a16:creationId xmlns:a16="http://schemas.microsoft.com/office/drawing/2014/main" id="{00000000-0008-0000-0400-000035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4" name="CuadroTexto 53">
              <a:extLst>
                <a:ext uri="{FF2B5EF4-FFF2-40B4-BE49-F238E27FC236}">
                  <a16:creationId xmlns:a16="http://schemas.microsoft.com/office/drawing/2014/main" id="{C78D697C-C3F2-428E-9C1F-C04F59698E72}"/>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55" name="CuadroTexto 54">
              <a:extLst>
                <a:ext uri="{FF2B5EF4-FFF2-40B4-BE49-F238E27FC236}">
                  <a16:creationId xmlns:a16="http://schemas.microsoft.com/office/drawing/2014/main" id="{00000000-0008-0000-0400-000037000000}"/>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5" name="CuadroTexto 54">
              <a:extLst>
                <a:ext uri="{FF2B5EF4-FFF2-40B4-BE49-F238E27FC236}">
                  <a16:creationId xmlns:a16="http://schemas.microsoft.com/office/drawing/2014/main" id="{7C2E8059-3E56-4910-8AC8-33B79E46E4BB}"/>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56" name="CuadroTexto 55">
              <a:extLst>
                <a:ext uri="{FF2B5EF4-FFF2-40B4-BE49-F238E27FC236}">
                  <a16:creationId xmlns:a16="http://schemas.microsoft.com/office/drawing/2014/main" id="{00000000-0008-0000-0400-000038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6" name="CuadroTexto 55">
              <a:extLst>
                <a:ext uri="{FF2B5EF4-FFF2-40B4-BE49-F238E27FC236}">
                  <a16:creationId xmlns:a16="http://schemas.microsoft.com/office/drawing/2014/main" id="{0D1E07D5-570D-4C9F-BB47-509C30991E46}"/>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7" name="CuadroTexto 56">
              <a:extLst>
                <a:ext uri="{FF2B5EF4-FFF2-40B4-BE49-F238E27FC236}">
                  <a16:creationId xmlns:a16="http://schemas.microsoft.com/office/drawing/2014/main" id="{7FDE39A0-951E-4D70-A16D-A703FC051A32}"/>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58" name="CuadroTexto 57">
          <a:extLst>
            <a:ext uri="{FF2B5EF4-FFF2-40B4-BE49-F238E27FC236}">
              <a16:creationId xmlns:a16="http://schemas.microsoft.com/office/drawing/2014/main" id="{00000000-0008-0000-0400-00003A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59" name="CuadroTexto 58">
          <a:extLst>
            <a:ext uri="{FF2B5EF4-FFF2-40B4-BE49-F238E27FC236}">
              <a16:creationId xmlns:a16="http://schemas.microsoft.com/office/drawing/2014/main" id="{00000000-0008-0000-0400-00003B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400-00003C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0" name="CuadroTexto 59">
              <a:extLst>
                <a:ext uri="{FF2B5EF4-FFF2-40B4-BE49-F238E27FC236}">
                  <a16:creationId xmlns:a16="http://schemas.microsoft.com/office/drawing/2014/main" id="{8C85B0D1-05D8-4B02-9716-7A9DABFE0EF5}"/>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400-00003E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2" name="CuadroTexto 61">
              <a:extLst>
                <a:ext uri="{FF2B5EF4-FFF2-40B4-BE49-F238E27FC236}">
                  <a16:creationId xmlns:a16="http://schemas.microsoft.com/office/drawing/2014/main" id="{3BFB8E1C-2429-487A-A0A7-967A5F97CDE3}"/>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63" name="CuadroTexto 62">
              <a:extLst>
                <a:ext uri="{FF2B5EF4-FFF2-40B4-BE49-F238E27FC236}">
                  <a16:creationId xmlns:a16="http://schemas.microsoft.com/office/drawing/2014/main" id="{00000000-0008-0000-0400-00003F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63" name="CuadroTexto 62">
              <a:extLst>
                <a:ext uri="{FF2B5EF4-FFF2-40B4-BE49-F238E27FC236}">
                  <a16:creationId xmlns:a16="http://schemas.microsoft.com/office/drawing/2014/main" id="{07E71843-DED0-411A-A0D8-AC4D444C6D29}"/>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64" name="CuadroTexto 63">
          <a:extLst>
            <a:ext uri="{FF2B5EF4-FFF2-40B4-BE49-F238E27FC236}">
              <a16:creationId xmlns:a16="http://schemas.microsoft.com/office/drawing/2014/main" id="{00000000-0008-0000-0400-000040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65" name="CuadroTexto 64">
          <a:extLst>
            <a:ext uri="{FF2B5EF4-FFF2-40B4-BE49-F238E27FC236}">
              <a16:creationId xmlns:a16="http://schemas.microsoft.com/office/drawing/2014/main" id="{00000000-0008-0000-0400-000041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347872</xdr:colOff>
      <xdr:row>41</xdr:row>
      <xdr:rowOff>132521</xdr:rowOff>
    </xdr:from>
    <xdr:ext cx="66260" cy="172227"/>
    <xdr:sp macro="" textlink="">
      <xdr:nvSpPr>
        <xdr:cNvPr id="70" name="CuadroTexto 69">
          <a:extLst>
            <a:ext uri="{FF2B5EF4-FFF2-40B4-BE49-F238E27FC236}">
              <a16:creationId xmlns:a16="http://schemas.microsoft.com/office/drawing/2014/main" id="{00000000-0008-0000-0400-000046000000}"/>
            </a:ext>
          </a:extLst>
        </xdr:cNvPr>
        <xdr:cNvSpPr txBox="1"/>
      </xdr:nvSpPr>
      <xdr:spPr>
        <a:xfrm>
          <a:off x="1379747" y="14602584"/>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A1322FC5-865E-4746-A284-04BBE60E8E3A}"/>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68BF250-DEF7-4B18-8035-9E05AC7C7DD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FE39919-2397-4A24-B65E-748413696F1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15C34A5-8E2F-4D66-8E53-896D868170E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7CB71CCB-B177-4293-B32E-4A5B25C3986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AFACB4EE-0D4B-40BD-A227-E8E1CDBB61F7}"/>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FF13CB0-D644-49A5-A872-9939FF7CC48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CE70493-929F-443B-91C7-DDFE96577C0D}"/>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1E134E33-23F7-4370-84D3-BB16C7E1D87F}"/>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F02CCE08-D3BF-49AF-B981-F3D4B95154B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5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AC0DEA5-B920-472D-A661-C2AAF9EC33A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814DC7EB-2CEA-4BF2-905F-0ECF119EBE3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7E4AEC2B-0874-48CC-A7BB-5C0942C8BFB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5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747C0722-9ADA-4721-8E66-4A8ED5BA43A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DF7F500-B711-478F-9AA8-6A9006CCC4AB}"/>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BFC76F9E-C8AB-4BBC-961B-3538578553B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5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DDDF8FA-F632-45CB-8E52-23470C6EBFEC}"/>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5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5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5B0DEA18-EEA3-4426-9311-BE4CF35A1FF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5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5932A48-3B40-4E35-ACA8-8033EBAC03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B733B2-8E02-48FF-8E20-E447303CB33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B73618EF-F59E-4C70-92A2-29D8F0D215F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5BD55F6C-9A42-450E-B096-CFBB8BE46A43}"/>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80D3D01E-15E1-415B-8B2B-013B325ABF2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F41DAEA-1A47-43EA-A4D8-8DF845819B44}"/>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DD089CD-090B-40F0-AAC3-BCF89A2AAE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5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FE80B88-0E97-48EB-866E-1EC832CC5B3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24076CA7-796D-4B30-9594-9AA6C5FA681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42160BB-C888-44E3-927A-A1462C61AF4D}"/>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1031873</xdr:colOff>
      <xdr:row>73</xdr:row>
      <xdr:rowOff>107157</xdr:rowOff>
    </xdr:from>
    <xdr:ext cx="928689" cy="21034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500-000028000000}"/>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97115B97-DE68-4B61-9BC9-C60F3762D222}"/>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5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F3166CF5-75AD-4353-A8F8-D77168A32D6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5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0E08CD0-BB0E-427F-A361-C1DC67C948D6}"/>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7F5496A7-5592-4B50-896C-65823B6C508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AA33C3F-55F6-4E82-8158-2E49906C2F3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603249</xdr:colOff>
      <xdr:row>62</xdr:row>
      <xdr:rowOff>587374</xdr:rowOff>
    </xdr:from>
    <xdr:to>
      <xdr:col>13</xdr:col>
      <xdr:colOff>95248</xdr:colOff>
      <xdr:row>65</xdr:row>
      <xdr:rowOff>116416</xdr:rowOff>
    </xdr:to>
    <xdr:graphicFrame macro="">
      <xdr:nvGraphicFramePr>
        <xdr:cNvPr id="52" name="Gráfico 51">
          <a:extLst>
            <a:ext uri="{FF2B5EF4-FFF2-40B4-BE49-F238E27FC236}">
              <a16:creationId xmlns:a16="http://schemas.microsoft.com/office/drawing/2014/main" id="{00000000-0008-0000-0500-000034000000}"/>
            </a:ext>
            <a:ext uri="{147F2762-F138-4A5C-976F-8EAC2B608ADB}">
              <a16:predDERef xmlns:a16="http://schemas.microsoft.com/office/drawing/2014/main" pre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83344</xdr:rowOff>
    </xdr:from>
    <xdr:to>
      <xdr:col>1</xdr:col>
      <xdr:colOff>435787</xdr:colOff>
      <xdr:row>0</xdr:row>
      <xdr:rowOff>699093</xdr:rowOff>
    </xdr:to>
    <xdr:pic>
      <xdr:nvPicPr>
        <xdr:cNvPr id="48" name="47 Imagen">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190500" y="83344"/>
          <a:ext cx="1316850" cy="615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96DC1D6-E530-4EA6-8244-63350EEE59CE}"/>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726D4279-E370-41ED-86F3-D67362A487A9}"/>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9C1465C6-1D46-4E08-909B-3002F4478019}"/>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4B738D55-3F7E-4F2F-82FF-3B18196A99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DE2EE2E-6A5B-4ED3-B705-D2E93033768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33F03540-C081-4946-B073-AEB00736FF1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143E4DE8-453C-4313-A813-A0B400A6A55B}"/>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644ECA9-A5DE-4FF4-A559-EB0418925B5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3972A7B-AD6C-43D8-8F9B-5743925680E7}"/>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8282CDF-36E3-46A8-B328-41B0078141E5}"/>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67FBE46F-4C4E-4602-9D8B-A2468AEB784F}"/>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C1B3EBB-D5CA-4560-8F0E-EED1345450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117B275-A1BF-4BD7-8FD2-1594894FDA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6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E8EF8EB-B93C-4C5D-869E-2B709BE7D34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6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B144173-BFBE-4B94-874B-05E7B7FEF11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110B64F-40AA-43A4-80EA-94AEDFF3A42C}"/>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3F2479A2-BE19-4C71-98EE-5FE4670241F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6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EFF7CF12-668D-4F67-BA88-F4EA522229C1}"/>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121A526-E4CE-4B04-AC1A-5990BAB94A9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6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599F91-50B4-43B1-95DF-DCEB6BC20D6E}"/>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473DE09-5C4C-485D-B3A3-1727A490A44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02E2B7D8-A516-40AC-BCAC-7861B0A2037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E7E8E122-D248-4701-8730-9920462E8D6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A8B90C6-2746-4430-A2A0-D7E97C03743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6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549BB44C-835A-4A33-A22E-3D8507C2D15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8535077C-B72F-46A4-A247-507B9206F42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6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9E94E07C-43C3-466B-A4BC-31FDF7D483E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72E885C-433F-4035-9CC4-1D34CD580AC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6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87E93EF3-CF4D-4C67-8AEC-287C254BC2E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69D79D6D-4888-4D2F-9F7E-7E8490117E1B}"/>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837407"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600-000028000000}"/>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FA3C6A4-A622-4F0A-B475-0ED6ACDFFE7F}"/>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9A9D9D86-0714-42E6-9F62-F4A932BBA48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6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6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6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138D9B4A-EE74-4FB1-AAEC-79A3CB6FAA0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6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6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BEAE200-6131-443B-A20E-EAFD50DD2A1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6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6882ECD1-8CA7-4A5C-9E8E-7BE3DF71047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370416</xdr:colOff>
      <xdr:row>62</xdr:row>
      <xdr:rowOff>502708</xdr:rowOff>
    </xdr:from>
    <xdr:to>
      <xdr:col>12</xdr:col>
      <xdr:colOff>669395</xdr:colOff>
      <xdr:row>65</xdr:row>
      <xdr:rowOff>31750</xdr:rowOff>
    </xdr:to>
    <xdr:graphicFrame macro="">
      <xdr:nvGraphicFramePr>
        <xdr:cNvPr id="52" name="Gráfico 51">
          <a:extLst>
            <a:ext uri="{FF2B5EF4-FFF2-40B4-BE49-F238E27FC236}">
              <a16:creationId xmlns:a16="http://schemas.microsoft.com/office/drawing/2014/main" id="{00000000-0008-0000-0600-000034000000}"/>
            </a:ext>
            <a:ext uri="{147F2762-F138-4A5C-976F-8EAC2B608ADB}">
              <a16:predDERef xmlns:a16="http://schemas.microsoft.com/office/drawing/2014/main" pre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226218</xdr:colOff>
      <xdr:row>0</xdr:row>
      <xdr:rowOff>47625</xdr:rowOff>
    </xdr:from>
    <xdr:to>
      <xdr:col>1</xdr:col>
      <xdr:colOff>483412</xdr:colOff>
      <xdr:row>0</xdr:row>
      <xdr:rowOff>663374</xdr:rowOff>
    </xdr:to>
    <xdr:pic>
      <xdr:nvPicPr>
        <xdr:cNvPr id="48" name="47 Imagen">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
        <a:stretch>
          <a:fillRect/>
        </a:stretch>
      </xdr:blipFill>
      <xdr:spPr>
        <a:xfrm>
          <a:off x="226218" y="47625"/>
          <a:ext cx="1316850" cy="61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F8AEF0B-9B8C-483A-8F30-39DEB1D10F12}"/>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226361F-D084-4947-8B5F-340C4E49273F}"/>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8381F184-5C24-4077-A22C-39B0D98750F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5A93F7A-AF40-4858-B225-D84592D22E33}"/>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D7DC3947-8B71-4F92-A8CC-A52EAC4B6617}"/>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DC19C8CE-F69E-400C-819C-E408F81F5FB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7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CF66F76F-7219-4285-BFFA-94D3DF8D188A}"/>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7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09A22FA5-512D-4179-8197-63379C1F2DF9}"/>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7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B93A2F9C-DF42-4B84-BB4D-2F29499CDFA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A7DF78D-25FE-4732-840F-F235CA8FCA69}"/>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7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398AC936-AFB4-4C14-8339-AB30E71C7BB8}"/>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4CD7CD32-82E9-43B5-B6D7-4AC6B87C033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FF16703-952A-407B-9E08-FFF515B31B5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F8FCF1C-DFF3-47F1-B7AB-813F73E6BA4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B5B8A8D2-BFC9-465C-B778-3CA2632FE86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7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0F0A2A69-D893-420E-960C-58231852167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44E767A-B254-432A-B404-D377C1E0B79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29FC3807-E9A2-49AD-B5E3-81BD2B0F7587}"/>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7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FC0990B-F26D-4BFF-B069-FA60A74D34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7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7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CF99763B-25C6-4C17-8BBF-F5529777489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7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3AFA4FAC-B2E1-4A8C-B205-43520414399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7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107FAC86-110F-4776-9891-DE55E32E07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7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9EE0673-319E-4377-BF7A-CDFD6E5E30D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7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7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04AACD63-517F-482F-89E3-45C5D9D0A05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7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7895240-B5DF-4259-87E5-90059E16DB6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7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D7D24AFC-F189-408E-9BCF-AB926B45214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7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0DECF0C2-E920-4BBE-9737-C5017E39702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7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5725B29D-AAE8-4790-BE1C-1E80D71A6AA6}"/>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7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7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7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066849C-BA75-4BAA-A2D7-BED5ED307534}"/>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7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84E22B9-6322-497E-9FFD-3FFF22AB48B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833438"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700-000028000000}"/>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AB026A0-5A79-47D3-9E87-06A2D404DC6B}"/>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7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284015EE-DAD7-4CA2-8458-F9EF73F331E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7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7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7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7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7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B0115895-1786-48DA-95C2-2298C108B52B}"/>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7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7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D88EFB20-EFD2-4DDC-9356-EB30DD8779C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7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142CC3D4-CAB8-48C2-BE43-7085D7DE3EA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336019</xdr:colOff>
      <xdr:row>62</xdr:row>
      <xdr:rowOff>552979</xdr:rowOff>
    </xdr:from>
    <xdr:to>
      <xdr:col>12</xdr:col>
      <xdr:colOff>632352</xdr:colOff>
      <xdr:row>65</xdr:row>
      <xdr:rowOff>82021</xdr:rowOff>
    </xdr:to>
    <xdr:graphicFrame macro="">
      <xdr:nvGraphicFramePr>
        <xdr:cNvPr id="52" name="Gráfico 51">
          <a:extLst>
            <a:ext uri="{FF2B5EF4-FFF2-40B4-BE49-F238E27FC236}">
              <a16:creationId xmlns:a16="http://schemas.microsoft.com/office/drawing/2014/main" id="{00000000-0008-0000-0700-000034000000}"/>
            </a:ext>
            <a:ext uri="{147F2762-F138-4A5C-976F-8EAC2B608ADB}">
              <a16:predDERef xmlns:a16="http://schemas.microsoft.com/office/drawing/2014/main" pred="{00000000-0008-0000-07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83344</xdr:rowOff>
    </xdr:from>
    <xdr:to>
      <xdr:col>1</xdr:col>
      <xdr:colOff>507225</xdr:colOff>
      <xdr:row>0</xdr:row>
      <xdr:rowOff>699093</xdr:rowOff>
    </xdr:to>
    <xdr:pic>
      <xdr:nvPicPr>
        <xdr:cNvPr id="48" name="47 Imagen">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226219" y="83344"/>
          <a:ext cx="1316850"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AF0810D-26C5-4A75-8346-CD1E33EC12D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172339D-3715-4F4E-8672-511DBF7935A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E901739-0C0F-48DF-85AD-B2F24B1A1A8A}"/>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FF1432CA-A5BA-42F7-B504-3B9BEF25EA6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7281835-8513-4EC7-96ED-37462B14378F}"/>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C61FBDF-40D3-4F02-910B-C15D706B7EE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8263952F-4F45-46A9-9833-FBD4C477BA6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8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24F268F-FE40-4EA8-9350-06ADE402845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D42BCA96-0DDC-47D6-9D02-A84F1B65920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8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C00F26A-33EF-404F-B3FB-EF79DEC8903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9DF87F4C-AF8C-42FB-8B95-E38EB7F5FF2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8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D4113B5-7A88-4083-AB4A-DC01AC254C8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C534504-8E42-4387-811A-093FA705272A}"/>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8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8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97DDEACC-EACF-4758-AF8A-5C9E9A00465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F1B9A424-AB1D-4A96-A6F5-7F039A798B2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8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88492B7-9199-4431-B9C8-765B983335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8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C4C24CEE-D876-432C-94E5-0D52267B20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8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02B197B-7474-43F8-B464-E0F7F1532EEB}"/>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48D71463-2500-41BF-A36C-D881A66DD18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8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8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490D993C-5CE4-4949-9460-370141E8070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8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E4A9A6D-41E6-4B79-B6A2-10E40DAAAD9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8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45DDC32-B94F-444D-BDC7-C7F44E4A0FC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8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B616AE4-6F6A-4E2D-9CD6-CEC36BB2F66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8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8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4B0212-AB45-4F1C-951D-1756039338E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8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8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64C0EF-1796-4FFD-8573-79E58DB64E2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8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F5851017-7E5B-4691-81E5-10E7D7D5B22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8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EEC260E7-1C0E-4BB8-AAFE-E928FDC491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DB58EA7F-081F-4E56-B97A-B8C4E3118DD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8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8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8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CDD0BB04-BAF0-4FE0-AB97-D39C04DCC91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8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3E69AAF-AE56-4B81-89D5-1DA4BCCA7A1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95250</xdr:rowOff>
    </xdr:from>
    <xdr:ext cx="837407"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800-000028000000}"/>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8A021869-46A8-43CB-A3B6-5AC1E45E5B02}"/>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8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9A2750B-250F-4518-9F3C-28194DFEE7F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8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8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8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A4CD100-4424-4EB8-ABF6-A4D7BCF04189}"/>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EEED4485-E828-4367-8FC5-6BB54E2744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8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A6DE9E8-CB36-4562-8DE5-10B58FC466A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418041</xdr:colOff>
      <xdr:row>62</xdr:row>
      <xdr:rowOff>473603</xdr:rowOff>
    </xdr:from>
    <xdr:to>
      <xdr:col>12</xdr:col>
      <xdr:colOff>714374</xdr:colOff>
      <xdr:row>65</xdr:row>
      <xdr:rowOff>2645</xdr:rowOff>
    </xdr:to>
    <xdr:graphicFrame macro="">
      <xdr:nvGraphicFramePr>
        <xdr:cNvPr id="52" name="Gráfico 51">
          <a:extLst>
            <a:ext uri="{FF2B5EF4-FFF2-40B4-BE49-F238E27FC236}">
              <a16:creationId xmlns:a16="http://schemas.microsoft.com/office/drawing/2014/main" id="{00000000-0008-0000-0800-000034000000}"/>
            </a:ext>
            <a:ext uri="{147F2762-F138-4A5C-976F-8EAC2B608ADB}">
              <a16:predDERef xmlns:a16="http://schemas.microsoft.com/office/drawing/2014/main" pre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71437</xdr:rowOff>
    </xdr:from>
    <xdr:to>
      <xdr:col>1</xdr:col>
      <xdr:colOff>471506</xdr:colOff>
      <xdr:row>0</xdr:row>
      <xdr:rowOff>687186</xdr:rowOff>
    </xdr:to>
    <xdr:pic>
      <xdr:nvPicPr>
        <xdr:cNvPr id="48" name="47 Imagen">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2"/>
        <a:stretch>
          <a:fillRect/>
        </a:stretch>
      </xdr:blipFill>
      <xdr:spPr>
        <a:xfrm>
          <a:off x="214312" y="71437"/>
          <a:ext cx="1316850"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C20736\Users\Users\eaguirre\Documents\Laboratorios%20de%20masas%20y%20volumen%20(RT03)\Calibraciones%20Balanzas\CERTIFICADO%200000%202016Abril19%20HCB%20MAX%202200%20g%20PEDRO%20VARG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UEBAS DE CALIBRACION"/>
      <sheetName val="COMPONENTES DE INCERTI"/>
      <sheetName val="APROXIMACION LINEL"/>
      <sheetName val="RESULTADOS"/>
      <sheetName val="Certificado 0,000"/>
    </sheetNames>
    <sheetDataSet>
      <sheetData sheetId="0">
        <row r="7">
          <cell r="C7" t="str">
            <v>Bogotá. D.C.</v>
          </cell>
        </row>
        <row r="13">
          <cell r="E13">
            <v>0.1</v>
          </cell>
        </row>
      </sheetData>
      <sheetData sheetId="1">
        <row r="6">
          <cell r="E6">
            <v>20.549999999999997</v>
          </cell>
        </row>
        <row r="11">
          <cell r="H11">
            <v>100</v>
          </cell>
        </row>
        <row r="18">
          <cell r="G18">
            <v>0.10000000000331966</v>
          </cell>
        </row>
      </sheetData>
      <sheetData sheetId="2"/>
      <sheetData sheetId="3"/>
      <sheetData sheetId="4">
        <row r="6">
          <cell r="C6" t="str">
            <v>ERROR (mg)</v>
          </cell>
        </row>
      </sheetData>
      <sheetData sheetId="5">
        <row r="114">
          <cell r="A114">
            <v>10</v>
          </cell>
        </row>
      </sheetData>
    </sheetDataSet>
  </externalBook>
</externalLink>
</file>

<file path=xl/persons/person.xml><?xml version="1.0" encoding="utf-8"?>
<personList xmlns="http://schemas.microsoft.com/office/spreadsheetml/2018/threadedcomments" xmlns:x="http://schemas.openxmlformats.org/spreadsheetml/2006/main">
  <person displayName="Luis Henry Barreto Rojas" id="{3158BA57-9FEC-4E58-B7F7-7571081DBE60}" userId="Luis Henry Barreto Rojas" providerId="None"/>
  <person displayName="Elvis Aguirre Romero" id="{9D17B2A7-7058-4669-AB42-D03FCE3F4352}" userId="S::eaguirre@sic.gov.co::374a4117-b831-4a3d-8ba0-a79639956d3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45" dT="2020-10-21T16:24:30.52" personId="{9D17B2A7-7058-4669-AB42-D03FCE3F4352}" id="{B16603F9-1199-4E9B-8D9A-6CDDA89A56E2}">
    <text>Tener en cuenta: valor nominal, unidad, clase,marcación del fabricante y marcación adicional. ejemplo: (5 kg * M LVF TR)</text>
  </threadedComment>
  <threadedComment ref="H140" dT="2020-08-24T21:24:22.16" personId="{3158BA57-9FEC-4E58-B7F7-7571081DBE60}" id="{72CAB778-1D1B-495D-B56A-2C449DE085AD}">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U107"/>
  <sheetViews>
    <sheetView showGridLines="0" view="pageBreakPreview" topLeftCell="A19" zoomScale="80" zoomScaleNormal="60" zoomScaleSheetLayoutView="80" workbookViewId="0">
      <selection activeCell="F31" sqref="F31"/>
    </sheetView>
  </sheetViews>
  <sheetFormatPr baseColWidth="10" defaultColWidth="11.42578125" defaultRowHeight="31.5" customHeight="1" x14ac:dyDescent="0.2"/>
  <cols>
    <col min="1" max="1" width="16.140625" style="598" customWidth="1"/>
    <col min="2" max="2" width="12.85546875"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&lt;'!N82:V134,2,FALSE)</f>
        <v>#N/A</v>
      </c>
      <c r="C7" s="594" t="s">
        <v>12</v>
      </c>
      <c r="D7" s="595" t="e">
        <f>VLOOKUP($E$6,'DATOS &lt;'!N82:V134,3,FALSE)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&lt;'!N82:V134,4,FALSE)</f>
        <v>#N/A</v>
      </c>
      <c r="C8" s="601" t="s">
        <v>14</v>
      </c>
      <c r="D8" s="602" t="e">
        <f>VLOOKUP($E$6,'DATOS &lt;'!N82:V134,5,FALSE)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&lt;'!N82:V134,6,FALSE)</f>
        <v>#N/A</v>
      </c>
      <c r="C9" s="605" t="s">
        <v>15</v>
      </c>
      <c r="D9" s="606" t="e">
        <f>VLOOKUP($E$6,'DATOS &lt;'!N82:V134,7,FALSE)</f>
        <v>#N/A</v>
      </c>
      <c r="F9" s="1354" t="s">
        <v>16</v>
      </c>
      <c r="G9" s="1355"/>
      <c r="H9" s="600" t="e">
        <f>(VLOOKUP($J$6,'DATOS &lt;'!B47:I79,6,FALSE))/1000</f>
        <v>#N/A</v>
      </c>
      <c r="I9" s="602" t="s">
        <v>17</v>
      </c>
      <c r="K9" s="607"/>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26</v>
      </c>
      <c r="E13" s="611"/>
      <c r="F13" s="1386" t="s">
        <v>27</v>
      </c>
      <c r="G13" s="1387"/>
      <c r="H13" s="1387"/>
      <c r="I13" s="1388"/>
      <c r="J13" s="5"/>
    </row>
    <row r="14" spans="1:16" s="609" customFormat="1" ht="31.5" customHeight="1" x14ac:dyDescent="0.2">
      <c r="A14" s="1354" t="s">
        <v>28</v>
      </c>
      <c r="B14" s="1355"/>
      <c r="C14" s="28" t="e">
        <f>VLOOKUP($E$6,'DATOS &lt;'!N82:AC134,14,FALSE)</f>
        <v>#N/A</v>
      </c>
      <c r="D14" s="602" t="s">
        <v>26</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26</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633" t="s">
        <v>41</v>
      </c>
      <c r="B26" s="634">
        <v>3</v>
      </c>
      <c r="C26" s="1378" t="s">
        <v>42</v>
      </c>
      <c r="D26" s="1379"/>
      <c r="E26" s="1380"/>
      <c r="F26" s="626"/>
      <c r="H26" s="626"/>
      <c r="I26" s="6"/>
    </row>
    <row r="27" spans="1:14" s="627" customFormat="1" ht="31.5" customHeight="1" thickBot="1" x14ac:dyDescent="0.25">
      <c r="A27" s="1356" t="s">
        <v>43</v>
      </c>
      <c r="B27" s="1357"/>
      <c r="C27" s="635">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358" t="e">
        <f>VLOOKUP($I$26,'DATOS &lt;'!$B$131:$G$135,2,FALSE)</f>
        <v>#N/A</v>
      </c>
      <c r="I28" s="1359"/>
      <c r="J28" s="626"/>
    </row>
    <row r="29" spans="1:14" s="627" customFormat="1" ht="31.5" customHeight="1" x14ac:dyDescent="0.2">
      <c r="A29" s="1382"/>
      <c r="B29" s="638" t="s">
        <v>47</v>
      </c>
      <c r="C29" s="396"/>
      <c r="D29" s="107"/>
      <c r="E29" s="108"/>
      <c r="F29" s="626"/>
      <c r="G29" s="626"/>
      <c r="H29" s="626"/>
      <c r="I29" s="626"/>
      <c r="J29" s="626"/>
    </row>
    <row r="30" spans="1:14" s="627" customFormat="1" ht="31.5" customHeight="1" x14ac:dyDescent="0.2">
      <c r="A30" s="1382"/>
      <c r="B30" s="638" t="s">
        <v>47</v>
      </c>
      <c r="C30" s="396"/>
      <c r="D30" s="107"/>
      <c r="E30" s="108"/>
      <c r="F30" s="626"/>
      <c r="G30" s="626"/>
      <c r="H30" s="626"/>
      <c r="I30" s="626"/>
      <c r="J30" s="626"/>
    </row>
    <row r="31" spans="1:14" s="627" customFormat="1" ht="31.5" customHeight="1" thickBot="1" x14ac:dyDescent="0.25">
      <c r="A31" s="1383"/>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4" t="s">
        <v>49</v>
      </c>
      <c r="B36" s="1305"/>
      <c r="C36" s="1305"/>
      <c r="D36" s="1305"/>
      <c r="E36" s="1305"/>
      <c r="F36" s="1305"/>
      <c r="G36" s="1305"/>
      <c r="H36" s="1305"/>
      <c r="I36" s="1305"/>
      <c r="J36" s="1305"/>
      <c r="K36" s="1305"/>
      <c r="L36" s="1305"/>
      <c r="M36" s="1305"/>
      <c r="N36" s="1306"/>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4.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66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668"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c r="K49" s="675"/>
      <c r="L49" s="675"/>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685" t="s">
        <v>17</v>
      </c>
      <c r="D54" s="686" t="e">
        <f>(C10+C11)/1000</f>
        <v>#N/A</v>
      </c>
      <c r="E54" s="685" t="s">
        <v>17</v>
      </c>
      <c r="F54" s="687" t="e">
        <f>(I48-I50)*(1/H10-1/C13)</f>
        <v>#DIV/0!</v>
      </c>
      <c r="G54" s="688"/>
      <c r="H54" s="68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9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351" t="s">
        <v>77</v>
      </c>
      <c r="J60" s="1352"/>
      <c r="K60" s="1352"/>
      <c r="L60" s="1352"/>
      <c r="M60" s="1352"/>
      <c r="N60" s="1353"/>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c r="O63" s="467"/>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O64" s="467"/>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c r="O65" s="467"/>
      <c r="Q65" s="626"/>
      <c r="R65" s="626"/>
      <c r="S65" s="626"/>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O66" s="467"/>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c r="R67" s="626"/>
      <c r="S67" s="626"/>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c r="R68" s="626"/>
      <c r="S68" s="626"/>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869"/>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339" t="s">
        <v>103</v>
      </c>
      <c r="J74" s="1339"/>
      <c r="K74" s="1340"/>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1"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C33:D33"/>
    <mergeCell ref="F33:G33"/>
    <mergeCell ref="A47:B48"/>
    <mergeCell ref="C47:E47"/>
    <mergeCell ref="G48:H48"/>
    <mergeCell ref="B38:E38"/>
    <mergeCell ref="A46:N46"/>
    <mergeCell ref="A1:B1"/>
    <mergeCell ref="C1:M1"/>
    <mergeCell ref="I3:J4"/>
    <mergeCell ref="A6:D6"/>
    <mergeCell ref="F6:I6"/>
    <mergeCell ref="A22:N22"/>
    <mergeCell ref="F9:G9"/>
    <mergeCell ref="A10:B10"/>
    <mergeCell ref="F10:G10"/>
    <mergeCell ref="A11:B11"/>
    <mergeCell ref="F11:G11"/>
    <mergeCell ref="A18:N18"/>
    <mergeCell ref="A13:B13"/>
    <mergeCell ref="F13:I13"/>
    <mergeCell ref="J19:J20"/>
    <mergeCell ref="A56:N56"/>
    <mergeCell ref="A12:B12"/>
    <mergeCell ref="A27:B27"/>
    <mergeCell ref="H28:I28"/>
    <mergeCell ref="A14:B14"/>
    <mergeCell ref="A15:B15"/>
    <mergeCell ref="A16:B16"/>
    <mergeCell ref="C16:D16"/>
    <mergeCell ref="F19:G19"/>
    <mergeCell ref="A20:B20"/>
    <mergeCell ref="E20:F20"/>
    <mergeCell ref="C24:D24"/>
    <mergeCell ref="F24:G24"/>
    <mergeCell ref="H27:I27"/>
    <mergeCell ref="C26:E26"/>
    <mergeCell ref="A28:A31"/>
    <mergeCell ref="D70:E70"/>
    <mergeCell ref="D71:E71"/>
    <mergeCell ref="B72:K72"/>
    <mergeCell ref="A58:B58"/>
    <mergeCell ref="C58:D58"/>
    <mergeCell ref="E58:F58"/>
    <mergeCell ref="I60:N60"/>
    <mergeCell ref="B73:E73"/>
    <mergeCell ref="H73:K73"/>
    <mergeCell ref="F74:G74"/>
    <mergeCell ref="H74:H76"/>
    <mergeCell ref="I74:K74"/>
    <mergeCell ref="J75:K75"/>
    <mergeCell ref="J76:K76"/>
    <mergeCell ref="A50:B50"/>
    <mergeCell ref="G50:H50"/>
    <mergeCell ref="D53:E53"/>
    <mergeCell ref="H53:I53"/>
    <mergeCell ref="A36:N36"/>
    <mergeCell ref="A52:N52"/>
    <mergeCell ref="G49:H49"/>
    <mergeCell ref="A49:B49"/>
    <mergeCell ref="H38:M38"/>
    <mergeCell ref="H39:M39"/>
    <mergeCell ref="H40:M42"/>
  </mergeCells>
  <conditionalFormatting sqref="G59 G62 G66:G68">
    <cfRule type="cellIs" dxfId="14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'DATOS &lt;'!$B$7:$B$19</xm:f>
          </x14:formula1>
          <xm:sqref>I3:J4</xm:sqref>
        </x14:dataValidation>
        <x14:dataValidation type="list" allowBlank="1" showInputMessage="1" showErrorMessage="1" xr:uid="{00000000-0002-0000-0000-000001000000}">
          <x14:formula1>
            <xm:f>'DATOS &lt;'!$N$82:$N$134</xm:f>
          </x14:formula1>
          <xm:sqref>E6</xm:sqref>
        </x14:dataValidation>
        <x14:dataValidation type="list" allowBlank="1" showInputMessage="1" showErrorMessage="1" xr:uid="{00000000-0002-0000-0000-000002000000}">
          <x14:formula1>
            <xm:f>'DATOS &lt;'!$B$118:$B$124</xm:f>
          </x14:formula1>
          <xm:sqref>J13</xm:sqref>
        </x14:dataValidation>
        <x14:dataValidation type="list" allowBlank="1" showInputMessage="1" showErrorMessage="1" xr:uid="{00000000-0002-0000-0000-000003000000}">
          <x14:formula1>
            <xm:f>'DATOS &lt;'!$B$131:$B$135</xm:f>
          </x14:formula1>
          <xm:sqref>I26</xm:sqref>
        </x14:dataValidation>
        <x14:dataValidation type="list" allowBlank="1" showInputMessage="1" showErrorMessage="1" xr:uid="{00000000-0002-0000-0000-000004000000}">
          <x14:formula1>
            <xm:f>'DATOS &lt;'!$I$202:$I$205</xm:f>
          </x14:formula1>
          <xm:sqref>J19:J20</xm:sqref>
        </x14:dataValidation>
        <x14:dataValidation type="list" allowBlank="1" showInputMessage="1" showErrorMessage="1" xr:uid="{00000000-0002-0000-0000-000005000000}">
          <x14:formula1>
            <xm:f>'DATOS &lt;'!$I$129:$I$130</xm:f>
          </x14:formula1>
          <xm:sqref>N39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8"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31.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358" t="e">
        <f>VLOOKUP($I$26,'DATOS &lt;'!$B$131:$G$135,2,FALSE)</f>
        <v>#N/A</v>
      </c>
      <c r="I28" s="1359"/>
      <c r="J28" s="626"/>
    </row>
    <row r="29" spans="1:14" s="627" customFormat="1" ht="31.5" customHeight="1" x14ac:dyDescent="0.2">
      <c r="A29" s="1382"/>
      <c r="B29" s="638" t="s">
        <v>47</v>
      </c>
      <c r="C29" s="396"/>
      <c r="D29" s="107"/>
      <c r="E29" s="108"/>
      <c r="F29" s="626"/>
      <c r="G29" s="626"/>
      <c r="H29" s="626"/>
      <c r="I29" s="626"/>
      <c r="J29" s="626"/>
    </row>
    <row r="30" spans="1:14" s="627" customFormat="1" ht="31.5" customHeight="1" x14ac:dyDescent="0.2">
      <c r="A30" s="1382"/>
      <c r="B30" s="638" t="s">
        <v>47</v>
      </c>
      <c r="C30" s="396"/>
      <c r="D30" s="107"/>
      <c r="E30" s="108"/>
      <c r="F30" s="626"/>
      <c r="G30" s="626"/>
      <c r="H30" s="626"/>
      <c r="I30" s="626"/>
      <c r="J30" s="626"/>
    </row>
    <row r="31" spans="1:14" s="627" customFormat="1" ht="31.5" customHeight="1" thickBot="1" x14ac:dyDescent="0.25">
      <c r="A31" s="1383"/>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s>
  <conditionalFormatting sqref="G59 G62 G66:G68">
    <cfRule type="cellIs" dxfId="13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'DATOS &lt;'!$B$7:$B$19</xm:f>
          </x14:formula1>
          <xm:sqref>I3:J4</xm:sqref>
        </x14:dataValidation>
        <x14:dataValidation type="list" allowBlank="1" showInputMessage="1" showErrorMessage="1" xr:uid="{00000000-0002-0000-0900-000001000000}">
          <x14:formula1>
            <xm:f>'DATOS &lt;'!$N$142:$N$164</xm:f>
          </x14:formula1>
          <xm:sqref>F48</xm:sqref>
        </x14:dataValidation>
        <x14:dataValidation type="list" allowBlank="1" showInputMessage="1" showErrorMessage="1" xr:uid="{00000000-0002-0000-0900-000002000000}">
          <x14:formula1>
            <xm:f>'DATOS &lt;'!$B$118:$B$124</xm:f>
          </x14:formula1>
          <xm:sqref>J13</xm:sqref>
        </x14:dataValidation>
        <x14:dataValidation type="list" allowBlank="1" showInputMessage="1" showErrorMessage="1" xr:uid="{00000000-0002-0000-0900-000003000000}">
          <x14:formula1>
            <xm:f>'DATOS &lt;'!$B$131:$B$135</xm:f>
          </x14:formula1>
          <xm:sqref>I26</xm:sqref>
        </x14:dataValidation>
        <x14:dataValidation type="list" allowBlank="1" showInputMessage="1" showErrorMessage="1" xr:uid="{00000000-0002-0000-0900-000004000000}">
          <x14:formula1>
            <xm:f>'DATOS &lt;'!$N$82:$N$134</xm:f>
          </x14:formula1>
          <xm:sqref>E6</xm:sqref>
        </x14:dataValidation>
        <x14:dataValidation type="list" allowBlank="1" showInputMessage="1" showErrorMessage="1" xr:uid="{00000000-0002-0000-0900-000005000000}">
          <x14:formula1>
            <xm:f>'DATOS &lt;'!$I$202:$I$205</xm:f>
          </x14:formula1>
          <xm:sqref>J19:J20</xm:sqref>
        </x14:dataValidation>
        <x14:dataValidation type="list" allowBlank="1" showInputMessage="1" showErrorMessage="1" xr:uid="{00000000-0002-0000-0900-000006000000}">
          <x14:formula1>
            <xm:f>'DATOS &lt;'!$I$129:$I$130</xm:f>
          </x14:formula1>
          <xm:sqref>N39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FFFF00"/>
  </sheetPr>
  <dimension ref="A1:U107"/>
  <sheetViews>
    <sheetView showGridLines="0" view="pageBreakPreview" topLeftCell="A19"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8"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358" t="e">
        <f>VLOOKUP($I$26,'DATOS &lt;'!$B$131:$G$135,2,FALSE)</f>
        <v>#N/A</v>
      </c>
      <c r="I28" s="1359"/>
      <c r="J28" s="626"/>
    </row>
    <row r="29" spans="1:14" s="627" customFormat="1" ht="31.5" customHeight="1" x14ac:dyDescent="0.2">
      <c r="A29" s="1382"/>
      <c r="B29" s="638" t="s">
        <v>47</v>
      </c>
      <c r="C29" s="396"/>
      <c r="D29" s="107"/>
      <c r="E29" s="108"/>
      <c r="F29" s="626"/>
      <c r="I29" s="626"/>
      <c r="J29" s="626"/>
    </row>
    <row r="30" spans="1:14" s="627" customFormat="1" ht="31.5" customHeight="1" x14ac:dyDescent="0.2">
      <c r="A30" s="1382"/>
      <c r="B30" s="638" t="s">
        <v>47</v>
      </c>
      <c r="C30" s="396"/>
      <c r="D30" s="107"/>
      <c r="E30" s="108"/>
      <c r="F30" s="626"/>
      <c r="I30" s="626"/>
      <c r="J30" s="626"/>
    </row>
    <row r="31" spans="1:14" s="627" customFormat="1" ht="31.5" customHeight="1" thickBot="1" x14ac:dyDescent="0.25">
      <c r="A31" s="1383"/>
      <c r="B31" s="639" t="s">
        <v>46</v>
      </c>
      <c r="C31" s="397"/>
      <c r="D31" s="120"/>
      <c r="E31" s="121"/>
      <c r="F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79"/>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75"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s>
  <conditionalFormatting sqref="G59 G62 G66:G68">
    <cfRule type="cellIs" dxfId="13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'DATOS &lt;'!$B$7:$B$19</xm:f>
          </x14:formula1>
          <xm:sqref>I3:J4</xm:sqref>
        </x14:dataValidation>
        <x14:dataValidation type="list" allowBlank="1" showInputMessage="1" showErrorMessage="1" xr:uid="{00000000-0002-0000-0A00-000001000000}">
          <x14:formula1>
            <xm:f>'DATOS &lt;'!$N$142:$N$164</xm:f>
          </x14:formula1>
          <xm:sqref>F48</xm:sqref>
        </x14:dataValidation>
        <x14:dataValidation type="list" allowBlank="1" showInputMessage="1" showErrorMessage="1" xr:uid="{00000000-0002-0000-0A00-000002000000}">
          <x14:formula1>
            <xm:f>'DATOS &lt;'!$B$118:$B$124</xm:f>
          </x14:formula1>
          <xm:sqref>J13</xm:sqref>
        </x14:dataValidation>
        <x14:dataValidation type="list" allowBlank="1" showInputMessage="1" showErrorMessage="1" xr:uid="{00000000-0002-0000-0A00-000003000000}">
          <x14:formula1>
            <xm:f>'DATOS &lt;'!$B$131:$B$135</xm:f>
          </x14:formula1>
          <xm:sqref>I26</xm:sqref>
        </x14:dataValidation>
        <x14:dataValidation type="list" allowBlank="1" showInputMessage="1" showErrorMessage="1" xr:uid="{00000000-0002-0000-0A00-000004000000}">
          <x14:formula1>
            <xm:f>'DATOS &lt;'!$N$82:$N$134</xm:f>
          </x14:formula1>
          <xm:sqref>E6</xm:sqref>
        </x14:dataValidation>
        <x14:dataValidation type="list" allowBlank="1" showInputMessage="1" showErrorMessage="1" xr:uid="{00000000-0002-0000-0A00-000005000000}">
          <x14:formula1>
            <xm:f>'DATOS &lt;'!$I$202:$I$205</xm:f>
          </x14:formula1>
          <xm:sqref>J19:J20</xm:sqref>
        </x14:dataValidation>
        <x14:dataValidation type="list" allowBlank="1" showInputMessage="1" showErrorMessage="1" xr:uid="{00000000-0002-0000-0A00-000006000000}">
          <x14:formula1>
            <xm:f>'DATOS &lt;'!$I$129:$I$130</xm:f>
          </x14:formula1>
          <xm:sqref>N39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8"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426" t="s">
        <v>32</v>
      </c>
      <c r="B18" s="1427"/>
      <c r="C18" s="1427"/>
      <c r="D18" s="1427"/>
      <c r="E18" s="1427"/>
      <c r="F18" s="1427"/>
      <c r="G18" s="1427"/>
      <c r="H18" s="1427"/>
      <c r="I18" s="1427"/>
      <c r="J18" s="1428"/>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42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t="s">
        <v>104</v>
      </c>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36.7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118"/>
      <c r="D28" s="118"/>
      <c r="E28" s="119"/>
      <c r="F28" s="626"/>
      <c r="G28" s="626"/>
      <c r="H28" s="1358" t="e">
        <f>VLOOKUP($I$26,'DATOS &lt;'!$B$131:$G$135,2,FALSE)</f>
        <v>#N/A</v>
      </c>
      <c r="I28" s="1359"/>
    </row>
    <row r="29" spans="1:14" s="627" customFormat="1" ht="31.5" customHeight="1" x14ac:dyDescent="0.2">
      <c r="A29" s="1382"/>
      <c r="B29" s="638" t="s">
        <v>47</v>
      </c>
      <c r="C29" s="107"/>
      <c r="D29" s="107"/>
      <c r="E29" s="108"/>
      <c r="F29" s="626"/>
      <c r="G29" s="626"/>
      <c r="H29" s="626"/>
      <c r="I29" s="626"/>
    </row>
    <row r="30" spans="1:14" s="627" customFormat="1" ht="31.5" customHeight="1" x14ac:dyDescent="0.2">
      <c r="A30" s="1382"/>
      <c r="B30" s="638" t="s">
        <v>47</v>
      </c>
      <c r="C30" s="107"/>
      <c r="D30" s="107"/>
      <c r="E30" s="108"/>
      <c r="F30" s="626"/>
      <c r="G30" s="626"/>
      <c r="H30" s="626"/>
      <c r="I30" s="626"/>
    </row>
    <row r="31" spans="1:14" s="627" customFormat="1" ht="31.5" customHeight="1" thickBot="1" x14ac:dyDescent="0.25">
      <c r="A31" s="1383"/>
      <c r="B31" s="639" t="s">
        <v>46</v>
      </c>
      <c r="C31" s="120"/>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765" t="e">
        <f>+AVERAGE(C28,C31)</f>
        <v>#DIV/0!</v>
      </c>
      <c r="D40" s="766" t="e">
        <f>+AVERAGE(D28,D31)</f>
        <v>#DIV/0!</v>
      </c>
      <c r="E40" s="767" t="e">
        <f>+AVERAGE(E28,E31)</f>
        <v>#DIV/0!</v>
      </c>
      <c r="F40" s="626"/>
      <c r="G40" s="626"/>
      <c r="H40" s="1320" t="s">
        <v>532</v>
      </c>
      <c r="I40" s="1321"/>
      <c r="J40" s="1321"/>
      <c r="K40" s="1321"/>
      <c r="L40" s="1321"/>
      <c r="M40" s="1322"/>
    </row>
    <row r="41" spans="1:14" s="627" customFormat="1" ht="31.5" customHeight="1" x14ac:dyDescent="0.2">
      <c r="A41" s="647"/>
      <c r="B41" s="652"/>
      <c r="C41" s="768" t="e">
        <f>+AVERAGE(C29:C30)</f>
        <v>#DIV/0!</v>
      </c>
      <c r="D41" s="740" t="e">
        <f>+AVERAGE(D29:D30)</f>
        <v>#DIV/0!</v>
      </c>
      <c r="E41" s="769" t="e">
        <f>+AVERAGE(E29:E30)</f>
        <v>#DIV/0!</v>
      </c>
      <c r="F41" s="626"/>
      <c r="G41" s="626"/>
      <c r="H41" s="1323"/>
      <c r="I41" s="1324"/>
      <c r="J41" s="1324"/>
      <c r="K41" s="1324"/>
      <c r="L41" s="1324"/>
      <c r="M41" s="1325"/>
    </row>
    <row r="42" spans="1:14" s="627" customFormat="1" ht="31.5" customHeight="1" thickBot="1" x14ac:dyDescent="0.25">
      <c r="A42" s="647"/>
      <c r="B42" s="656"/>
      <c r="C42" s="770" t="e">
        <f>+C41-C40</f>
        <v>#DIV/0!</v>
      </c>
      <c r="D42" s="771" t="e">
        <f>+D41-D40</f>
        <v>#DIV/0!</v>
      </c>
      <c r="E42" s="772" t="e">
        <f>+E41-E40</f>
        <v>#DIV/0!</v>
      </c>
      <c r="F42" s="626"/>
      <c r="G42" s="626"/>
      <c r="H42" s="1326"/>
      <c r="I42" s="1327"/>
      <c r="J42" s="1327"/>
      <c r="K42" s="1327"/>
      <c r="L42" s="1327"/>
      <c r="M42" s="1328"/>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75"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C24:D24"/>
    <mergeCell ref="F24:G24"/>
    <mergeCell ref="H27:I27"/>
    <mergeCell ref="A22:N22"/>
    <mergeCell ref="C26:E26"/>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H39:M39"/>
    <mergeCell ref="H40:M42"/>
    <mergeCell ref="A46:N46"/>
    <mergeCell ref="A36:N36"/>
    <mergeCell ref="A49:B49"/>
    <mergeCell ref="G49:H49"/>
    <mergeCell ref="A47:B48"/>
    <mergeCell ref="C47:E47"/>
    <mergeCell ref="G48:H48"/>
    <mergeCell ref="A28:A31"/>
    <mergeCell ref="C33:D33"/>
    <mergeCell ref="F33:G33"/>
    <mergeCell ref="B38:E38"/>
    <mergeCell ref="H38:M38"/>
  </mergeCells>
  <conditionalFormatting sqref="G59 G62 G66:G68">
    <cfRule type="cellIs" dxfId="13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'DATOS &lt;'!$B$7:$B$19</xm:f>
          </x14:formula1>
          <xm:sqref>I3:J4</xm:sqref>
        </x14:dataValidation>
        <x14:dataValidation type="list" allowBlank="1" showInputMessage="1" showErrorMessage="1" xr:uid="{00000000-0002-0000-0B00-000001000000}">
          <x14:formula1>
            <xm:f>'DATOS &lt;'!$B$118:$B$124</xm:f>
          </x14:formula1>
          <xm:sqref>J13</xm:sqref>
        </x14:dataValidation>
        <x14:dataValidation type="list" allowBlank="1" showInputMessage="1" showErrorMessage="1" xr:uid="{00000000-0002-0000-0B00-000002000000}">
          <x14:formula1>
            <xm:f>'DATOS &lt;'!$B$131:$B$135</xm:f>
          </x14:formula1>
          <xm:sqref>I26</xm:sqref>
        </x14:dataValidation>
        <x14:dataValidation type="list" allowBlank="1" showInputMessage="1" showErrorMessage="1" xr:uid="{00000000-0002-0000-0B00-000003000000}">
          <x14:formula1>
            <xm:f>'DATOS &lt;'!$N$82:$N$134</xm:f>
          </x14:formula1>
          <xm:sqref>E6</xm:sqref>
        </x14:dataValidation>
        <x14:dataValidation type="list" allowBlank="1" showInputMessage="1" showErrorMessage="1" xr:uid="{00000000-0002-0000-0B00-000004000000}">
          <x14:formula1>
            <xm:f>'DATOS &lt;'!$I$202:$I$205</xm:f>
          </x14:formula1>
          <xm:sqref>J19</xm:sqref>
        </x14:dataValidation>
        <x14:dataValidation type="list" allowBlank="1" showInputMessage="1" showErrorMessage="1" xr:uid="{00000000-0002-0000-0B00-000005000000}">
          <x14:formula1>
            <xm:f>'DATOS &lt;'!$I$129:$I$130</xm:f>
          </x14:formula1>
          <xm:sqref>N39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tabColor rgb="FFFFFF00"/>
  </sheetPr>
  <dimension ref="A1:U106"/>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28515625" style="26" customWidth="1"/>
    <col min="2" max="2" width="19" style="26" customWidth="1"/>
    <col min="3" max="3" width="15.7109375" style="26" customWidth="1"/>
    <col min="4" max="4" width="17" style="26" customWidth="1"/>
    <col min="5" max="5" width="15.5703125" style="26" customWidth="1"/>
    <col min="6" max="6" width="18.5703125" style="26" customWidth="1"/>
    <col min="7" max="7" width="15.7109375" style="26" customWidth="1"/>
    <col min="8" max="8" width="16.5703125" style="26" customWidth="1"/>
    <col min="9" max="9" width="17.28515625" style="26" customWidth="1"/>
    <col min="10" max="10" width="13.7109375" style="26" customWidth="1"/>
    <col min="11" max="11" width="12.85546875" style="8" customWidth="1"/>
    <col min="12" max="12" width="13.85546875" style="8" bestFit="1" customWidth="1"/>
    <col min="13" max="18" width="11.42578125" style="8"/>
    <col min="19" max="19" width="13" style="8" bestFit="1" customWidth="1"/>
    <col min="20" max="20" width="15.85546875" style="8" bestFit="1" customWidth="1"/>
    <col min="21" max="21" width="14.42578125" style="8" bestFit="1" customWidth="1"/>
    <col min="22" max="16384" width="11.42578125" style="8"/>
  </cols>
  <sheetData>
    <row r="1" spans="1:16" ht="60" customHeight="1" thickBot="1" x14ac:dyDescent="0.25">
      <c r="A1" s="1516"/>
      <c r="B1" s="1517"/>
      <c r="C1" s="1518" t="s">
        <v>0</v>
      </c>
      <c r="D1" s="1519"/>
      <c r="E1" s="1519"/>
      <c r="F1" s="1519"/>
      <c r="G1" s="1519"/>
      <c r="H1" s="1519"/>
      <c r="I1" s="1519"/>
      <c r="J1" s="1519"/>
      <c r="K1" s="1519"/>
      <c r="L1" s="1519"/>
      <c r="M1" s="1520"/>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v>
      </c>
      <c r="B3" s="14" t="s">
        <v>2</v>
      </c>
      <c r="C3" s="15" t="s">
        <v>3</v>
      </c>
      <c r="D3" s="15" t="s">
        <v>4</v>
      </c>
      <c r="E3" s="15" t="s">
        <v>5</v>
      </c>
      <c r="F3" s="16" t="s">
        <v>6</v>
      </c>
      <c r="G3" s="16" t="s">
        <v>7</v>
      </c>
      <c r="H3" s="17" t="s">
        <v>8</v>
      </c>
      <c r="I3" s="1396"/>
      <c r="J3" s="1397"/>
      <c r="K3" s="11"/>
      <c r="M3" s="7"/>
    </row>
    <row r="4" spans="1:16" s="11" customFormat="1" ht="32.25" customHeight="1" thickBot="1" x14ac:dyDescent="0.25">
      <c r="A4" s="18" t="e">
        <f>VLOOKUP($I$3,'DATOS &lt;'!B7:J29,2,FALSE)</f>
        <v>#N/A</v>
      </c>
      <c r="B4" s="152" t="e">
        <f>VLOOKUP($I$3,'DATOS &lt;'!$B$7:$J$29,3,FALSE)</f>
        <v>#N/A</v>
      </c>
      <c r="C4" s="19" t="e">
        <f>VLOOKUP($I$3,'DATOS &lt;'!$B$7:$J$29,8,FALSE)</f>
        <v>#N/A</v>
      </c>
      <c r="D4" s="19" t="e">
        <f>VLOOKUP($I$3,'DATOS &lt;'!$B$7:$J$29,6,FALSE)</f>
        <v>#N/A</v>
      </c>
      <c r="E4" s="152" t="e">
        <f>VLOOKUP($I$3,'DATOS &lt;'!$B$7:$J$29,7,FALSE)</f>
        <v>#N/A</v>
      </c>
      <c r="F4" s="18" t="e">
        <f>VLOOKUP($I$3,'DATOS &lt;'!$B$7:$J$29,4,FALSE)</f>
        <v>#N/A</v>
      </c>
      <c r="G4" s="18" t="e">
        <f>VLOOKUP($I$3,'DATOS &lt;'!$B$7:$J$29,5,FALSE)</f>
        <v>#N/A</v>
      </c>
      <c r="H4" s="19" t="e">
        <f>VLOOKUP($I$3,'DATOS &lt;'!$B$7:$J$29,9,FALSE)</f>
        <v>#N/A</v>
      </c>
      <c r="I4" s="1398"/>
      <c r="J4" s="1399"/>
      <c r="K4" s="8"/>
    </row>
    <row r="5" spans="1:16" ht="6.75" customHeight="1" thickBot="1" x14ac:dyDescent="0.25">
      <c r="A5" s="10"/>
      <c r="B5" s="10"/>
      <c r="C5" s="10"/>
      <c r="D5" s="8"/>
      <c r="E5" s="8"/>
      <c r="F5" s="10"/>
      <c r="G5" s="10"/>
      <c r="H5" s="10"/>
      <c r="I5" s="8"/>
      <c r="J5" s="8"/>
    </row>
    <row r="6" spans="1:16" ht="31.5" customHeight="1" thickBot="1" x14ac:dyDescent="0.25">
      <c r="A6" s="1521" t="s">
        <v>9</v>
      </c>
      <c r="B6" s="1522"/>
      <c r="C6" s="1522"/>
      <c r="D6" s="1523"/>
      <c r="E6" s="4"/>
      <c r="F6" s="1521" t="s">
        <v>10</v>
      </c>
      <c r="G6" s="1522"/>
      <c r="H6" s="1522"/>
      <c r="I6" s="1523"/>
      <c r="J6" s="275">
        <f>I3</f>
        <v>0</v>
      </c>
    </row>
    <row r="7" spans="1:16" ht="31.5" customHeight="1" x14ac:dyDescent="0.2">
      <c r="A7" s="20" t="s">
        <v>11</v>
      </c>
      <c r="B7" s="21" t="e">
        <f>VLOOKUP($E$6,'DATOS &lt;'!N82:V134,2,FALSE)</f>
        <v>#N/A</v>
      </c>
      <c r="C7" s="22" t="s">
        <v>12</v>
      </c>
      <c r="D7" s="23" t="e">
        <f>VLOOKUP($E$6,'DATOS &lt;'!N82:V134,3,FALSE)</f>
        <v>#N/A</v>
      </c>
      <c r="E7" s="24"/>
      <c r="F7" s="20" t="s">
        <v>11</v>
      </c>
      <c r="G7" s="21" t="e">
        <f>VLOOKUP($J$6,'DATOS &lt;'!B47:I79,2,FALSE)</f>
        <v>#N/A</v>
      </c>
      <c r="H7" s="25" t="s">
        <v>12</v>
      </c>
      <c r="I7" s="23">
        <v>8</v>
      </c>
    </row>
    <row r="8" spans="1:16" ht="31.5" customHeight="1" x14ac:dyDescent="0.2">
      <c r="A8" s="27" t="s">
        <v>13</v>
      </c>
      <c r="B8" s="28" t="e">
        <f>VLOOKUP($E$6,'DATOS &lt;'!N27:V134,4,FALSE)</f>
        <v>#N/A</v>
      </c>
      <c r="C8" s="29" t="s">
        <v>14</v>
      </c>
      <c r="D8" s="30" t="e">
        <f>VLOOKUP($E$6,'DATOS &lt;'!N82:V134,5,FALSE)</f>
        <v>#N/A</v>
      </c>
      <c r="E8" s="24"/>
      <c r="F8" s="27" t="s">
        <v>13</v>
      </c>
      <c r="G8" s="28" t="e">
        <f>VLOOKUP($J$6,'DATOS &lt;'!B47:I79,4,FALSE)</f>
        <v>#N/A</v>
      </c>
      <c r="H8" s="29" t="s">
        <v>14</v>
      </c>
      <c r="I8" s="185" t="e">
        <f>VLOOKUP($J$6,'DATOS &lt;'!B47:I79,5,FALSE)</f>
        <v>#N/A</v>
      </c>
    </row>
    <row r="9" spans="1:16" ht="31.5" customHeight="1" x14ac:dyDescent="0.2">
      <c r="A9" s="31" t="s">
        <v>8</v>
      </c>
      <c r="B9" s="28" t="e">
        <f>VLOOKUP($E$6,'DATOS &lt;'!N27:V134,6,FALSE)</f>
        <v>#N/A</v>
      </c>
      <c r="C9" s="32" t="s">
        <v>15</v>
      </c>
      <c r="D9" s="33" t="e">
        <f>VLOOKUP($E$6,'DATOS &lt;'!N82:V134,7,FALSE)</f>
        <v>#N/A</v>
      </c>
      <c r="F9" s="1494" t="s">
        <v>16</v>
      </c>
      <c r="G9" s="1495"/>
      <c r="H9" s="28" t="e">
        <f>(VLOOKUP($J$6,'DATOS &lt;'!B47:I79,6,FALSE))/1000</f>
        <v>#N/A</v>
      </c>
      <c r="I9" s="30" t="s">
        <v>17</v>
      </c>
      <c r="K9" s="151"/>
    </row>
    <row r="10" spans="1:16" s="34" customFormat="1" ht="31.5" customHeight="1" x14ac:dyDescent="0.25">
      <c r="A10" s="1524" t="s">
        <v>105</v>
      </c>
      <c r="B10" s="1525"/>
      <c r="C10" s="28" t="e">
        <f>(VLOOKUP($E$6,'DATOS &lt;'!N82:AC134,8,FALSE))/1000</f>
        <v>#N/A</v>
      </c>
      <c r="D10" s="840" t="s">
        <v>17</v>
      </c>
      <c r="F10" s="1494" t="s">
        <v>19</v>
      </c>
      <c r="G10" s="1495"/>
      <c r="H10" s="153" t="e">
        <f>VLOOKUP($J$6,'DATOS &lt;'!B47:I79,7,FALSE)</f>
        <v>#N/A</v>
      </c>
      <c r="I10" s="30" t="s">
        <v>26</v>
      </c>
      <c r="J10" s="35"/>
    </row>
    <row r="11" spans="1:16" s="34" customFormat="1" ht="31.5" customHeight="1" thickBot="1" x14ac:dyDescent="0.3">
      <c r="A11" s="1494" t="s">
        <v>21</v>
      </c>
      <c r="B11" s="1495"/>
      <c r="C11" s="28" t="e">
        <f>VLOOKUP($E$6,'DATOS &lt;'!N82:AC134,10,FALSE)</f>
        <v>#N/A</v>
      </c>
      <c r="D11" s="30" t="s">
        <v>22</v>
      </c>
      <c r="E11" s="36"/>
      <c r="F11" s="1526" t="s">
        <v>23</v>
      </c>
      <c r="G11" s="1527"/>
      <c r="H11" s="37" t="e">
        <f>VLOOKUP($J$6,'DATOS &lt;'!B47:I79,8,FALSE)</f>
        <v>#N/A</v>
      </c>
      <c r="I11" s="40" t="s">
        <v>26</v>
      </c>
      <c r="J11" s="35"/>
    </row>
    <row r="12" spans="1:16" s="34" customFormat="1" ht="31.5" customHeight="1" thickBot="1" x14ac:dyDescent="0.3">
      <c r="A12" s="1494" t="s">
        <v>24</v>
      </c>
      <c r="B12" s="1495"/>
      <c r="C12" s="28" t="e">
        <f>VLOOKUP($E$6,'DATOS &lt;'!N82:AC134,12,FALSE)</f>
        <v>#N/A</v>
      </c>
      <c r="D12" s="30" t="s">
        <v>22</v>
      </c>
      <c r="E12" s="35"/>
      <c r="F12" s="35"/>
      <c r="G12" s="35"/>
      <c r="H12" s="35"/>
    </row>
    <row r="13" spans="1:16" s="34" customFormat="1" ht="31.5" customHeight="1" thickBot="1" x14ac:dyDescent="0.3">
      <c r="A13" s="1494" t="s">
        <v>25</v>
      </c>
      <c r="B13" s="1495"/>
      <c r="C13" s="153" t="e">
        <f>VLOOKUP($E$6,'DATOS &lt;'!N82:AC134,13,FALSE)</f>
        <v>#N/A</v>
      </c>
      <c r="D13" s="30" t="s">
        <v>26</v>
      </c>
      <c r="E13" s="35"/>
      <c r="F13" s="1513" t="s">
        <v>27</v>
      </c>
      <c r="G13" s="1514"/>
      <c r="H13" s="1514"/>
      <c r="I13" s="1515"/>
      <c r="J13" s="5"/>
    </row>
    <row r="14" spans="1:16" s="34" customFormat="1" ht="31.5" customHeight="1" x14ac:dyDescent="0.2">
      <c r="A14" s="1494" t="s">
        <v>28</v>
      </c>
      <c r="B14" s="1495"/>
      <c r="C14" s="28" t="e">
        <f>VLOOKUP($E$6,'DATOS &lt;'!N82:AC134,14,FALSE)</f>
        <v>#N/A</v>
      </c>
      <c r="D14" s="30" t="s">
        <v>26</v>
      </c>
      <c r="E14" s="35"/>
      <c r="F14" s="20" t="s">
        <v>12</v>
      </c>
      <c r="G14" s="21" t="e">
        <f>VLOOKUP($J$13,'DATOS &lt;'!$B$117:$E$124,2,FALSE)</f>
        <v>#N/A</v>
      </c>
      <c r="H14" s="25" t="s">
        <v>13</v>
      </c>
      <c r="I14" s="21" t="e">
        <f>VLOOKUP($J$13,'DATOS &lt;'!$B$117:$F$124,3,FALSE)</f>
        <v>#N/A</v>
      </c>
      <c r="J14" s="38"/>
      <c r="K14" s="8"/>
    </row>
    <row r="15" spans="1:16" ht="31.5" customHeight="1" thickBot="1" x14ac:dyDescent="0.25">
      <c r="A15" s="1496" t="s">
        <v>29</v>
      </c>
      <c r="B15" s="1497"/>
      <c r="C15" s="844" t="e">
        <f>VLOOKUP($E$6,'DATOS &lt;'!N82:AC134,15,FALSE)</f>
        <v>#N/A</v>
      </c>
      <c r="D15" s="30" t="s">
        <v>26</v>
      </c>
      <c r="F15" s="39" t="s">
        <v>30</v>
      </c>
      <c r="G15" s="37" t="e">
        <f>VLOOKUP($J$13,'DATOS &lt;'!$B$117:$E$124,4,FALSE)</f>
        <v>#N/A</v>
      </c>
      <c r="H15" s="37" t="s">
        <v>17</v>
      </c>
      <c r="I15" s="166" t="s">
        <v>31</v>
      </c>
      <c r="J15" s="40" t="e">
        <f>VLOOKUP($J$13,'DATOS &lt;'!$B$117:$F$124,5,FALSE)</f>
        <v>#N/A</v>
      </c>
    </row>
    <row r="16" spans="1:16" ht="30.95" customHeight="1" thickBot="1" x14ac:dyDescent="0.25">
      <c r="A16" s="1498" t="s">
        <v>31</v>
      </c>
      <c r="B16" s="1499"/>
      <c r="C16" s="1364" t="e">
        <f>VLOOKUP($E$6,'DATOS &lt;'!N82:AC134,16,FALSE)</f>
        <v>#N/A</v>
      </c>
      <c r="D16" s="1365"/>
      <c r="F16" s="8"/>
      <c r="G16" s="8"/>
      <c r="H16" s="8"/>
      <c r="I16" s="8"/>
      <c r="J16" s="8"/>
    </row>
    <row r="17" spans="1:11" ht="30.95" customHeight="1" thickBot="1" x14ac:dyDescent="0.25"/>
    <row r="18" spans="1:11" ht="31.5" customHeight="1" thickBot="1" x14ac:dyDescent="0.25">
      <c r="A18" s="1500" t="s">
        <v>32</v>
      </c>
      <c r="B18" s="1476"/>
      <c r="C18" s="1476"/>
      <c r="D18" s="1476"/>
      <c r="E18" s="1476"/>
      <c r="F18" s="1476"/>
      <c r="G18" s="1476"/>
      <c r="H18" s="1476"/>
      <c r="I18" s="1476"/>
      <c r="J18" s="1501"/>
    </row>
    <row r="19" spans="1:11" ht="46.5" customHeight="1" thickBot="1" x14ac:dyDescent="0.25">
      <c r="A19" s="84" t="s">
        <v>12</v>
      </c>
      <c r="B19" s="85" t="e">
        <f>VLOOKUP($J$19,'DATOS &lt;'!I202:V206,2,FALSE)</f>
        <v>#N/A</v>
      </c>
      <c r="C19" s="86" t="s">
        <v>33</v>
      </c>
      <c r="D19" s="87" t="e">
        <f>VLOOKUP(J19,'DATOS &lt;'!I202:V206,3,FALSE)</f>
        <v>#N/A</v>
      </c>
      <c r="E19" s="186" t="s">
        <v>8</v>
      </c>
      <c r="F19" s="1502" t="e">
        <f>VLOOKUP(J19,'DATOS &lt;'!I202:V206,5,FALSE)</f>
        <v>#N/A</v>
      </c>
      <c r="G19" s="1503"/>
      <c r="H19" s="86" t="s">
        <v>34</v>
      </c>
      <c r="I19" s="517" t="e">
        <f>VLOOKUP(J19,'DATOS &lt;'!I202:V206,4,FALSE)</f>
        <v>#N/A</v>
      </c>
      <c r="J19" s="1429"/>
    </row>
    <row r="20" spans="1:11" ht="31.5" customHeight="1" thickBot="1" x14ac:dyDescent="0.25">
      <c r="A20" s="1504" t="s">
        <v>35</v>
      </c>
      <c r="B20" s="1505"/>
      <c r="C20" s="82" t="s">
        <v>36</v>
      </c>
      <c r="D20" s="88" t="e">
        <f>VLOOKUP(J19,'DATOS &lt;'!I202:V206,6,FALSE)</f>
        <v>#N/A</v>
      </c>
      <c r="E20" s="1506" t="s">
        <v>37</v>
      </c>
      <c r="F20" s="1507"/>
      <c r="G20" s="88" t="e">
        <f>VLOOKUP(J19,'DATOS &lt;'!I202:V206,7,FALSE)</f>
        <v>#N/A</v>
      </c>
      <c r="H20" s="83" t="s">
        <v>38</v>
      </c>
      <c r="I20" s="154" t="e">
        <f>VLOOKUP(J19,'DATOS &lt;'!I202:V206,8,FALSE)</f>
        <v>#N/A</v>
      </c>
      <c r="J20" s="1390"/>
    </row>
    <row r="21" spans="1:11" s="41" customFormat="1" ht="15" customHeight="1" thickBot="1" x14ac:dyDescent="0.25">
      <c r="A21" s="42"/>
      <c r="B21" s="42"/>
      <c r="C21" s="42"/>
      <c r="D21" s="42"/>
      <c r="E21" s="42"/>
      <c r="F21" s="42"/>
      <c r="G21" s="42"/>
      <c r="H21" s="42"/>
      <c r="I21" s="42"/>
      <c r="J21" s="42"/>
      <c r="K21" s="8"/>
    </row>
    <row r="22" spans="1:11" s="41" customFormat="1" ht="31.5" customHeight="1" thickBot="1" x14ac:dyDescent="0.25">
      <c r="A22" s="1508" t="s">
        <v>39</v>
      </c>
      <c r="B22" s="1509"/>
      <c r="C22" s="1509"/>
      <c r="D22" s="1509"/>
      <c r="E22" s="1509"/>
      <c r="F22" s="1509"/>
      <c r="G22" s="1509"/>
      <c r="H22" s="1509"/>
      <c r="I22" s="1509"/>
      <c r="J22" s="1510"/>
      <c r="K22" s="42"/>
    </row>
    <row r="23" spans="1:11" s="42" customFormat="1" ht="2.25" customHeight="1" thickBot="1" x14ac:dyDescent="0.25">
      <c r="A23" s="43"/>
      <c r="B23" s="44"/>
      <c r="C23" s="44"/>
      <c r="D23" s="44"/>
      <c r="E23" s="44"/>
      <c r="F23" s="44"/>
      <c r="G23" s="44"/>
      <c r="H23" s="44"/>
      <c r="I23" s="44"/>
      <c r="J23" s="45"/>
      <c r="K23" s="41"/>
    </row>
    <row r="24" spans="1:11" s="41" customFormat="1" ht="31.5" customHeight="1" thickBot="1" x14ac:dyDescent="0.25">
      <c r="A24" s="631" t="s">
        <v>40</v>
      </c>
      <c r="B24" s="398"/>
      <c r="C24" s="1372" t="s">
        <v>36</v>
      </c>
      <c r="D24" s="1373"/>
      <c r="E24" s="1"/>
      <c r="F24" s="1374" t="s">
        <v>37</v>
      </c>
      <c r="G24" s="1375"/>
      <c r="H24" s="2"/>
      <c r="I24" s="632" t="s">
        <v>38</v>
      </c>
      <c r="J24" s="155"/>
    </row>
    <row r="25" spans="1:11" s="41" customFormat="1" ht="15" customHeight="1" thickBot="1" x14ac:dyDescent="0.25">
      <c r="A25" s="42"/>
      <c r="B25" s="42"/>
      <c r="C25" s="42"/>
      <c r="D25" s="42"/>
      <c r="E25" s="42"/>
      <c r="F25" s="42"/>
      <c r="I25" s="42"/>
    </row>
    <row r="26" spans="1:11" s="41" customFormat="1" ht="29.25" customHeight="1" thickBot="1" x14ac:dyDescent="0.25">
      <c r="A26" s="520" t="s">
        <v>41</v>
      </c>
      <c r="B26" s="962">
        <v>3</v>
      </c>
      <c r="C26" s="1484" t="s">
        <v>42</v>
      </c>
      <c r="D26" s="1485"/>
      <c r="E26" s="1486"/>
      <c r="F26" s="42"/>
      <c r="H26" s="42"/>
      <c r="I26" s="6"/>
    </row>
    <row r="27" spans="1:11" s="41" customFormat="1" ht="31.5" customHeight="1" thickBot="1" x14ac:dyDescent="0.25">
      <c r="A27" s="1492" t="s">
        <v>43</v>
      </c>
      <c r="B27" s="1493"/>
      <c r="C27" s="416">
        <v>1</v>
      </c>
      <c r="D27" s="416">
        <v>2</v>
      </c>
      <c r="E27" s="109">
        <v>3</v>
      </c>
      <c r="F27" s="42"/>
      <c r="H27" s="1511" t="s">
        <v>44</v>
      </c>
      <c r="I27" s="1512"/>
    </row>
    <row r="28" spans="1:11" s="41" customFormat="1" ht="31.5" customHeight="1" thickBot="1" x14ac:dyDescent="0.25">
      <c r="A28" s="1473" t="s">
        <v>45</v>
      </c>
      <c r="B28" s="117" t="s">
        <v>46</v>
      </c>
      <c r="C28" s="118"/>
      <c r="D28" s="118"/>
      <c r="E28" s="119"/>
      <c r="F28" s="42"/>
      <c r="G28" s="42"/>
      <c r="H28" s="1358" t="e">
        <f>VLOOKUP($I$26,'DATOS &lt;'!$B$131:$G$135,2,FALSE)</f>
        <v>#N/A</v>
      </c>
      <c r="I28" s="1359"/>
      <c r="J28" s="42"/>
    </row>
    <row r="29" spans="1:11" s="41" customFormat="1" ht="31.5" customHeight="1" x14ac:dyDescent="0.2">
      <c r="A29" s="1474"/>
      <c r="B29" s="91" t="s">
        <v>47</v>
      </c>
      <c r="C29" s="107"/>
      <c r="D29" s="107"/>
      <c r="E29" s="108"/>
      <c r="F29" s="42"/>
      <c r="G29" s="42"/>
      <c r="H29" s="42"/>
      <c r="I29" s="42"/>
      <c r="J29" s="42"/>
    </row>
    <row r="30" spans="1:11" s="41" customFormat="1" ht="31.5" customHeight="1" x14ac:dyDescent="0.2">
      <c r="A30" s="1474"/>
      <c r="B30" s="91" t="s">
        <v>47</v>
      </c>
      <c r="C30" s="107"/>
      <c r="D30" s="107"/>
      <c r="E30" s="108"/>
      <c r="F30" s="42"/>
      <c r="G30" s="42"/>
      <c r="H30" s="42"/>
      <c r="I30" s="42"/>
      <c r="J30" s="42"/>
    </row>
    <row r="31" spans="1:11" s="41" customFormat="1" ht="31.5" customHeight="1" thickBot="1" x14ac:dyDescent="0.25">
      <c r="A31" s="1475"/>
      <c r="B31" s="46" t="s">
        <v>46</v>
      </c>
      <c r="C31" s="120"/>
      <c r="D31" s="120"/>
      <c r="E31" s="121"/>
      <c r="F31" s="42"/>
      <c r="G31" s="42"/>
      <c r="H31" s="42"/>
      <c r="I31" s="42"/>
      <c r="J31" s="42"/>
    </row>
    <row r="32" spans="1:11" s="41" customFormat="1" ht="15" customHeight="1" thickBot="1" x14ac:dyDescent="0.25">
      <c r="A32" s="42"/>
      <c r="B32" s="42"/>
      <c r="C32" s="42"/>
      <c r="D32" s="42"/>
      <c r="E32" s="42"/>
      <c r="F32" s="42"/>
      <c r="G32" s="42"/>
      <c r="H32" s="42"/>
      <c r="I32" s="42"/>
      <c r="J32" s="42"/>
    </row>
    <row r="33" spans="1:14" s="41" customFormat="1" ht="31.5" customHeight="1" thickBot="1" x14ac:dyDescent="0.25">
      <c r="A33" s="640" t="s">
        <v>48</v>
      </c>
      <c r="B33" s="398"/>
      <c r="C33" s="1372" t="s">
        <v>36</v>
      </c>
      <c r="D33" s="1373"/>
      <c r="E33" s="1"/>
      <c r="F33" s="1374" t="s">
        <v>37</v>
      </c>
      <c r="G33" s="1375"/>
      <c r="H33" s="2"/>
      <c r="I33" s="641" t="s">
        <v>38</v>
      </c>
      <c r="J33" s="3"/>
    </row>
    <row r="34" spans="1:14" s="41" customFormat="1" ht="12" customHeight="1" x14ac:dyDescent="0.2">
      <c r="A34" s="47"/>
      <c r="B34" s="47"/>
      <c r="C34" s="47"/>
      <c r="D34" s="47"/>
      <c r="E34" s="47"/>
      <c r="F34" s="47"/>
      <c r="G34" s="47"/>
      <c r="H34" s="47"/>
      <c r="I34" s="47"/>
      <c r="J34" s="47"/>
    </row>
    <row r="35" spans="1:14" s="41" customFormat="1" ht="15" customHeight="1" x14ac:dyDescent="0.2">
      <c r="A35" s="42"/>
      <c r="B35" s="42"/>
      <c r="C35" s="42"/>
      <c r="D35" s="42"/>
      <c r="E35" s="42"/>
      <c r="F35" s="42"/>
      <c r="G35" s="42"/>
      <c r="H35" s="42"/>
      <c r="I35" s="42"/>
      <c r="J35" s="42"/>
    </row>
    <row r="36" spans="1:14" s="41" customFormat="1" ht="32.25" customHeight="1" x14ac:dyDescent="0.2">
      <c r="A36" s="1490" t="s">
        <v>49</v>
      </c>
      <c r="B36" s="1491"/>
      <c r="C36" s="1491"/>
      <c r="D36" s="1491"/>
      <c r="E36" s="1491"/>
      <c r="F36" s="1491"/>
      <c r="G36" s="1491"/>
      <c r="H36" s="1491"/>
      <c r="I36" s="1491"/>
      <c r="J36" s="1491"/>
      <c r="K36" s="1491"/>
      <c r="L36" s="1491"/>
      <c r="M36" s="1491"/>
      <c r="N36" s="1491"/>
    </row>
    <row r="37" spans="1:14" s="41" customFormat="1" ht="3.75" customHeight="1" thickBot="1" x14ac:dyDescent="0.25">
      <c r="A37" s="42"/>
      <c r="B37" s="42"/>
      <c r="C37" s="42"/>
      <c r="D37" s="42"/>
      <c r="E37" s="42"/>
      <c r="F37" s="42"/>
      <c r="G37" s="42"/>
      <c r="H37" s="42"/>
      <c r="I37" s="42"/>
      <c r="J37" s="42"/>
    </row>
    <row r="38" spans="1:14" s="41" customFormat="1" ht="31.5" customHeight="1" thickBot="1" x14ac:dyDescent="0.25">
      <c r="A38" s="42"/>
      <c r="B38" s="1484" t="s">
        <v>50</v>
      </c>
      <c r="C38" s="1485"/>
      <c r="D38" s="1485"/>
      <c r="E38" s="1486"/>
      <c r="F38" s="42"/>
      <c r="G38" s="42"/>
      <c r="H38" s="1314" t="s">
        <v>51</v>
      </c>
      <c r="I38" s="1315"/>
      <c r="J38" s="1315"/>
      <c r="K38" s="1315"/>
      <c r="L38" s="1315"/>
      <c r="M38" s="1316"/>
    </row>
    <row r="39" spans="1:14" s="41" customFormat="1" ht="31.5" customHeight="1" thickBot="1" x14ac:dyDescent="0.25">
      <c r="A39" s="42"/>
      <c r="B39" s="48" t="s">
        <v>43</v>
      </c>
      <c r="C39" s="146">
        <v>1</v>
      </c>
      <c r="D39" s="117">
        <v>2</v>
      </c>
      <c r="E39" s="147">
        <v>3</v>
      </c>
      <c r="F39" s="42"/>
      <c r="G39" s="42"/>
      <c r="H39" s="1487" t="e">
        <f>VLOOKUP($N$39,'DATOS &lt;'!$I$127:$L$130,2,FALSE)</f>
        <v>#N/A</v>
      </c>
      <c r="I39" s="1488"/>
      <c r="J39" s="1488"/>
      <c r="K39" s="1488"/>
      <c r="L39" s="1488"/>
      <c r="M39" s="1489"/>
      <c r="N39" s="1293"/>
    </row>
    <row r="40" spans="1:14" s="41" customFormat="1" ht="31.5" customHeight="1" x14ac:dyDescent="0.2">
      <c r="A40" s="49"/>
      <c r="B40" s="50"/>
      <c r="C40" s="101" t="e">
        <f>+AVERAGE(C28,C31)</f>
        <v>#DIV/0!</v>
      </c>
      <c r="D40" s="102" t="e">
        <f>+AVERAGE(D28,D31)</f>
        <v>#DIV/0!</v>
      </c>
      <c r="E40" s="148" t="e">
        <f>+AVERAGE(E28,E31)</f>
        <v>#DIV/0!</v>
      </c>
      <c r="F40" s="42"/>
      <c r="G40" s="42"/>
      <c r="H40" s="1320" t="s">
        <v>532</v>
      </c>
      <c r="I40" s="1321"/>
      <c r="J40" s="1321"/>
      <c r="K40" s="1321"/>
      <c r="L40" s="1321"/>
      <c r="M40" s="1322"/>
    </row>
    <row r="41" spans="1:14" s="41" customFormat="1" ht="31.5" customHeight="1" x14ac:dyDescent="0.2">
      <c r="A41" s="49"/>
      <c r="B41" s="51"/>
      <c r="C41" s="103" t="e">
        <f>+AVERAGE(C29:C30)</f>
        <v>#DIV/0!</v>
      </c>
      <c r="D41" s="52" t="e">
        <f>+AVERAGE(D29:D30)</f>
        <v>#DIV/0!</v>
      </c>
      <c r="E41" s="149" t="e">
        <f>+AVERAGE(E29:E30)</f>
        <v>#DIV/0!</v>
      </c>
      <c r="F41" s="42"/>
      <c r="G41" s="42"/>
      <c r="H41" s="1323"/>
      <c r="I41" s="1324"/>
      <c r="J41" s="1324"/>
      <c r="K41" s="1324"/>
      <c r="L41" s="1324"/>
      <c r="M41" s="1325"/>
    </row>
    <row r="42" spans="1:14" s="41" customFormat="1" ht="31.5" customHeight="1" thickBot="1" x14ac:dyDescent="0.25">
      <c r="A42" s="49"/>
      <c r="B42" s="53"/>
      <c r="C42" s="104" t="e">
        <f>+C41-C40</f>
        <v>#DIV/0!</v>
      </c>
      <c r="D42" s="105" t="e">
        <f>+D41-D40</f>
        <v>#DIV/0!</v>
      </c>
      <c r="E42" s="150" t="e">
        <f>+E41-E40</f>
        <v>#DIV/0!</v>
      </c>
      <c r="F42" s="42"/>
      <c r="G42" s="42"/>
      <c r="H42" s="1326"/>
      <c r="I42" s="1327"/>
      <c r="J42" s="1327"/>
      <c r="K42" s="1327"/>
      <c r="L42" s="1327"/>
      <c r="M42" s="1328"/>
    </row>
    <row r="43" spans="1:14" s="41" customFormat="1" ht="31.5" customHeight="1" thickBot="1" x14ac:dyDescent="0.25">
      <c r="A43" s="42"/>
      <c r="B43" s="54" t="s">
        <v>52</v>
      </c>
      <c r="C43" s="430" t="e">
        <f>+AVERAGE(C42:E42)</f>
        <v>#DIV/0!</v>
      </c>
      <c r="D43" s="42"/>
      <c r="E43" s="42"/>
      <c r="F43" s="42"/>
      <c r="G43" s="42"/>
      <c r="H43" s="42"/>
      <c r="I43" s="42"/>
      <c r="J43" s="42"/>
    </row>
    <row r="44" spans="1:14" s="41" customFormat="1" ht="31.5" customHeight="1" thickBot="1" x14ac:dyDescent="0.25">
      <c r="A44" s="42"/>
      <c r="B44" s="55" t="s">
        <v>53</v>
      </c>
      <c r="C44" s="429" t="e">
        <f>+STDEV(C42:E42)</f>
        <v>#DIV/0!</v>
      </c>
      <c r="D44" s="42"/>
      <c r="E44" s="42"/>
      <c r="F44" s="42"/>
      <c r="G44" s="42"/>
      <c r="H44" s="42"/>
      <c r="I44" s="42"/>
      <c r="J44" s="42"/>
    </row>
    <row r="45" spans="1:14" s="41" customFormat="1" ht="15" customHeight="1" thickBot="1" x14ac:dyDescent="0.25">
      <c r="A45" s="42"/>
      <c r="B45" s="42"/>
      <c r="C45" s="42"/>
      <c r="D45" s="42"/>
      <c r="E45" s="42"/>
      <c r="F45" s="42"/>
      <c r="G45" s="56"/>
      <c r="H45" s="42"/>
      <c r="I45" s="42"/>
      <c r="J45" s="42"/>
    </row>
    <row r="46" spans="1:14" s="41" customFormat="1" ht="31.5" customHeight="1" thickBot="1" x14ac:dyDescent="0.25">
      <c r="A46" s="1434" t="s">
        <v>54</v>
      </c>
      <c r="B46" s="1435"/>
      <c r="C46" s="1476"/>
      <c r="D46" s="1476"/>
      <c r="E46" s="1476"/>
      <c r="F46" s="1435"/>
      <c r="G46" s="1435"/>
      <c r="H46" s="1435"/>
      <c r="I46" s="1435"/>
      <c r="J46" s="1436"/>
    </row>
    <row r="47" spans="1:14" s="41" customFormat="1" ht="31.5" customHeight="1" thickBot="1" x14ac:dyDescent="0.25">
      <c r="A47" s="1477" t="s">
        <v>55</v>
      </c>
      <c r="B47" s="1478"/>
      <c r="C47" s="1481" t="s">
        <v>56</v>
      </c>
      <c r="D47" s="1482"/>
      <c r="E47" s="1483"/>
      <c r="F47" s="42"/>
      <c r="G47" s="42"/>
      <c r="H47" s="42"/>
      <c r="I47" s="42"/>
      <c r="J47" s="42"/>
    </row>
    <row r="48" spans="1:14" s="41" customFormat="1" ht="36.75" customHeight="1" thickBot="1" x14ac:dyDescent="0.25">
      <c r="A48" s="1479"/>
      <c r="B48" s="1480"/>
      <c r="C48" s="71" t="s">
        <v>36</v>
      </c>
      <c r="D48" s="81" t="s">
        <v>37</v>
      </c>
      <c r="E48" s="72" t="s">
        <v>38</v>
      </c>
      <c r="G48" s="1432" t="s">
        <v>57</v>
      </c>
      <c r="H48" s="1433"/>
      <c r="I48" s="89" t="e">
        <f>+(0.34848*E50-0.009*D50*EXP(0.061*C50))/(273.15+C50)</f>
        <v>#DIV/0!</v>
      </c>
      <c r="J48" s="90" t="s">
        <v>58</v>
      </c>
    </row>
    <row r="49" spans="1:21" s="41" customFormat="1" ht="33" customHeight="1" thickBot="1" x14ac:dyDescent="0.25">
      <c r="A49" s="1439" t="s">
        <v>59</v>
      </c>
      <c r="B49" s="1440"/>
      <c r="C49" s="78" t="e">
        <f>+AVERAGE(E33,E24)</f>
        <v>#DIV/0!</v>
      </c>
      <c r="D49" s="79" t="e">
        <f>+AVERAGE(H33,H24)</f>
        <v>#DIV/0!</v>
      </c>
      <c r="E49" s="80" t="e">
        <f>+AVERAGE(J33,J24)</f>
        <v>#DIV/0!</v>
      </c>
      <c r="G49" s="1437" t="s">
        <v>60</v>
      </c>
      <c r="H49" s="1438"/>
      <c r="I49" s="240" t="e">
        <f>I48*((0.0001)^2+(0.001*I20/2)^2+(-0.0034*D20/2)^2+(-0.01*G20/2)^2)^0.5</f>
        <v>#DIV/0!</v>
      </c>
      <c r="J49" s="57" t="s">
        <v>58</v>
      </c>
    </row>
    <row r="50" spans="1:21" s="41" customFormat="1" ht="36.75" customHeight="1" thickBot="1" x14ac:dyDescent="0.25">
      <c r="A50" s="1430" t="s">
        <v>61</v>
      </c>
      <c r="B50" s="1431"/>
      <c r="C50" s="73" t="e">
        <f>C49+(VLOOKUP(J19,'DATOS &lt;'!I202:V206,9,FALSE))*C49+(VLOOKUP(J19,'DATOS &lt;'!I202:V206,10,FALSE))</f>
        <v>#DIV/0!</v>
      </c>
      <c r="D50" s="74" t="e">
        <f>D49+(VLOOKUP(J19,'DATOS &lt;'!I202:V206,11,FALSE))*D49+(VLOOKUP(J19,'DATOS &lt;'!I202:V206,12,FALSE))</f>
        <v>#DIV/0!</v>
      </c>
      <c r="E50" s="75" t="e">
        <f>E49+(VLOOKUP(J19,'DATOS &lt;'!I202:V206,13,FALSE))*E49+(VLOOKUP(J19,'DATOS &lt;'!I202:V206,14,FALSE))</f>
        <v>#DIV/0!</v>
      </c>
      <c r="F50" s="42"/>
      <c r="G50" s="1432" t="s">
        <v>62</v>
      </c>
      <c r="H50" s="1433"/>
      <c r="I50" s="58">
        <v>1.2</v>
      </c>
      <c r="J50" s="57" t="s">
        <v>58</v>
      </c>
    </row>
    <row r="51" spans="1:21" s="41" customFormat="1" ht="15" customHeight="1" thickBot="1" x14ac:dyDescent="0.25">
      <c r="A51" s="42"/>
      <c r="B51" s="42"/>
      <c r="C51" s="42"/>
      <c r="D51" s="42"/>
      <c r="E51" s="42"/>
      <c r="F51" s="42"/>
      <c r="G51" s="42"/>
      <c r="H51" s="42"/>
      <c r="I51" s="42"/>
      <c r="J51" s="42"/>
    </row>
    <row r="52" spans="1:21" s="41" customFormat="1" ht="31.5" customHeight="1" thickBot="1" x14ac:dyDescent="0.25">
      <c r="A52" s="1434" t="s">
        <v>63</v>
      </c>
      <c r="B52" s="1435"/>
      <c r="C52" s="1435"/>
      <c r="D52" s="1435"/>
      <c r="E52" s="1435"/>
      <c r="F52" s="1435"/>
      <c r="G52" s="1435"/>
      <c r="H52" s="1435"/>
      <c r="I52" s="1435"/>
      <c r="J52" s="1436"/>
    </row>
    <row r="53" spans="1:21" s="41" customFormat="1" ht="31.5" customHeight="1" x14ac:dyDescent="0.35">
      <c r="A53" s="42"/>
      <c r="B53" s="59" t="s">
        <v>64</v>
      </c>
      <c r="C53" s="60"/>
      <c r="D53" s="1441" t="s">
        <v>65</v>
      </c>
      <c r="E53" s="1441"/>
      <c r="F53" s="61" t="s">
        <v>66</v>
      </c>
      <c r="G53" s="62" t="s">
        <v>67</v>
      </c>
      <c r="H53" s="1442" t="s">
        <v>68</v>
      </c>
      <c r="I53" s="1443"/>
      <c r="J53" s="42"/>
    </row>
    <row r="54" spans="1:21" s="41" customFormat="1" ht="31.5" customHeight="1" thickBot="1" x14ac:dyDescent="0.25">
      <c r="A54" s="42"/>
      <c r="B54" s="63" t="e">
        <f>+C43</f>
        <v>#DIV/0!</v>
      </c>
      <c r="C54" s="405" t="s">
        <v>17</v>
      </c>
      <c r="D54" s="64" t="e">
        <f>+C10+C11/1000</f>
        <v>#N/A</v>
      </c>
      <c r="E54" s="405" t="s">
        <v>17</v>
      </c>
      <c r="F54" s="64" t="e">
        <f>+(I48-I50)*(1/H10-1/C13)</f>
        <v>#DIV/0!</v>
      </c>
      <c r="G54" s="65"/>
      <c r="H54" s="58" t="e">
        <f>+(B54+D54*F54)*1000</f>
        <v>#DIV/0!</v>
      </c>
      <c r="I54" s="57" t="s">
        <v>22</v>
      </c>
      <c r="J54" s="42"/>
    </row>
    <row r="55" spans="1:21" s="41" customFormat="1" ht="15" customHeight="1" x14ac:dyDescent="0.2">
      <c r="A55" s="42"/>
      <c r="B55" s="42"/>
      <c r="C55" s="42"/>
      <c r="D55" s="42"/>
      <c r="E55" s="42"/>
      <c r="F55" s="42"/>
      <c r="G55" s="42"/>
      <c r="H55" s="42"/>
      <c r="I55" s="42"/>
      <c r="J55" s="42"/>
    </row>
    <row r="56" spans="1:21" s="41" customFormat="1" ht="31.5" customHeight="1" x14ac:dyDescent="0.2">
      <c r="A56" s="1447" t="s">
        <v>69</v>
      </c>
      <c r="B56" s="1448"/>
      <c r="C56" s="1448"/>
      <c r="D56" s="1448"/>
      <c r="E56" s="1448"/>
      <c r="F56" s="1448"/>
      <c r="G56" s="1448"/>
      <c r="H56" s="1448"/>
      <c r="I56" s="1448"/>
      <c r="J56" s="1448"/>
    </row>
    <row r="57" spans="1:21" s="41" customFormat="1" ht="15" customHeight="1" thickBot="1" x14ac:dyDescent="0.25">
      <c r="A57" s="42"/>
      <c r="B57" s="42"/>
      <c r="C57" s="42"/>
      <c r="D57" s="42"/>
      <c r="E57" s="42"/>
    </row>
    <row r="58" spans="1:21" s="41" customFormat="1" ht="31.5" customHeight="1" thickBot="1" x14ac:dyDescent="0.25">
      <c r="A58" s="1449" t="s">
        <v>56</v>
      </c>
      <c r="B58" s="1450"/>
      <c r="C58" s="1451" t="s">
        <v>70</v>
      </c>
      <c r="D58" s="1452"/>
      <c r="E58" s="1453" t="s">
        <v>71</v>
      </c>
      <c r="F58" s="1454"/>
      <c r="G58" s="479" t="s">
        <v>72</v>
      </c>
      <c r="H58" s="463"/>
      <c r="I58" s="463"/>
      <c r="J58" s="98"/>
      <c r="Q58" s="42"/>
      <c r="R58" s="42"/>
      <c r="S58" s="42"/>
      <c r="T58" s="42"/>
      <c r="U58" s="42"/>
    </row>
    <row r="59" spans="1:21" s="41" customFormat="1" ht="57.95" customHeight="1" thickBot="1" x14ac:dyDescent="0.25">
      <c r="A59" s="418" t="s">
        <v>73</v>
      </c>
      <c r="B59" s="419"/>
      <c r="C59" s="849" t="e">
        <f>C44/B26^0.5*1000</f>
        <v>#DIV/0!</v>
      </c>
      <c r="D59" s="428" t="s">
        <v>22</v>
      </c>
      <c r="E59" s="428" t="s">
        <v>74</v>
      </c>
      <c r="F59" s="428">
        <f>$B$26-1</f>
        <v>2</v>
      </c>
      <c r="G59" s="519" t="e">
        <f>IFERROR(C59/$G$70,"--")^2</f>
        <v>#VALUE!</v>
      </c>
      <c r="H59" s="963" t="e">
        <f>IF(C59=MAX($C$59,$C$62,$C$66,$C$67,$C$68),"",C59)</f>
        <v>#DIV/0!</v>
      </c>
      <c r="I59" s="851"/>
      <c r="J59" s="852"/>
      <c r="K59" s="468"/>
      <c r="L59" s="125">
        <v>0.3</v>
      </c>
      <c r="M59" s="126">
        <v>1.65</v>
      </c>
      <c r="N59" s="97"/>
    </row>
    <row r="60" spans="1:21" s="41" customFormat="1" ht="57.95" customHeight="1" thickBot="1" x14ac:dyDescent="0.25">
      <c r="A60" s="418" t="s">
        <v>75</v>
      </c>
      <c r="B60" s="873" t="s">
        <v>76</v>
      </c>
      <c r="C60" s="874" t="e">
        <f>+C12/2</f>
        <v>#N/A</v>
      </c>
      <c r="D60" s="875" t="s">
        <v>22</v>
      </c>
      <c r="E60" s="428" t="s">
        <v>74</v>
      </c>
      <c r="F60" s="428">
        <f t="shared" ref="F60:F67" si="0">0.5*(5%)^-2</f>
        <v>199.99999999999997</v>
      </c>
      <c r="G60" s="518"/>
      <c r="H60" s="964" t="e">
        <f t="shared" ref="H60:H65" si="1">IFERROR(C60/$G$70,"--")^2</f>
        <v>#VALUE!</v>
      </c>
      <c r="I60" s="1455" t="s">
        <v>77</v>
      </c>
      <c r="J60" s="1455"/>
      <c r="K60" s="1455"/>
      <c r="L60" s="1455"/>
      <c r="M60" s="1455"/>
      <c r="N60" s="1456"/>
    </row>
    <row r="61" spans="1:21" s="41" customFormat="1" ht="57.95" customHeight="1" thickBot="1" x14ac:dyDescent="0.25">
      <c r="A61" s="418" t="s">
        <v>78</v>
      </c>
      <c r="B61" s="876"/>
      <c r="C61" s="877" t="e">
        <f>VLOOKUP($E$6,'DATOS &lt;'!N27:AC134,11,FALSE)</f>
        <v>#N/A</v>
      </c>
      <c r="D61" s="874" t="s">
        <v>22</v>
      </c>
      <c r="E61" s="428" t="s">
        <v>79</v>
      </c>
      <c r="F61" s="428">
        <f t="shared" si="0"/>
        <v>199.99999999999997</v>
      </c>
      <c r="G61" s="518"/>
      <c r="H61" s="964" t="e">
        <f t="shared" si="1"/>
        <v>#VALUE!</v>
      </c>
      <c r="I61" s="532" t="s">
        <v>80</v>
      </c>
      <c r="J61" s="533" t="str">
        <f>IFERROR(SQRT(SUMSQ(H59,H62,H66,H67,H68))/MAX(C59,C62,C66,C67,C68),"--")</f>
        <v>--</v>
      </c>
      <c r="K61" s="534" t="str">
        <f>IF((J61)&lt;=(L59),"1,65","2")</f>
        <v>2</v>
      </c>
      <c r="L61" s="435" t="s">
        <v>81</v>
      </c>
      <c r="M61" s="433" t="s">
        <v>82</v>
      </c>
      <c r="N61" s="434" t="s">
        <v>83</v>
      </c>
    </row>
    <row r="62" spans="1:21" s="41" customFormat="1" ht="57.95" customHeight="1" thickBot="1" x14ac:dyDescent="0.3">
      <c r="A62" s="418" t="s">
        <v>84</v>
      </c>
      <c r="B62" s="424"/>
      <c r="C62" s="420" t="e">
        <f>+SQRT(SUMSQ(C60:C61))</f>
        <v>#N/A</v>
      </c>
      <c r="D62" s="416" t="s">
        <v>22</v>
      </c>
      <c r="E62" s="428" t="s">
        <v>74</v>
      </c>
      <c r="F62" s="428">
        <f t="shared" si="0"/>
        <v>199.99999999999997</v>
      </c>
      <c r="G62" s="519" t="e">
        <f t="shared" ref="G62:G68" si="2">IFERROR(C62/$G$70,"--")^2</f>
        <v>#VALUE!</v>
      </c>
      <c r="H62" s="963" t="e">
        <f>IF(C62=MAX($C$59,$C$62,$C$66,$C$67,$C$68),"",C62)</f>
        <v>#N/A</v>
      </c>
      <c r="I62" s="462"/>
      <c r="J62" s="462"/>
      <c r="K62" s="462"/>
      <c r="L62" s="529" t="s">
        <v>81</v>
      </c>
      <c r="M62" s="530" t="s">
        <v>85</v>
      </c>
      <c r="N62" s="531" t="s">
        <v>86</v>
      </c>
    </row>
    <row r="63" spans="1:21" s="41" customFormat="1" ht="57.95" customHeight="1" thickBot="1" x14ac:dyDescent="0.25">
      <c r="A63" s="418" t="s">
        <v>87</v>
      </c>
      <c r="B63" s="873"/>
      <c r="C63" s="878" t="e">
        <f>+I49</f>
        <v>#DIV/0!</v>
      </c>
      <c r="D63" s="874" t="s">
        <v>58</v>
      </c>
      <c r="E63" s="428" t="s">
        <v>74</v>
      </c>
      <c r="F63" s="428">
        <f t="shared" si="0"/>
        <v>199.99999999999997</v>
      </c>
      <c r="G63" s="518"/>
      <c r="H63" s="964" t="e">
        <f t="shared" si="1"/>
        <v>#VALUE!</v>
      </c>
      <c r="P63" s="466"/>
      <c r="Q63" s="464"/>
    </row>
    <row r="64" spans="1:21" s="41" customFormat="1" ht="57.95" customHeight="1" thickBot="1" x14ac:dyDescent="0.25">
      <c r="A64" s="418" t="s">
        <v>88</v>
      </c>
      <c r="B64" s="873"/>
      <c r="C64" s="879" t="e">
        <f>+H11/2</f>
        <v>#N/A</v>
      </c>
      <c r="D64" s="874" t="s">
        <v>58</v>
      </c>
      <c r="E64" s="428" t="s">
        <v>74</v>
      </c>
      <c r="F64" s="428">
        <f t="shared" si="0"/>
        <v>199.99999999999997</v>
      </c>
      <c r="G64" s="518"/>
      <c r="H64" s="964" t="e">
        <f t="shared" si="1"/>
        <v>#VALUE!</v>
      </c>
      <c r="P64" s="466"/>
      <c r="Q64" s="464"/>
      <c r="R64" s="42"/>
      <c r="T64" s="42"/>
      <c r="U64" s="42"/>
    </row>
    <row r="65" spans="1:21" s="41" customFormat="1" ht="57.95" customHeight="1" thickBot="1" x14ac:dyDescent="0.25">
      <c r="A65" s="418" t="s">
        <v>89</v>
      </c>
      <c r="B65" s="873"/>
      <c r="C65" s="879" t="e">
        <f>+C14/2</f>
        <v>#N/A</v>
      </c>
      <c r="D65" s="874" t="s">
        <v>58</v>
      </c>
      <c r="E65" s="428" t="s">
        <v>74</v>
      </c>
      <c r="F65" s="428">
        <f t="shared" si="0"/>
        <v>199.99999999999997</v>
      </c>
      <c r="G65" s="518"/>
      <c r="H65" s="964" t="e">
        <f t="shared" si="1"/>
        <v>#VALUE!</v>
      </c>
      <c r="P65" s="466"/>
      <c r="Q65" s="464"/>
    </row>
    <row r="66" spans="1:21" s="41" customFormat="1" ht="57.95" customHeight="1" thickBot="1" x14ac:dyDescent="0.3">
      <c r="A66" s="418" t="s">
        <v>90</v>
      </c>
      <c r="B66" s="424"/>
      <c r="C66" s="425" t="e">
        <f>+SQRT(ABS(((C10/1000+C11/1000000)*(C13-H10)/(C13*H10)*C63)^2+((C10/1000+C11/1000000)*(I48-I50))^2*C64^2/H10^4+(C10/1000+C11/1000000)^2*(I48-I50)*((I48-I50)-2*(C15-I50))*C65^2/C13^4))*1000000</f>
        <v>#N/A</v>
      </c>
      <c r="D66" s="428" t="s">
        <v>22</v>
      </c>
      <c r="E66" s="428" t="s">
        <v>74</v>
      </c>
      <c r="F66" s="428">
        <f t="shared" si="0"/>
        <v>199.99999999999997</v>
      </c>
      <c r="G66" s="519" t="e">
        <f t="shared" si="2"/>
        <v>#VALUE!</v>
      </c>
      <c r="H66" s="963" t="e">
        <f>IF(C66=MAX($C$59,$C$62,$C$66,$C$67,$C$68),"",C66)</f>
        <v>#N/A</v>
      </c>
      <c r="S66" s="42"/>
      <c r="T66" s="42"/>
      <c r="U66" s="42"/>
    </row>
    <row r="67" spans="1:21" s="41" customFormat="1" ht="57.95" customHeight="1" thickBot="1" x14ac:dyDescent="0.3">
      <c r="A67" s="418" t="s">
        <v>91</v>
      </c>
      <c r="B67" s="424"/>
      <c r="C67" s="880" t="e">
        <f>+(G15/2/3^0.5)*2^0.5*1000</f>
        <v>#N/A</v>
      </c>
      <c r="D67" s="428" t="s">
        <v>22</v>
      </c>
      <c r="E67" s="428" t="s">
        <v>79</v>
      </c>
      <c r="F67" s="428">
        <f t="shared" si="0"/>
        <v>199.99999999999997</v>
      </c>
      <c r="G67" s="519" t="e">
        <f t="shared" si="2"/>
        <v>#VALUE!</v>
      </c>
      <c r="H67" s="963" t="e">
        <f>IF(C67=MAX($C$59,$C$62,$C$66,$C$67,$C$68),"",C67)</f>
        <v>#N/A</v>
      </c>
      <c r="J67" s="521" t="s">
        <v>106</v>
      </c>
      <c r="K67" s="521" t="s">
        <v>93</v>
      </c>
      <c r="L67" s="521" t="s">
        <v>94</v>
      </c>
    </row>
    <row r="68" spans="1:21" s="41" customFormat="1" ht="65.25" customHeight="1" thickBot="1" x14ac:dyDescent="0.3">
      <c r="A68" s="881" t="s">
        <v>95</v>
      </c>
      <c r="B68" s="882"/>
      <c r="C68" s="883">
        <f>0.01/SQRT(45)</f>
        <v>1.4907119849998597E-3</v>
      </c>
      <c r="D68" s="884" t="s">
        <v>22</v>
      </c>
      <c r="E68" s="428" t="s">
        <v>74</v>
      </c>
      <c r="F68" s="421">
        <v>50</v>
      </c>
      <c r="G68" s="519" t="e">
        <f t="shared" si="2"/>
        <v>#VALUE!</v>
      </c>
      <c r="H68" s="963" t="e">
        <f>IF(C68=MAX($C$59,$C$62,$C$66,$C$67,$C$68),"",C68)</f>
        <v>#DIV/0!</v>
      </c>
      <c r="J68" s="452" t="e">
        <f>G70^4/((C59^4/F59)+(C62^4/F62)+(C66^4/F66)+(C67^4/F67)+(C68^4/F68))</f>
        <v>#DIV/0!</v>
      </c>
      <c r="K68" s="453" t="e">
        <f>TINV(0.05,J68)</f>
        <v>#DIV/0!</v>
      </c>
      <c r="L68" s="850" t="e">
        <f>1-TDIST(K68,J68,2)</f>
        <v>#DIV/0!</v>
      </c>
      <c r="Q68" s="464"/>
    </row>
    <row r="69" spans="1:21" s="92" customFormat="1" ht="51.75" customHeight="1" thickBot="1" x14ac:dyDescent="0.25">
      <c r="C69" s="431"/>
      <c r="G69" s="867" t="e">
        <f>SUM(G59,G62,G66,G67,G68)</f>
        <v>#VALUE!</v>
      </c>
      <c r="J69" s="41"/>
      <c r="P69" s="41"/>
      <c r="Q69" s="465"/>
      <c r="S69" s="41"/>
      <c r="T69" s="41"/>
      <c r="U69" s="41"/>
    </row>
    <row r="70" spans="1:21" s="92" customFormat="1" ht="35.1" customHeight="1" thickBot="1" x14ac:dyDescent="0.3">
      <c r="D70" s="1439" t="s">
        <v>96</v>
      </c>
      <c r="E70" s="1440"/>
      <c r="F70" s="111"/>
      <c r="G70" s="116" t="e">
        <f>SQRT(SUMSQ(C59,C62,C66,C67,C68))</f>
        <v>#DIV/0!</v>
      </c>
      <c r="H70" s="113" t="s">
        <v>22</v>
      </c>
      <c r="J70" s="41"/>
      <c r="O70" s="41"/>
      <c r="P70" s="41"/>
      <c r="Q70" s="41"/>
      <c r="R70" s="41"/>
      <c r="S70" s="41"/>
      <c r="T70" s="41"/>
      <c r="U70" s="41"/>
    </row>
    <row r="71" spans="1:21" s="92" customFormat="1" ht="33.75" customHeight="1" thickBot="1" x14ac:dyDescent="0.25">
      <c r="D71" s="1439" t="s">
        <v>97</v>
      </c>
      <c r="E71" s="1440"/>
      <c r="F71" s="112"/>
      <c r="G71" s="116" t="e">
        <f>G70*2</f>
        <v>#DIV/0!</v>
      </c>
      <c r="H71" s="114" t="s">
        <v>22</v>
      </c>
      <c r="T71" s="41"/>
      <c r="U71" s="41"/>
    </row>
    <row r="72" spans="1:21" s="92" customFormat="1" ht="35.1" customHeight="1" thickBot="1" x14ac:dyDescent="0.25">
      <c r="B72" s="1444" t="s">
        <v>98</v>
      </c>
      <c r="C72" s="1445"/>
      <c r="D72" s="1445"/>
      <c r="E72" s="1445"/>
      <c r="F72" s="1445"/>
      <c r="G72" s="1445"/>
      <c r="H72" s="1445"/>
      <c r="I72" s="1445"/>
      <c r="J72" s="1445"/>
      <c r="K72" s="1446"/>
      <c r="T72" s="41"/>
      <c r="U72" s="41"/>
    </row>
    <row r="73" spans="1:21" s="92" customFormat="1" ht="40.5" customHeight="1" thickBot="1" x14ac:dyDescent="0.25">
      <c r="B73" s="1457" t="s">
        <v>99</v>
      </c>
      <c r="C73" s="1458"/>
      <c r="D73" s="1458"/>
      <c r="E73" s="1459"/>
      <c r="F73" s="69"/>
      <c r="G73" s="70"/>
      <c r="H73" s="1460"/>
      <c r="I73" s="1461"/>
      <c r="J73" s="1461"/>
      <c r="K73" s="1462"/>
      <c r="T73" s="41"/>
      <c r="U73" s="41"/>
    </row>
    <row r="74" spans="1:21" s="92" customFormat="1" ht="35.1" customHeight="1" x14ac:dyDescent="0.2">
      <c r="B74" s="1062"/>
      <c r="C74" s="207" t="s">
        <v>100</v>
      </c>
      <c r="D74" s="99" t="s">
        <v>101</v>
      </c>
      <c r="E74" s="100"/>
      <c r="F74" s="1463"/>
      <c r="G74" s="1463"/>
      <c r="H74" s="1464" t="s">
        <v>102</v>
      </c>
      <c r="I74" s="1467" t="s">
        <v>103</v>
      </c>
      <c r="J74" s="1467"/>
      <c r="K74" s="1468"/>
      <c r="O74" s="41"/>
      <c r="P74" s="41"/>
      <c r="Q74" s="41"/>
      <c r="R74" s="41"/>
      <c r="S74" s="41"/>
      <c r="T74" s="41"/>
      <c r="U74" s="41"/>
    </row>
    <row r="75" spans="1:21" s="92" customFormat="1" ht="35.1" customHeight="1" x14ac:dyDescent="0.2">
      <c r="B75" s="399" t="e">
        <f>C10</f>
        <v>#N/A</v>
      </c>
      <c r="C75" s="67" t="e">
        <f>C11</f>
        <v>#N/A</v>
      </c>
      <c r="D75" s="68" t="e">
        <f>H54</f>
        <v>#DIV/0!</v>
      </c>
      <c r="E75" s="406" t="e">
        <f>B75+(C75/1000)+(D75/1000)</f>
        <v>#N/A</v>
      </c>
      <c r="F75" s="174" t="e">
        <f>E75*1000-B75*1000</f>
        <v>#N/A</v>
      </c>
      <c r="G75" s="52"/>
      <c r="H75" s="1465"/>
      <c r="I75" s="1243" t="e">
        <f>ROUNDUP(G70*K68,2-1-INT(LOG10(ABS(G70*K68))))</f>
        <v>#DIV/0!</v>
      </c>
      <c r="J75" s="1469"/>
      <c r="K75" s="1470"/>
      <c r="O75" s="41"/>
      <c r="P75" s="41"/>
      <c r="Q75" s="41"/>
      <c r="R75" s="41"/>
      <c r="S75" s="41"/>
      <c r="T75" s="41"/>
      <c r="U75" s="41"/>
    </row>
    <row r="76" spans="1:21" s="92" customFormat="1" ht="35.1" customHeight="1" thickBot="1" x14ac:dyDescent="0.25">
      <c r="B76" s="400" t="e">
        <f>B75</f>
        <v>#N/A</v>
      </c>
      <c r="C76" s="76" t="e">
        <f>C75</f>
        <v>#N/A</v>
      </c>
      <c r="D76" s="76" t="e">
        <f>D75</f>
        <v>#DIV/0!</v>
      </c>
      <c r="E76" s="173" t="e">
        <f>B76+(C76/1000)+(D76/1000)</f>
        <v>#N/A</v>
      </c>
      <c r="F76" s="160" t="e">
        <f>F75/1000</f>
        <v>#N/A</v>
      </c>
      <c r="G76" s="77"/>
      <c r="H76" s="1466"/>
      <c r="I76" s="159" t="e">
        <f>I75/1000</f>
        <v>#DIV/0!</v>
      </c>
      <c r="J76" s="1471"/>
      <c r="K76" s="1472"/>
      <c r="O76" s="41"/>
      <c r="P76" s="41"/>
      <c r="Q76" s="41"/>
      <c r="R76" s="41"/>
      <c r="S76" s="41"/>
      <c r="T76" s="41"/>
      <c r="U76" s="41"/>
    </row>
    <row r="77" spans="1:21" s="92" customFormat="1" ht="35.1" customHeight="1" x14ac:dyDescent="0.2">
      <c r="G77" s="42"/>
      <c r="H77" s="42"/>
      <c r="I77" s="42"/>
      <c r="J77" s="42"/>
      <c r="O77" s="41"/>
      <c r="P77" s="41"/>
      <c r="Q77" s="41"/>
      <c r="R77" s="41"/>
      <c r="S77" s="41"/>
      <c r="T77" s="41"/>
      <c r="U77" s="41"/>
    </row>
    <row r="78" spans="1:21" s="92" customFormat="1" ht="35.1" customHeight="1" x14ac:dyDescent="0.2">
      <c r="G78" s="42"/>
      <c r="H78" s="42"/>
      <c r="I78" s="42"/>
      <c r="J78" s="42"/>
    </row>
    <row r="79" spans="1:21" s="92" customFormat="1" ht="9.9499999999999993" customHeight="1" x14ac:dyDescent="0.2">
      <c r="A79" s="94"/>
      <c r="G79" s="42"/>
      <c r="H79" s="42"/>
    </row>
    <row r="80" spans="1:21" s="92" customFormat="1" ht="35.1" customHeight="1" x14ac:dyDescent="0.2"/>
    <row r="81" spans="6:10" s="92" customFormat="1" ht="61.5" customHeight="1" x14ac:dyDescent="0.2"/>
    <row r="82" spans="6:10" s="92" customFormat="1" ht="35.1" customHeight="1" x14ac:dyDescent="0.2"/>
    <row r="83" spans="6:10" s="92" customFormat="1" ht="35.1" customHeight="1" x14ac:dyDescent="0.2"/>
    <row r="84" spans="6:10" s="92" customFormat="1" ht="35.1" customHeight="1" x14ac:dyDescent="0.2"/>
    <row r="85" spans="6:10" s="92" customFormat="1" ht="50.1" customHeight="1" x14ac:dyDescent="0.2"/>
    <row r="86" spans="6:10" s="92" customFormat="1" ht="57.75" customHeight="1" x14ac:dyDescent="0.2"/>
    <row r="87" spans="6:10" s="92" customFormat="1" ht="35.1" customHeight="1" x14ac:dyDescent="0.2"/>
    <row r="88" spans="6:10" s="92" customFormat="1" ht="35.1" customHeight="1" x14ac:dyDescent="0.2">
      <c r="F88" s="93"/>
      <c r="G88" s="93"/>
      <c r="H88" s="93"/>
      <c r="I88" s="93"/>
      <c r="J88" s="93"/>
    </row>
    <row r="89" spans="6:10" s="92" customFormat="1" ht="35.1" customHeight="1" x14ac:dyDescent="0.2"/>
    <row r="90" spans="6:10" s="92" customFormat="1" ht="50.1" customHeight="1" x14ac:dyDescent="0.2">
      <c r="J90" s="42"/>
    </row>
    <row r="91" spans="6:10" s="92" customFormat="1" ht="55.5" customHeight="1" x14ac:dyDescent="0.2"/>
    <row r="92" spans="6:10" s="92" customFormat="1" ht="50.1" customHeight="1" x14ac:dyDescent="0.2"/>
    <row r="93" spans="6:10" s="92" customFormat="1" ht="31.5" customHeight="1" x14ac:dyDescent="0.2"/>
    <row r="94" spans="6:10" s="92" customFormat="1" ht="35.1" customHeight="1" x14ac:dyDescent="0.2"/>
    <row r="95" spans="6:10" s="92" customFormat="1" ht="35.1" customHeight="1" x14ac:dyDescent="0.2"/>
    <row r="96" spans="6:10" s="92" customFormat="1" ht="9.9499999999999993" customHeight="1" x14ac:dyDescent="0.2">
      <c r="G96" s="93"/>
      <c r="H96" s="93"/>
      <c r="I96" s="93"/>
      <c r="J96" s="93"/>
    </row>
    <row r="97" spans="1:12" s="92" customFormat="1" ht="35.1" customHeight="1" x14ac:dyDescent="0.2">
      <c r="J97" s="93"/>
      <c r="K97" s="93"/>
      <c r="L97" s="93"/>
    </row>
    <row r="98" spans="1:12" s="41" customFormat="1" ht="15" customHeight="1" x14ac:dyDescent="0.2">
      <c r="A98" s="42"/>
      <c r="G98" s="42"/>
      <c r="H98" s="42"/>
      <c r="I98" s="42"/>
      <c r="J98" s="42"/>
    </row>
    <row r="99" spans="1:12" s="41" customFormat="1" ht="31.5" customHeight="1" x14ac:dyDescent="0.2">
      <c r="A99" s="42"/>
      <c r="B99" s="42"/>
      <c r="C99" s="42"/>
      <c r="D99" s="42"/>
      <c r="E99" s="42"/>
      <c r="F99" s="42"/>
      <c r="G99" s="42"/>
      <c r="H99" s="42"/>
      <c r="I99" s="42"/>
      <c r="J99" s="42"/>
    </row>
    <row r="100" spans="1:12" s="41" customFormat="1" ht="31.5" customHeight="1" x14ac:dyDescent="0.2"/>
    <row r="101" spans="1:12" s="41" customFormat="1" ht="31.5" customHeight="1" x14ac:dyDescent="0.2"/>
    <row r="102" spans="1:12" s="41" customFormat="1" ht="52.5" customHeight="1" x14ac:dyDescent="0.2"/>
    <row r="103" spans="1:12" s="41" customFormat="1" ht="31.5" customHeight="1" x14ac:dyDescent="0.2">
      <c r="K103" s="8"/>
    </row>
    <row r="104" spans="1:12" s="41" customFormat="1" ht="31.5" customHeight="1" x14ac:dyDescent="0.2">
      <c r="K104" s="8"/>
    </row>
    <row r="105" spans="1:12" ht="31.5" customHeight="1" x14ac:dyDescent="0.2">
      <c r="G105" s="66"/>
    </row>
    <row r="106"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28:A31"/>
    <mergeCell ref="C33:D33"/>
    <mergeCell ref="F33:G33"/>
    <mergeCell ref="A46:J46"/>
    <mergeCell ref="A47:B48"/>
    <mergeCell ref="C47:E47"/>
    <mergeCell ref="G48:H48"/>
    <mergeCell ref="B38:E38"/>
    <mergeCell ref="H38:M38"/>
    <mergeCell ref="H39:M39"/>
    <mergeCell ref="H40:M42"/>
    <mergeCell ref="A36:N36"/>
    <mergeCell ref="B73:E73"/>
    <mergeCell ref="H73:K73"/>
    <mergeCell ref="F74:G74"/>
    <mergeCell ref="H74:H76"/>
    <mergeCell ref="I74:K74"/>
    <mergeCell ref="J75:K75"/>
    <mergeCell ref="J76:K76"/>
    <mergeCell ref="D53:E53"/>
    <mergeCell ref="H53:I53"/>
    <mergeCell ref="D70:E70"/>
    <mergeCell ref="D71:E71"/>
    <mergeCell ref="B72:K72"/>
    <mergeCell ref="A56:J56"/>
    <mergeCell ref="A58:B58"/>
    <mergeCell ref="C58:D58"/>
    <mergeCell ref="E58:F58"/>
    <mergeCell ref="I60:N60"/>
    <mergeCell ref="A50:B50"/>
    <mergeCell ref="G50:H50"/>
    <mergeCell ref="A52:J52"/>
    <mergeCell ref="G49:H49"/>
    <mergeCell ref="A49:B49"/>
  </mergeCells>
  <conditionalFormatting sqref="G59 G62 G66:G68">
    <cfRule type="cellIs" dxfId="130" priority="2"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'DATOS &lt;'!$B$7:$B$40</xm:f>
          </x14:formula1>
          <xm:sqref>I3:J4</xm:sqref>
        </x14:dataValidation>
        <x14:dataValidation type="list" allowBlank="1" showInputMessage="1" showErrorMessage="1" xr:uid="{00000000-0002-0000-0C00-000001000000}">
          <x14:formula1>
            <xm:f>'DATOS &lt;'!$N$82:$N$134</xm:f>
          </x14:formula1>
          <xm:sqref>E6</xm:sqref>
        </x14:dataValidation>
        <x14:dataValidation type="list" allowBlank="1" showInputMessage="1" showErrorMessage="1" xr:uid="{00000000-0002-0000-0C00-000002000000}">
          <x14:formula1>
            <xm:f>'DATOS &lt;'!$N$142:$N$164</xm:f>
          </x14:formula1>
          <xm:sqref>F48</xm:sqref>
        </x14:dataValidation>
        <x14:dataValidation type="list" allowBlank="1" showInputMessage="1" showErrorMessage="1" xr:uid="{00000000-0002-0000-0C00-000003000000}">
          <x14:formula1>
            <xm:f>'DATOS &lt;'!$B$118:$B$124</xm:f>
          </x14:formula1>
          <xm:sqref>J13</xm:sqref>
        </x14:dataValidation>
        <x14:dataValidation type="list" allowBlank="1" showInputMessage="1" showErrorMessage="1" xr:uid="{00000000-0002-0000-0C00-000004000000}">
          <x14:formula1>
            <xm:f>'DATOS &lt;'!$B$131:$B$135</xm:f>
          </x14:formula1>
          <xm:sqref>I26</xm:sqref>
        </x14:dataValidation>
        <x14:dataValidation type="list" allowBlank="1" showInputMessage="1" showErrorMessage="1" xr:uid="{00000000-0002-0000-0C00-000005000000}">
          <x14:formula1>
            <xm:f>'DATOS &lt;'!$I$202:$I$205</xm:f>
          </x14:formula1>
          <xm:sqref>J19:J20</xm:sqref>
        </x14:dataValidation>
        <x14:dataValidation type="list" allowBlank="1" showInputMessage="1" showErrorMessage="1" xr:uid="{00000000-0002-0000-0C00-000006000000}">
          <x14:formula1>
            <xm:f>'DATOS &lt;'!$I$129:$I$130</xm:f>
          </x14:formula1>
          <xm:sqref>N39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5">
    <tabColor rgb="FF92D050"/>
  </sheetPr>
  <dimension ref="A1:U107"/>
  <sheetViews>
    <sheetView showGridLines="0" tabSelected="1" view="pageBreakPreview" topLeftCell="A14" zoomScale="60" zoomScaleNormal="60" workbookViewId="0">
      <selection activeCell="B33" sqref="B33"/>
    </sheetView>
  </sheetViews>
  <sheetFormatPr baseColWidth="10" defaultColWidth="11.42578125" defaultRowHeight="31.5" customHeight="1" x14ac:dyDescent="0.2"/>
  <cols>
    <col min="1" max="1" width="16.7109375" style="598" customWidth="1"/>
    <col min="2" max="2" width="19"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5.85546875" style="598" customWidth="1"/>
    <col min="10" max="10" width="13.7109375" style="598" customWidth="1"/>
    <col min="11" max="11" width="13.28515625" style="581" customWidth="1"/>
    <col min="12" max="12" width="12.7109375" style="581" customWidth="1"/>
    <col min="13"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821">
        <f>I3</f>
        <v>0</v>
      </c>
    </row>
    <row r="7" spans="1:16" ht="31.5" customHeight="1" x14ac:dyDescent="0.2">
      <c r="A7" s="592" t="s">
        <v>11</v>
      </c>
      <c r="B7" s="593" t="e">
        <f>VLOOKUP($E$6,'DATOS &lt;'!N25:V134,2,FALSE)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600" t="e">
        <f>VLOOKUP($E$6,'DATOS &lt;'!N27:AC134,8,FALSE)</f>
        <v>#N/A</v>
      </c>
      <c r="D10" s="602" t="s">
        <v>17</v>
      </c>
      <c r="F10" s="1354" t="s">
        <v>19</v>
      </c>
      <c r="G10" s="1355"/>
      <c r="H10" s="610" t="e">
        <f>VLOOKUP($J$6,'DATOS &lt;'!B47:I79,7,FALSE)</f>
        <v>#N/A</v>
      </c>
      <c r="I10" s="602" t="s">
        <v>26</v>
      </c>
      <c r="J10" s="611"/>
    </row>
    <row r="11" spans="1:16" s="609" customFormat="1" ht="31.5" customHeight="1" thickBot="1" x14ac:dyDescent="0.3">
      <c r="A11" s="1354" t="s">
        <v>21</v>
      </c>
      <c r="B11" s="1355"/>
      <c r="C11" s="835" t="e">
        <f>VLOOKUP($E$6,'DATOS &lt;'!N27:AC134,10,FALSE)</f>
        <v>#N/A</v>
      </c>
      <c r="D11" s="602" t="s">
        <v>22</v>
      </c>
      <c r="E11" s="612"/>
      <c r="F11" s="1384" t="s">
        <v>23</v>
      </c>
      <c r="G11" s="1385"/>
      <c r="H11" s="613" t="e">
        <f>VLOOKUP($J$6,'DATOS &lt;'!B47:I79,8,FALSE)</f>
        <v>#N/A</v>
      </c>
      <c r="I11" s="614" t="s">
        <v>26</v>
      </c>
      <c r="J11" s="611"/>
    </row>
    <row r="12" spans="1:16" s="609" customFormat="1" ht="31.5" customHeight="1" thickBot="1" x14ac:dyDescent="0.3">
      <c r="A12" s="1354" t="s">
        <v>24</v>
      </c>
      <c r="B12" s="1355"/>
      <c r="C12" s="835" t="e">
        <f>VLOOKUP($E$6,'DATOS &lt;'!N27:AC134,12,FALSE)</f>
        <v>#N/A</v>
      </c>
      <c r="D12" s="602" t="s">
        <v>22</v>
      </c>
      <c r="E12" s="611"/>
      <c r="F12" s="611"/>
      <c r="G12" s="611"/>
      <c r="H12" s="611"/>
    </row>
    <row r="13" spans="1:16" s="609" customFormat="1" ht="31.5" customHeight="1" thickBot="1" x14ac:dyDescent="0.3">
      <c r="A13" s="1354" t="s">
        <v>25</v>
      </c>
      <c r="B13" s="1355"/>
      <c r="C13" s="610" t="e">
        <f>VLOOKUP($E$6,'DATOS &lt;'!N27:AC134,13,FALSE)</f>
        <v>#N/A</v>
      </c>
      <c r="D13" s="602" t="s">
        <v>26</v>
      </c>
      <c r="E13" s="611"/>
      <c r="F13" s="1386" t="s">
        <v>27</v>
      </c>
      <c r="G13" s="1387"/>
      <c r="H13" s="1387"/>
      <c r="I13" s="1388"/>
      <c r="J13" s="5"/>
    </row>
    <row r="14" spans="1:16" s="609" customFormat="1" ht="31.5" customHeight="1" x14ac:dyDescent="0.2">
      <c r="A14" s="1354" t="s">
        <v>28</v>
      </c>
      <c r="B14" s="1355"/>
      <c r="C14" s="600" t="e">
        <f>VLOOKUP($E$6,'DATOS &lt;'!N27:AC134,14,FALSE)</f>
        <v>#N/A</v>
      </c>
      <c r="D14" s="602" t="s">
        <v>26</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&lt;'!N27:AC134,15,FALSE)</f>
        <v>#N/A</v>
      </c>
      <c r="D15" s="602" t="s">
        <v>26</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&lt;'!N27:AC134,16,FALSE)</f>
        <v>#N/A</v>
      </c>
      <c r="D16" s="1533"/>
      <c r="F16" s="581"/>
      <c r="G16" s="581"/>
      <c r="H16" s="581"/>
      <c r="I16" s="581"/>
      <c r="J16" s="581"/>
    </row>
    <row r="17" spans="1:14" ht="30.95" customHeight="1" x14ac:dyDescent="0.2"/>
    <row r="18" spans="1:14" ht="31.5" customHeight="1" thickBot="1" x14ac:dyDescent="0.25">
      <c r="A18" s="1424" t="s">
        <v>32</v>
      </c>
      <c r="B18" s="1425"/>
      <c r="C18" s="1425"/>
      <c r="D18" s="1425"/>
      <c r="E18" s="1425"/>
      <c r="F18" s="1425"/>
      <c r="G18" s="1425"/>
      <c r="H18" s="1425"/>
      <c r="I18" s="1425"/>
      <c r="J18" s="1425"/>
      <c r="K18" s="1425"/>
      <c r="L18" s="1425"/>
      <c r="M18" s="1425"/>
      <c r="N18" s="1425"/>
    </row>
    <row r="19" spans="1:14"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42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x14ac:dyDescent="0.2">
      <c r="A22" s="1534" t="s">
        <v>39</v>
      </c>
      <c r="B22" s="1535"/>
      <c r="C22" s="1535"/>
      <c r="D22" s="1535"/>
      <c r="E22" s="1535"/>
      <c r="F22" s="1535"/>
      <c r="G22" s="1535"/>
      <c r="H22" s="1535"/>
      <c r="I22" s="1535"/>
      <c r="J22" s="1535"/>
      <c r="K22" s="1535"/>
      <c r="L22" s="1535"/>
      <c r="M22" s="1535"/>
      <c r="N22" s="1536"/>
    </row>
    <row r="23" spans="1:14" s="626" customFormat="1" ht="2.25" customHeight="1" thickBot="1" x14ac:dyDescent="0.25">
      <c r="A23" s="1537"/>
      <c r="B23" s="1538"/>
      <c r="C23" s="1538"/>
      <c r="D23" s="1538"/>
      <c r="E23" s="1538"/>
      <c r="F23" s="1538"/>
      <c r="G23" s="1538"/>
      <c r="H23" s="1538"/>
      <c r="I23" s="1538"/>
      <c r="J23" s="1538"/>
      <c r="K23" s="1538"/>
      <c r="L23" s="1538"/>
      <c r="M23" s="1538"/>
      <c r="N23" s="1539"/>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635">
        <v>3</v>
      </c>
      <c r="C26" s="1378" t="s">
        <v>42</v>
      </c>
      <c r="D26" s="1379"/>
      <c r="E26" s="1380"/>
      <c r="F26" s="626"/>
      <c r="H26" s="626"/>
      <c r="I26" s="6"/>
    </row>
    <row r="27" spans="1:14" s="627" customFormat="1" ht="31.5" customHeight="1" thickBot="1" x14ac:dyDescent="0.25">
      <c r="A27" s="1356" t="s">
        <v>43</v>
      </c>
      <c r="B27" s="1357"/>
      <c r="C27" s="635">
        <v>1</v>
      </c>
      <c r="D27" s="635">
        <v>2</v>
      </c>
      <c r="E27" s="636">
        <v>3</v>
      </c>
      <c r="F27" s="626"/>
      <c r="H27" s="1376" t="s">
        <v>44</v>
      </c>
      <c r="I27" s="1377"/>
    </row>
    <row r="28" spans="1:14" s="627" customFormat="1" ht="31.5" customHeight="1" thickBot="1" x14ac:dyDescent="0.25">
      <c r="A28" s="1381" t="s">
        <v>45</v>
      </c>
      <c r="B28" s="645" t="s">
        <v>46</v>
      </c>
      <c r="C28" s="118"/>
      <c r="D28" s="118"/>
      <c r="E28" s="119"/>
      <c r="F28" s="626"/>
      <c r="G28" s="626"/>
      <c r="H28" s="1358" t="e">
        <f>VLOOKUP($I$26,'DATOS &lt;'!$B$131:$G$135,2,FALSE)</f>
        <v>#N/A</v>
      </c>
      <c r="I28" s="1359"/>
    </row>
    <row r="29" spans="1:14" s="627" customFormat="1" ht="31.5" customHeight="1" x14ac:dyDescent="0.2">
      <c r="A29" s="1382"/>
      <c r="B29" s="790" t="s">
        <v>47</v>
      </c>
      <c r="C29" s="107"/>
      <c r="D29" s="107"/>
      <c r="E29" s="108"/>
      <c r="F29" s="626"/>
      <c r="G29" s="626"/>
      <c r="H29" s="626"/>
      <c r="I29" s="626"/>
    </row>
    <row r="30" spans="1:14" s="627" customFormat="1" ht="31.5" customHeight="1" x14ac:dyDescent="0.2">
      <c r="A30" s="1382"/>
      <c r="B30" s="790" t="s">
        <v>47</v>
      </c>
      <c r="C30" s="107"/>
      <c r="D30" s="107"/>
      <c r="E30" s="108"/>
      <c r="F30" s="626"/>
      <c r="G30" s="626"/>
      <c r="H30" s="626"/>
      <c r="I30" s="626"/>
      <c r="J30" s="626"/>
    </row>
    <row r="31" spans="1:14" s="627" customFormat="1" ht="31.5" customHeight="1" thickBot="1" x14ac:dyDescent="0.25">
      <c r="A31" s="1383"/>
      <c r="B31" s="791" t="s">
        <v>46</v>
      </c>
      <c r="C31" s="120"/>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765" t="e">
        <f>AVERAGE(C28,C31)</f>
        <v>#DIV/0!</v>
      </c>
      <c r="D40" s="766" t="e">
        <f>AVERAGE(D28,D31)</f>
        <v>#DIV/0!</v>
      </c>
      <c r="E40" s="767" t="e">
        <f>AVERAGE(E28,E31)</f>
        <v>#DIV/0!</v>
      </c>
      <c r="F40" s="626"/>
      <c r="G40" s="626"/>
      <c r="H40" s="1320" t="s">
        <v>532</v>
      </c>
      <c r="I40" s="1321"/>
      <c r="J40" s="1321"/>
      <c r="K40" s="1321"/>
      <c r="L40" s="1321"/>
      <c r="M40" s="1322"/>
    </row>
    <row r="41" spans="1:14" s="627" customFormat="1" ht="31.5" customHeight="1" x14ac:dyDescent="0.2">
      <c r="A41" s="647"/>
      <c r="B41" s="652"/>
      <c r="C41" s="768" t="e">
        <f>AVERAGE(C29:C30)</f>
        <v>#DIV/0!</v>
      </c>
      <c r="D41" s="740" t="e">
        <f>AVERAGE(D29:D30)</f>
        <v>#DIV/0!</v>
      </c>
      <c r="E41" s="769" t="e">
        <f>AVERAGE(E29:E30)</f>
        <v>#DIV/0!</v>
      </c>
      <c r="F41" s="626"/>
      <c r="G41" s="626"/>
      <c r="H41" s="1323"/>
      <c r="I41" s="1324"/>
      <c r="J41" s="1324"/>
      <c r="K41" s="1324"/>
      <c r="L41" s="1324"/>
      <c r="M41" s="1325"/>
    </row>
    <row r="42" spans="1:14" s="627" customFormat="1" ht="31.5" customHeight="1" thickBot="1" x14ac:dyDescent="0.25">
      <c r="A42" s="647"/>
      <c r="B42" s="656"/>
      <c r="C42" s="770" t="e">
        <f>C41-C40</f>
        <v>#DIV/0!</v>
      </c>
      <c r="D42" s="771" t="e">
        <f>D41-D40</f>
        <v>#DIV/0!</v>
      </c>
      <c r="E42" s="772" t="e">
        <f>E41-E40</f>
        <v>#DIV/0!</v>
      </c>
      <c r="F42" s="626"/>
      <c r="G42" s="626"/>
      <c r="H42" s="1326"/>
      <c r="I42" s="1327"/>
      <c r="J42" s="1327"/>
      <c r="K42" s="1327"/>
      <c r="L42" s="1327"/>
      <c r="M42" s="1328"/>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822"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528" t="s">
        <v>55</v>
      </c>
      <c r="B47" s="1529"/>
      <c r="C47" s="1407" t="s">
        <v>56</v>
      </c>
      <c r="D47" s="1408"/>
      <c r="E47" s="1409"/>
      <c r="F47" s="626"/>
      <c r="G47" s="626"/>
      <c r="H47" s="626"/>
      <c r="I47" s="626"/>
      <c r="J47" s="626"/>
    </row>
    <row r="48" spans="1:14" s="627" customFormat="1" ht="36.75" customHeight="1" thickBot="1" x14ac:dyDescent="0.25">
      <c r="A48" s="1530"/>
      <c r="B48" s="1531"/>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F50" s="626"/>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823"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H58" s="868"/>
      <c r="J58" s="691"/>
      <c r="Q58" s="626"/>
      <c r="R58" s="626"/>
      <c r="S58" s="626"/>
      <c r="T58" s="626"/>
      <c r="U58" s="626"/>
    </row>
    <row r="59" spans="1:21" s="627" customFormat="1" ht="57.95" customHeight="1" thickBot="1" x14ac:dyDescent="0.25">
      <c r="A59" s="692" t="s">
        <v>73</v>
      </c>
      <c r="B59" s="693"/>
      <c r="C59" s="708" t="e">
        <f>+C44/B26^0.5*1000</f>
        <v>#DIV/0!</v>
      </c>
      <c r="D59" s="635" t="s">
        <v>22</v>
      </c>
      <c r="E59" s="421" t="s">
        <v>74</v>
      </c>
      <c r="F59" s="700">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705" t="s">
        <v>74</v>
      </c>
      <c r="F60" s="70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836" t="e">
        <f>VLOOKUP($E$6,'DATOS &lt;'!N27:AC134,11,FALSE)</f>
        <v>#N/A</v>
      </c>
      <c r="D61" s="705" t="s">
        <v>22</v>
      </c>
      <c r="E61" s="705" t="s">
        <v>79</v>
      </c>
      <c r="F61" s="705">
        <f t="shared" si="0"/>
        <v>199.99999999999997</v>
      </c>
      <c r="G61" s="518"/>
      <c r="H61" s="794" t="e">
        <f t="shared" si="1"/>
        <v>#VALUE!</v>
      </c>
      <c r="I61" s="532" t="s">
        <v>80</v>
      </c>
      <c r="J61" s="533" t="str">
        <f>IFERROR(SQRT(SUMSQ(H59,H62,H66,H67,H68))/MAX(C59,C62,C66,C67,C68),"--")</f>
        <v>--</v>
      </c>
      <c r="K61" s="824" t="str">
        <f>IF((J61)&lt;=(L59),"1,65","2")</f>
        <v>2</v>
      </c>
      <c r="L61" s="432" t="s">
        <v>81</v>
      </c>
      <c r="M61" s="433" t="s">
        <v>82</v>
      </c>
      <c r="N61" s="434" t="s">
        <v>83</v>
      </c>
    </row>
    <row r="62" spans="1:21" s="627" customFormat="1" ht="57.95" customHeight="1" thickBot="1" x14ac:dyDescent="0.3">
      <c r="A62" s="692" t="s">
        <v>84</v>
      </c>
      <c r="B62" s="707"/>
      <c r="C62" s="708" t="e">
        <f>+SQRT(SUMSQ(C60:C61))</f>
        <v>#N/A</v>
      </c>
      <c r="D62" s="635" t="s">
        <v>22</v>
      </c>
      <c r="E62" s="421" t="s">
        <v>74</v>
      </c>
      <c r="F62" s="421">
        <f t="shared" si="0"/>
        <v>199.99999999999997</v>
      </c>
      <c r="G62" s="519" t="e">
        <f t="shared" ref="G62:G68" si="2">IFERROR(C62/$G$70,"--")^2</f>
        <v>#VALUE!</v>
      </c>
      <c r="H62" s="792" t="e">
        <f>IF(C62=MAX($C$59,$C$62,$C$66,$C$67,$C$68),"",C62)</f>
        <v>#N/A</v>
      </c>
      <c r="L62" s="529" t="s">
        <v>81</v>
      </c>
      <c r="M62" s="530" t="s">
        <v>85</v>
      </c>
      <c r="N62" s="531" t="s">
        <v>86</v>
      </c>
    </row>
    <row r="63" spans="1:21" s="627" customFormat="1" ht="57.95" customHeight="1" thickBot="1" x14ac:dyDescent="0.25">
      <c r="A63" s="697" t="s">
        <v>87</v>
      </c>
      <c r="B63" s="698"/>
      <c r="C63" s="709" t="e">
        <f>+I49</f>
        <v>#DIV/0!</v>
      </c>
      <c r="D63" s="699" t="s">
        <v>58</v>
      </c>
      <c r="E63" s="699" t="s">
        <v>74</v>
      </c>
      <c r="F63" s="699">
        <f t="shared" si="0"/>
        <v>199.99999999999997</v>
      </c>
      <c r="G63" s="518"/>
      <c r="H63" s="794" t="e">
        <f t="shared" si="1"/>
        <v>#VALUE!</v>
      </c>
    </row>
    <row r="64" spans="1:21" s="627" customFormat="1" ht="57.95" customHeight="1" thickBot="1" x14ac:dyDescent="0.25">
      <c r="A64" s="710" t="s">
        <v>88</v>
      </c>
      <c r="B64" s="711"/>
      <c r="C64" s="712" t="e">
        <f>+H11/2</f>
        <v>#N/A</v>
      </c>
      <c r="D64" s="713" t="s">
        <v>58</v>
      </c>
      <c r="E64" s="699" t="s">
        <v>74</v>
      </c>
      <c r="F64" s="699">
        <f t="shared" si="0"/>
        <v>199.99999999999997</v>
      </c>
      <c r="G64" s="518"/>
      <c r="H64" s="794" t="e">
        <f t="shared" si="1"/>
        <v>#VALUE!</v>
      </c>
      <c r="P64" s="581"/>
      <c r="Q64" s="626"/>
      <c r="R64" s="626"/>
      <c r="S64" s="626"/>
      <c r="T64" s="626"/>
      <c r="U64" s="626"/>
    </row>
    <row r="65" spans="1:21" s="627" customFormat="1" ht="57.95" customHeight="1" thickBot="1" x14ac:dyDescent="0.25">
      <c r="A65" s="702" t="s">
        <v>89</v>
      </c>
      <c r="B65" s="714"/>
      <c r="C65" s="715" t="e">
        <f>+C14/2</f>
        <v>#N/A</v>
      </c>
      <c r="D65" s="705" t="s">
        <v>58</v>
      </c>
      <c r="E65" s="699" t="s">
        <v>74</v>
      </c>
      <c r="F65" s="699">
        <f t="shared" si="0"/>
        <v>199.99999999999997</v>
      </c>
      <c r="G65" s="518"/>
      <c r="H65" s="794" t="e">
        <f t="shared" si="1"/>
        <v>#VALUE!</v>
      </c>
      <c r="P65" s="581"/>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421">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692" t="s">
        <v>91</v>
      </c>
      <c r="B67" s="707"/>
      <c r="C67" s="694" t="e">
        <f>+(G15/2/3^0.5)*2^0.5*1000</f>
        <v>#N/A</v>
      </c>
      <c r="D67" s="716" t="s">
        <v>22</v>
      </c>
      <c r="E67" s="421" t="s">
        <v>79</v>
      </c>
      <c r="F67" s="421">
        <f t="shared" si="0"/>
        <v>199.99999999999997</v>
      </c>
      <c r="G67" s="519" t="e">
        <f t="shared" si="2"/>
        <v>#VALUE!</v>
      </c>
      <c r="H67" s="792" t="e">
        <f>IF(C67=MAX($C$59,$C$62,$C$66,$C$67,$C$68),"",C67)</f>
        <v>#N/A</v>
      </c>
      <c r="J67" s="521" t="s">
        <v>92</v>
      </c>
      <c r="K67" s="521" t="s">
        <v>93</v>
      </c>
      <c r="L67" s="521" t="s">
        <v>94</v>
      </c>
    </row>
    <row r="68" spans="1:21" s="627" customFormat="1" ht="65.25" customHeight="1" thickBot="1" x14ac:dyDescent="0.3">
      <c r="A68" s="692" t="s">
        <v>95</v>
      </c>
      <c r="B68" s="707"/>
      <c r="C68" s="825">
        <f>0.37/SQRT(45)</f>
        <v>5.5156343444994808E-2</v>
      </c>
      <c r="D68" s="716" t="s">
        <v>22</v>
      </c>
      <c r="E68" s="421" t="s">
        <v>74</v>
      </c>
      <c r="F68" s="115">
        <v>50</v>
      </c>
      <c r="G68" s="519" t="e">
        <f t="shared" si="2"/>
        <v>#VALUE!</v>
      </c>
      <c r="H68" s="792" t="e">
        <f>IF(C68=MAX($C$59,$C$62,$C$66,$C$67,$C$68),"",C68)</f>
        <v>#DIV/0!</v>
      </c>
      <c r="J68" s="522" t="e">
        <f>(G70^4/((C59^4/F59)+(C62^4/F62)+(C66^4/F66)+(C67^4/F67)+(C68^4/F68)))</f>
        <v>#DIV/0!</v>
      </c>
      <c r="K68" s="523" t="e">
        <f>(_xlfn.T.INV.2T(0.05,J68))</f>
        <v>#DIV/0!</v>
      </c>
      <c r="L68" s="524" t="e">
        <f>(1-_xlfn.T.DIST.2T(K68,J68))</f>
        <v>#DIV/0!</v>
      </c>
    </row>
    <row r="69" spans="1:21" s="627" customFormat="1" ht="65.25" customHeight="1" thickBot="1" x14ac:dyDescent="0.25">
      <c r="F69" s="826"/>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339" t="s">
        <v>103</v>
      </c>
      <c r="J74" s="1339"/>
      <c r="K74" s="1340"/>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37"/>
      <c r="I75" s="1281"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38"/>
      <c r="I76" s="761"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selectLockedCells="1"/>
  <mergeCells count="63">
    <mergeCell ref="A50:B50"/>
    <mergeCell ref="G50:H50"/>
    <mergeCell ref="J19:J20"/>
    <mergeCell ref="B38:E38"/>
    <mergeCell ref="H38:M38"/>
    <mergeCell ref="H39:M39"/>
    <mergeCell ref="H40:M42"/>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 ref="A12:B12"/>
    <mergeCell ref="A27:B27"/>
    <mergeCell ref="H28:I28"/>
    <mergeCell ref="A14:B14"/>
    <mergeCell ref="A15:B15"/>
    <mergeCell ref="A20:B20"/>
    <mergeCell ref="E20:F20"/>
    <mergeCell ref="C24:D24"/>
    <mergeCell ref="F24:G24"/>
    <mergeCell ref="H27:I27"/>
    <mergeCell ref="A16:B16"/>
    <mergeCell ref="C16:D16"/>
    <mergeCell ref="F19:G19"/>
    <mergeCell ref="C26:E26"/>
    <mergeCell ref="A18:N18"/>
    <mergeCell ref="A22:N23"/>
    <mergeCell ref="F9:G9"/>
    <mergeCell ref="A10:B10"/>
    <mergeCell ref="F10:G10"/>
    <mergeCell ref="A11:B11"/>
    <mergeCell ref="F11:G11"/>
    <mergeCell ref="A1:B1"/>
    <mergeCell ref="C1:M1"/>
    <mergeCell ref="I3:J4"/>
    <mergeCell ref="A6:D6"/>
    <mergeCell ref="F6:I6"/>
    <mergeCell ref="A56:N56"/>
    <mergeCell ref="A13:B13"/>
    <mergeCell ref="F13:I13"/>
    <mergeCell ref="A28:A31"/>
    <mergeCell ref="C33:D33"/>
    <mergeCell ref="F33:G33"/>
    <mergeCell ref="C47:E47"/>
    <mergeCell ref="G48:H48"/>
    <mergeCell ref="A49:B49"/>
    <mergeCell ref="G49:H49"/>
    <mergeCell ref="D53:E53"/>
    <mergeCell ref="H53:I53"/>
    <mergeCell ref="A36:N36"/>
    <mergeCell ref="A46:N46"/>
    <mergeCell ref="A52:N52"/>
    <mergeCell ref="A47:B48"/>
  </mergeCells>
  <conditionalFormatting sqref="G59 G62 G66:G68">
    <cfRule type="cellIs" dxfId="12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D00-000000000000}">
          <x14:formula1>
            <xm:f>'DATOS &lt;'!$B$7:$B$40</xm:f>
          </x14:formula1>
          <xm:sqref>I3:J4</xm:sqref>
        </x14:dataValidation>
        <x14:dataValidation type="list" allowBlank="1" showInputMessage="1" showErrorMessage="1" xr:uid="{00000000-0002-0000-0D00-000001000000}">
          <x14:formula1>
            <xm:f>'DATOS &lt;'!$N$25:$N$134</xm:f>
          </x14:formula1>
          <xm:sqref>E6</xm:sqref>
        </x14:dataValidation>
        <x14:dataValidation type="list" allowBlank="1" showInputMessage="1" showErrorMessage="1" xr:uid="{00000000-0002-0000-0D00-000002000000}">
          <x14:formula1>
            <xm:f>'DATOS &lt;'!$N$142:$N$164</xm:f>
          </x14:formula1>
          <xm:sqref>F48</xm:sqref>
        </x14:dataValidation>
        <x14:dataValidation type="list" allowBlank="1" showInputMessage="1" showErrorMessage="1" xr:uid="{00000000-0002-0000-0D00-000003000000}">
          <x14:formula1>
            <xm:f>'DATOS &lt;'!$B$118:$B$124</xm:f>
          </x14:formula1>
          <xm:sqref>J13</xm:sqref>
        </x14:dataValidation>
        <x14:dataValidation type="list" allowBlank="1" showInputMessage="1" showErrorMessage="1" xr:uid="{00000000-0002-0000-0D00-000004000000}">
          <x14:formula1>
            <xm:f>'DATOS &lt;'!$B$131:$B$135</xm:f>
          </x14:formula1>
          <xm:sqref>I26</xm:sqref>
        </x14:dataValidation>
        <x14:dataValidation type="list" allowBlank="1" showInputMessage="1" showErrorMessage="1" xr:uid="{00000000-0002-0000-0D00-000005000000}">
          <x14:formula1>
            <xm:f>'DATOS &lt;'!$I$201:$I$206</xm:f>
          </x14:formula1>
          <xm:sqref>J19:J20</xm:sqref>
        </x14:dataValidation>
        <x14:dataValidation type="list" allowBlank="1" showInputMessage="1" showErrorMessage="1" xr:uid="{00000000-0002-0000-0D00-000006000000}">
          <x14:formula1>
            <xm:f>'DATOS &lt;'!$I$129:$I$130</xm:f>
          </x14:formula1>
          <xm:sqref>N39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FFFF00"/>
  </sheetPr>
  <dimension ref="A1:V45"/>
  <sheetViews>
    <sheetView showGridLines="0" view="pageBreakPreview" topLeftCell="J1" zoomScale="80" zoomScaleNormal="40" zoomScaleSheetLayoutView="80" workbookViewId="0">
      <selection activeCell="F31" sqref="F31"/>
    </sheetView>
  </sheetViews>
  <sheetFormatPr baseColWidth="10" defaultColWidth="11.42578125" defaultRowHeight="15" x14ac:dyDescent="0.2"/>
  <cols>
    <col min="1" max="5" width="24.7109375" style="548" customWidth="1"/>
    <col min="6" max="6" width="13.7109375" style="548" customWidth="1"/>
    <col min="7" max="11" width="24.7109375" style="548" customWidth="1"/>
    <col min="12" max="12" width="13.7109375" style="548" customWidth="1"/>
    <col min="13" max="17" width="24.7109375" style="548" customWidth="1"/>
    <col min="18" max="18" width="13.7109375" style="548" customWidth="1"/>
    <col min="19" max="19" width="0" style="548" hidden="1" customWidth="1"/>
    <col min="20" max="20" width="11.42578125" style="548" hidden="1" customWidth="1"/>
    <col min="21" max="16384" width="11.42578125" style="548"/>
  </cols>
  <sheetData>
    <row r="1" spans="1:22" ht="119.25" customHeight="1" x14ac:dyDescent="0.2">
      <c r="A1" s="1552"/>
      <c r="B1" s="1552"/>
      <c r="C1" s="1552"/>
      <c r="D1" s="1552"/>
      <c r="E1" s="1550" t="s">
        <v>0</v>
      </c>
      <c r="F1" s="1551"/>
      <c r="G1" s="1551"/>
      <c r="H1" s="1551"/>
      <c r="I1" s="1551"/>
      <c r="J1" s="1551"/>
      <c r="K1" s="1551"/>
      <c r="L1" s="1551"/>
      <c r="M1" s="1551"/>
      <c r="N1" s="1551"/>
      <c r="O1" s="1551"/>
      <c r="P1" s="1551"/>
      <c r="Q1" s="1551"/>
      <c r="R1" s="1551"/>
      <c r="S1" s="969"/>
      <c r="T1" s="969"/>
      <c r="U1" s="969"/>
      <c r="V1" s="969"/>
    </row>
    <row r="2" spans="1:22" ht="15.75" thickBot="1" x14ac:dyDescent="0.25">
      <c r="A2" s="969"/>
      <c r="B2" s="969"/>
      <c r="C2" s="969"/>
      <c r="D2" s="969"/>
      <c r="E2" s="969"/>
      <c r="F2" s="969"/>
      <c r="G2" s="969"/>
      <c r="H2" s="969"/>
      <c r="I2" s="969"/>
      <c r="J2" s="969"/>
      <c r="K2" s="969"/>
      <c r="L2" s="969"/>
      <c r="M2" s="969"/>
      <c r="N2" s="969"/>
      <c r="O2" s="969"/>
      <c r="P2" s="969"/>
      <c r="Q2" s="969"/>
      <c r="R2" s="969"/>
      <c r="S2" s="969"/>
      <c r="T2" s="969"/>
      <c r="U2" s="969"/>
      <c r="V2" s="969"/>
    </row>
    <row r="3" spans="1:22" ht="15.75" customHeight="1" thickBot="1" x14ac:dyDescent="0.25">
      <c r="A3" s="1553" t="s">
        <v>107</v>
      </c>
      <c r="B3" s="1554"/>
      <c r="C3" s="1554"/>
      <c r="D3" s="1554"/>
      <c r="E3" s="1554"/>
      <c r="F3" s="1554"/>
      <c r="G3" s="1554"/>
      <c r="H3" s="1554"/>
      <c r="I3" s="1554"/>
      <c r="J3" s="1554"/>
      <c r="K3" s="1554"/>
      <c r="L3" s="1554"/>
      <c r="M3" s="1554"/>
      <c r="N3" s="1554"/>
      <c r="O3" s="1554"/>
      <c r="P3" s="1554"/>
      <c r="Q3" s="1554"/>
      <c r="R3" s="1554"/>
      <c r="S3" s="1545" t="s">
        <v>108</v>
      </c>
      <c r="T3" s="1545"/>
      <c r="U3" s="969"/>
      <c r="V3" s="969"/>
    </row>
    <row r="4" spans="1:22" ht="23.25" customHeight="1" thickBot="1" x14ac:dyDescent="0.25">
      <c r="A4" s="1555"/>
      <c r="B4" s="1556"/>
      <c r="C4" s="1556"/>
      <c r="D4" s="1557"/>
      <c r="E4" s="1557"/>
      <c r="F4" s="1556"/>
      <c r="G4" s="1556"/>
      <c r="H4" s="1556"/>
      <c r="I4" s="1556"/>
      <c r="J4" s="1556"/>
      <c r="K4" s="1556"/>
      <c r="L4" s="1556"/>
      <c r="M4" s="1556"/>
      <c r="N4" s="1556"/>
      <c r="O4" s="1556"/>
      <c r="P4" s="1556"/>
      <c r="Q4" s="1556"/>
      <c r="R4" s="1556"/>
      <c r="S4" s="1546"/>
      <c r="T4" s="1546"/>
      <c r="U4" s="1541" t="s">
        <v>108</v>
      </c>
      <c r="V4" s="1542"/>
    </row>
    <row r="5" spans="1:22" ht="23.25" customHeight="1" thickBot="1" x14ac:dyDescent="0.25">
      <c r="A5" s="549"/>
      <c r="B5" s="226"/>
      <c r="C5" s="226"/>
      <c r="D5" s="969"/>
      <c r="E5" s="969"/>
      <c r="F5" s="226"/>
      <c r="G5" s="226"/>
      <c r="H5" s="550"/>
      <c r="I5" s="550"/>
      <c r="J5" s="226"/>
      <c r="K5" s="226"/>
      <c r="L5" s="226"/>
      <c r="M5" s="226"/>
      <c r="N5" s="550"/>
      <c r="O5" s="550"/>
      <c r="P5" s="226"/>
      <c r="Q5" s="226"/>
      <c r="R5" s="226"/>
      <c r="S5" s="1063" t="s">
        <v>109</v>
      </c>
      <c r="T5" s="1064" t="s">
        <v>110</v>
      </c>
      <c r="U5" s="1543"/>
      <c r="V5" s="1544"/>
    </row>
    <row r="6" spans="1:22" s="553" customFormat="1" ht="30" customHeight="1" thickBot="1" x14ac:dyDescent="0.3">
      <c r="A6" s="415"/>
      <c r="B6" s="551" t="s">
        <v>111</v>
      </c>
      <c r="C6" s="552" t="s">
        <v>112</v>
      </c>
      <c r="D6" s="1065"/>
      <c r="E6" s="1065"/>
      <c r="F6" s="1065"/>
      <c r="G6" s="226"/>
      <c r="H6" s="554" t="s">
        <v>111</v>
      </c>
      <c r="I6" s="554" t="s">
        <v>112</v>
      </c>
      <c r="J6" s="226"/>
      <c r="K6" s="226"/>
      <c r="L6" s="1065"/>
      <c r="M6" s="226"/>
      <c r="N6" s="555" t="s">
        <v>111</v>
      </c>
      <c r="O6" s="555" t="s">
        <v>112</v>
      </c>
      <c r="P6" s="226"/>
      <c r="Q6" s="226"/>
      <c r="R6" s="1065"/>
      <c r="S6" s="830">
        <v>18</v>
      </c>
      <c r="T6" s="885">
        <v>24</v>
      </c>
      <c r="U6" s="1066" t="s">
        <v>109</v>
      </c>
      <c r="V6" s="1067" t="s">
        <v>110</v>
      </c>
    </row>
    <row r="7" spans="1:22" s="553" customFormat="1" ht="30" customHeight="1" thickBot="1" x14ac:dyDescent="0.3">
      <c r="A7" s="556" t="s">
        <v>113</v>
      </c>
      <c r="B7" s="557">
        <f>'1 mg &lt; '!B24</f>
        <v>0</v>
      </c>
      <c r="C7" s="557">
        <f>'1 mg &lt; '!B33</f>
        <v>0</v>
      </c>
      <c r="D7" s="558" t="s">
        <v>114</v>
      </c>
      <c r="E7" s="559">
        <f>'1 mg &lt; '!$J$19</f>
        <v>0</v>
      </c>
      <c r="F7" s="1065"/>
      <c r="G7" s="556" t="s">
        <v>115</v>
      </c>
      <c r="H7" s="557">
        <f>'10 mg &lt; '!$B$24</f>
        <v>0</v>
      </c>
      <c r="I7" s="557">
        <f>'10 mg &lt; '!$B$33</f>
        <v>0</v>
      </c>
      <c r="J7" s="555" t="s">
        <v>114</v>
      </c>
      <c r="K7" s="559">
        <f>'10 mg &lt; '!J19</f>
        <v>0</v>
      </c>
      <c r="L7" s="1065"/>
      <c r="M7" s="555" t="s">
        <v>116</v>
      </c>
      <c r="N7" s="557">
        <f>'100 mg &lt; '!$B$24</f>
        <v>0</v>
      </c>
      <c r="O7" s="557">
        <f>'100 mg &lt; '!$B$33</f>
        <v>0</v>
      </c>
      <c r="P7" s="555" t="s">
        <v>114</v>
      </c>
      <c r="Q7" s="559">
        <f>'100 mg &lt; '!$J$19</f>
        <v>0</v>
      </c>
      <c r="R7" s="1065"/>
      <c r="S7" s="1063" t="s">
        <v>117</v>
      </c>
      <c r="T7" s="1064" t="s">
        <v>118</v>
      </c>
      <c r="U7" s="886">
        <v>18</v>
      </c>
      <c r="V7" s="887">
        <v>24</v>
      </c>
    </row>
    <row r="8" spans="1:22" s="553" customFormat="1" ht="30" customHeight="1" thickBot="1" x14ac:dyDescent="0.3">
      <c r="A8" s="556" t="s">
        <v>119</v>
      </c>
      <c r="B8" s="560" t="s">
        <v>120</v>
      </c>
      <c r="C8" s="560" t="s">
        <v>121</v>
      </c>
      <c r="D8" s="560" t="s">
        <v>122</v>
      </c>
      <c r="E8" s="561" t="s">
        <v>123</v>
      </c>
      <c r="F8" s="1065"/>
      <c r="G8" s="551" t="s">
        <v>119</v>
      </c>
      <c r="H8" s="560" t="s">
        <v>120</v>
      </c>
      <c r="I8" s="562" t="s">
        <v>121</v>
      </c>
      <c r="J8" s="562" t="s">
        <v>122</v>
      </c>
      <c r="K8" s="552" t="s">
        <v>123</v>
      </c>
      <c r="L8" s="1065"/>
      <c r="M8" s="551" t="s">
        <v>119</v>
      </c>
      <c r="N8" s="560" t="s">
        <v>120</v>
      </c>
      <c r="O8" s="562" t="s">
        <v>121</v>
      </c>
      <c r="P8" s="562" t="s">
        <v>122</v>
      </c>
      <c r="Q8" s="552" t="s">
        <v>123</v>
      </c>
      <c r="R8" s="1065"/>
      <c r="S8" s="830">
        <v>30</v>
      </c>
      <c r="T8" s="885">
        <v>80</v>
      </c>
      <c r="U8" s="1068" t="s">
        <v>117</v>
      </c>
      <c r="V8" s="1069" t="s">
        <v>118</v>
      </c>
    </row>
    <row r="9" spans="1:22" s="553" customFormat="1" ht="39.950000000000003" customHeight="1" x14ac:dyDescent="0.25">
      <c r="A9" s="1547" t="e">
        <f>'1 mg &lt; '!$E$4</f>
        <v>#N/A</v>
      </c>
      <c r="B9" s="563" t="s">
        <v>124</v>
      </c>
      <c r="C9" s="1070"/>
      <c r="D9" s="1071"/>
      <c r="E9" s="1072"/>
      <c r="F9" s="1065"/>
      <c r="G9" s="1549" t="e">
        <f>'10 mg &lt; '!$E$4</f>
        <v>#N/A</v>
      </c>
      <c r="H9" s="564" t="s">
        <v>124</v>
      </c>
      <c r="I9" s="1070"/>
      <c r="J9" s="1071"/>
      <c r="K9" s="1072"/>
      <c r="L9" s="1065"/>
      <c r="M9" s="1549" t="e">
        <f>'100 mg &lt; '!$E$4</f>
        <v>#N/A</v>
      </c>
      <c r="N9" s="564" t="s">
        <v>124</v>
      </c>
      <c r="O9" s="1070"/>
      <c r="P9" s="1071"/>
      <c r="Q9" s="1072"/>
      <c r="R9" s="1065"/>
      <c r="S9" s="1063" t="s">
        <v>125</v>
      </c>
      <c r="T9" s="1064" t="s">
        <v>126</v>
      </c>
      <c r="U9" s="886">
        <v>30</v>
      </c>
      <c r="V9" s="887">
        <v>80</v>
      </c>
    </row>
    <row r="10" spans="1:22" s="553" customFormat="1" ht="39.950000000000003" customHeight="1" thickBot="1" x14ac:dyDescent="0.3">
      <c r="A10" s="1547"/>
      <c r="B10" s="565" t="s">
        <v>127</v>
      </c>
      <c r="C10" s="1074"/>
      <c r="D10" s="1075"/>
      <c r="E10" s="1076"/>
      <c r="F10" s="1065"/>
      <c r="G10" s="1547"/>
      <c r="H10" s="566" t="s">
        <v>127</v>
      </c>
      <c r="I10" s="1074"/>
      <c r="J10" s="1075"/>
      <c r="K10" s="1076"/>
      <c r="L10" s="1065"/>
      <c r="M10" s="1547"/>
      <c r="N10" s="566" t="s">
        <v>127</v>
      </c>
      <c r="O10" s="1074"/>
      <c r="P10" s="1075"/>
      <c r="Q10" s="1076"/>
      <c r="R10" s="1065"/>
      <c r="S10" s="830">
        <v>700</v>
      </c>
      <c r="T10" s="885">
        <v>800</v>
      </c>
      <c r="U10" s="1068" t="s">
        <v>125</v>
      </c>
      <c r="V10" s="1069" t="s">
        <v>126</v>
      </c>
    </row>
    <row r="11" spans="1:22" s="553" customFormat="1" ht="39.950000000000003" customHeight="1" thickBot="1" x14ac:dyDescent="0.3">
      <c r="A11" s="1547"/>
      <c r="B11" s="564" t="s">
        <v>128</v>
      </c>
      <c r="C11" s="1081" t="e">
        <f>C9+(VLOOKUP('1 mg &lt; '!$J$19,'DATOS &lt;'!$I$201:$V$207,9,FALSE))*C9+(VLOOKUP('1 mg &lt; '!$J$19,'DATOS &lt;'!$I$201:$V$207,10,FALSE))</f>
        <v>#N/A</v>
      </c>
      <c r="D11" s="1082" t="e">
        <f>D9+(VLOOKUP('1 mg &lt; '!$J$19,'DATOS &lt;'!$I$201:$V$207,11,FALSE))*D9+(VLOOKUP('1 mg &lt; '!$J$19,'DATOS &lt;'!$I$201:$V$207,12,FALSE))</f>
        <v>#N/A</v>
      </c>
      <c r="E11" s="1083" t="e">
        <f>E9+(VLOOKUP('1 mg &lt; '!$J$19,'DATOS &lt;'!$I$201:$V$207,13,FALSE))*E9+(VLOOKUP('1 mg &lt; '!$J$19,'DATOS &lt;'!$I$201:$V$207,14,FALSE))</f>
        <v>#N/A</v>
      </c>
      <c r="F11" s="1065"/>
      <c r="G11" s="1547"/>
      <c r="H11" s="564" t="s">
        <v>128</v>
      </c>
      <c r="I11" s="1084" t="e">
        <f>I9+(VLOOKUP('10 mg &lt; '!$J$19,'DATOS &lt;'!$I$201:$V$207,9,FALSE))*I9+(VLOOKUP('10 mg &lt; '!$J$19,'DATOS &lt;'!$I$201:$V$207,10,FALSE))</f>
        <v>#N/A</v>
      </c>
      <c r="J11" s="1085" t="e">
        <f>J9+(VLOOKUP('10 mg &lt; '!$J$19,'DATOS &lt;'!$I$201:$V$207,11,FALSE))*J9+(VLOOKUP('10 mg &lt; '!$J$19,'DATOS &lt;'!$I$201:$V$207,12,FALSE))</f>
        <v>#N/A</v>
      </c>
      <c r="K11" s="1086" t="e">
        <f>K9+(VLOOKUP('10 mg &lt; '!$J$19,'DATOS &lt;'!$I$201:$V$207,13,FALSE))*K9+(VLOOKUP('10 mg &lt; '!$J$19,'DATOS &lt;'!$I$201:$V$207,14,FALSE))</f>
        <v>#N/A</v>
      </c>
      <c r="L11" s="1065"/>
      <c r="M11" s="1547"/>
      <c r="N11" s="567" t="s">
        <v>128</v>
      </c>
      <c r="O11" s="1084" t="e">
        <f>O9+(VLOOKUP('100 mg &lt; '!$J$19,'DATOS &lt;'!$I$201:$V$207,9,FALSE))*O9+(VLOOKUP('100 mg &lt; '!$J$19,'DATOS &lt;'!$I$201:$V$207,10,FALSE))</f>
        <v>#N/A</v>
      </c>
      <c r="P11" s="1085" t="e">
        <f>P9+(VLOOKUP('100 mg &lt; '!$J$19,'DATOS &lt;'!$I$201:$V$207,11,FALSE))*P9+(VLOOKUP('100 mg &lt; '!$J$19,'DATOS &lt;'!$I$201:$V$207,12,FALSE))</f>
        <v>#N/A</v>
      </c>
      <c r="Q11" s="1086" t="e">
        <f>Q9+(VLOOKUP('100 mg &lt; '!$J$19,'DATOS &lt;'!$I$201:$V$207,13,FALSE))*Q9+(VLOOKUP('100 mg &lt; '!$J$19,'DATOS &lt;'!$I$201:$V$207,14,FALSE))</f>
        <v>#N/A</v>
      </c>
      <c r="R11" s="1065"/>
      <c r="S11" s="1065"/>
      <c r="T11" s="1065"/>
      <c r="U11" s="888">
        <v>700</v>
      </c>
      <c r="V11" s="889">
        <v>800</v>
      </c>
    </row>
    <row r="12" spans="1:22" s="553" customFormat="1" ht="39.950000000000003" customHeight="1" thickBot="1" x14ac:dyDescent="0.3">
      <c r="A12" s="1548"/>
      <c r="B12" s="566" t="s">
        <v>129</v>
      </c>
      <c r="C12" s="1087" t="e">
        <f>C10+(VLOOKUP('1 mg &lt; '!$J$19,'DATOS &lt;'!$I$201:$V$207,9,FALSE))*C10+(VLOOKUP('1 mg &lt; '!$J$19,'DATOS &lt;'!$I$201:$V$207,10,FALSE))</f>
        <v>#N/A</v>
      </c>
      <c r="D12" s="1088" t="e">
        <f>D10+(VLOOKUP('1 mg &lt; '!$J$19,'DATOS &lt;'!$I$201:$V$207,11,FALSE))*D10+(VLOOKUP('1 mg &lt; '!$J$19,'DATOS &lt;'!$I$201:$V$207,12,FALSE))</f>
        <v>#N/A</v>
      </c>
      <c r="E12" s="1089" t="e">
        <f>E10+(VLOOKUP('1 mg &lt; '!$J$19,'DATOS &lt;'!$I$201:$V$207,13,FALSE))*E10+(VLOOKUP('1 mg &lt; '!$J$19,'DATOS &lt;'!$I$201:$V$207,14,FALSE))</f>
        <v>#N/A</v>
      </c>
      <c r="F12" s="1065"/>
      <c r="G12" s="1548"/>
      <c r="H12" s="566" t="s">
        <v>129</v>
      </c>
      <c r="I12" s="1087" t="e">
        <f>I10+(VLOOKUP('10 mg &lt; '!$J$19,'DATOS &lt;'!$I$201:$V$207,9,FALSE))*I10+(VLOOKUP('10 mg &lt; '!$J$19,'DATOS &lt;'!$I$201:$V$207,10,FALSE))</f>
        <v>#N/A</v>
      </c>
      <c r="J12" s="1090" t="e">
        <f>J10+(VLOOKUP('10 mg &lt; '!$J$19,'DATOS &lt;'!$I$201:$V$207,11,FALSE))*J10+(VLOOKUP('10 mg &lt; '!$J$19,'DATOS &lt;'!$I$201:$V$207,12,FALSE))</f>
        <v>#N/A</v>
      </c>
      <c r="K12" s="1091" t="e">
        <f>K10+(VLOOKUP('10 mg &lt; '!$J$19,'DATOS &lt;'!$I$201:$V$207,13,FALSE))*K10+(VLOOKUP('10 mg &lt; '!$J$19,'DATOS &lt;'!$I$201:$V$207,14,FALSE))</f>
        <v>#N/A</v>
      </c>
      <c r="L12" s="1065"/>
      <c r="M12" s="1548"/>
      <c r="N12" s="568" t="s">
        <v>129</v>
      </c>
      <c r="O12" s="1087" t="e">
        <f>O10+(VLOOKUP('100 mg &lt; '!$J$19,'DATOS &lt;'!$I$201:$V$207,9,FALSE))*O10+(VLOOKUP('100 mg &lt; '!$J$19,'DATOS &lt;'!$I$201:$V$207,10,FALSE))</f>
        <v>#N/A</v>
      </c>
      <c r="P12" s="1090" t="e">
        <f>P10+(VLOOKUP('100 mg &lt; '!$J$19,'DATOS &lt;'!$I$201:$V$207,11,FALSE))*P10+(VLOOKUP('100 mg &lt; '!$J$19,'DATOS &lt;'!$I$201:$V$207,12,FALSE))</f>
        <v>#N/A</v>
      </c>
      <c r="Q12" s="1091" t="e">
        <f>Q10+(VLOOKUP('100 mg &lt; '!$J$19,'DATOS &lt;'!$I$201:$V$207,13,FALSE))*Q10+(VLOOKUP('100 mg &lt; '!$J$19,'DATOS &lt;'!$I$201:$V$207,14,FALSE))</f>
        <v>#N/A</v>
      </c>
      <c r="R12" s="1065"/>
      <c r="S12" s="1065"/>
      <c r="T12" s="1065"/>
      <c r="U12" s="1065"/>
      <c r="V12" s="1065"/>
    </row>
    <row r="13" spans="1:22" s="553" customFormat="1" ht="300" customHeight="1" x14ac:dyDescent="0.25">
      <c r="A13" s="1065"/>
      <c r="B13" s="1065"/>
      <c r="C13" s="1065"/>
      <c r="D13" s="1065"/>
      <c r="E13" s="1065"/>
      <c r="F13" s="1065"/>
      <c r="G13" s="1065"/>
      <c r="H13" s="1065"/>
      <c r="I13" s="1065"/>
      <c r="J13" s="1065"/>
      <c r="K13" s="1065"/>
      <c r="L13" s="1065"/>
      <c r="M13" s="1065"/>
      <c r="N13" s="1065"/>
      <c r="O13" s="1065"/>
      <c r="P13" s="1065"/>
      <c r="Q13" s="1065"/>
      <c r="R13" s="1065"/>
      <c r="S13" s="1065"/>
      <c r="T13" s="1065"/>
      <c r="U13" s="1065"/>
      <c r="V13" s="1065"/>
    </row>
    <row r="14" spans="1:22" s="553" customFormat="1" ht="30" customHeight="1" thickBot="1" x14ac:dyDescent="0.3">
      <c r="A14" s="1065"/>
      <c r="B14" s="1065"/>
      <c r="C14" s="1065"/>
      <c r="D14" s="1065"/>
      <c r="E14" s="1065"/>
      <c r="F14" s="1065"/>
      <c r="G14" s="1065"/>
      <c r="H14" s="1065"/>
      <c r="I14" s="1065"/>
      <c r="J14" s="1065"/>
      <c r="K14" s="1065"/>
      <c r="L14" s="1065"/>
      <c r="M14" s="1065"/>
      <c r="N14" s="1065"/>
      <c r="O14" s="1065"/>
      <c r="P14" s="1065"/>
      <c r="Q14" s="1065"/>
      <c r="R14" s="1065"/>
      <c r="S14" s="1065"/>
      <c r="T14" s="1065"/>
      <c r="U14" s="1065"/>
      <c r="V14" s="1065"/>
    </row>
    <row r="15" spans="1:22" s="553" customFormat="1" ht="30" customHeight="1" thickBot="1" x14ac:dyDescent="0.3">
      <c r="A15" s="226"/>
      <c r="B15" s="551" t="s">
        <v>111</v>
      </c>
      <c r="C15" s="552" t="s">
        <v>112</v>
      </c>
      <c r="D15" s="226"/>
      <c r="E15" s="226"/>
      <c r="F15" s="1065"/>
      <c r="G15" s="226"/>
      <c r="H15" s="551" t="s">
        <v>111</v>
      </c>
      <c r="I15" s="552" t="s">
        <v>112</v>
      </c>
      <c r="J15" s="226"/>
      <c r="K15" s="226"/>
      <c r="L15" s="1065"/>
      <c r="M15" s="226"/>
      <c r="N15" s="551" t="s">
        <v>111</v>
      </c>
      <c r="O15" s="552" t="s">
        <v>112</v>
      </c>
      <c r="P15" s="226"/>
      <c r="Q15" s="226"/>
      <c r="R15" s="1065"/>
      <c r="S15" s="1065"/>
      <c r="T15" s="1065"/>
      <c r="U15" s="1065"/>
      <c r="V15" s="1065"/>
    </row>
    <row r="16" spans="1:22" s="553" customFormat="1" ht="30" customHeight="1" thickBot="1" x14ac:dyDescent="0.3">
      <c r="A16" s="569" t="s">
        <v>130</v>
      </c>
      <c r="B16" s="557">
        <f>'2 mg &lt;'!$B$24</f>
        <v>0</v>
      </c>
      <c r="C16" s="557">
        <f>'2 mg &lt;'!$B$33</f>
        <v>0</v>
      </c>
      <c r="D16" s="555" t="s">
        <v>114</v>
      </c>
      <c r="E16" s="559">
        <f>'2 mg &lt;'!J19</f>
        <v>0</v>
      </c>
      <c r="F16" s="1065"/>
      <c r="G16" s="569" t="s">
        <v>131</v>
      </c>
      <c r="H16" s="557">
        <f>'20 mg &lt; '!$B$24</f>
        <v>0</v>
      </c>
      <c r="I16" s="557">
        <f>'20 mg &lt; '!$B$33</f>
        <v>0</v>
      </c>
      <c r="J16" s="555" t="s">
        <v>114</v>
      </c>
      <c r="K16" s="559">
        <f>'20 mg &lt; '!$J$19</f>
        <v>0</v>
      </c>
      <c r="L16" s="1065"/>
      <c r="M16" s="569" t="s">
        <v>132</v>
      </c>
      <c r="N16" s="557">
        <f>'200 mg &lt; '!$B$24</f>
        <v>0</v>
      </c>
      <c r="O16" s="557">
        <f>'200 mg &lt; '!$B$33</f>
        <v>0</v>
      </c>
      <c r="P16" s="555" t="s">
        <v>114</v>
      </c>
      <c r="Q16" s="559">
        <f>'200 mg &lt; '!$J$19</f>
        <v>0</v>
      </c>
      <c r="R16" s="1065"/>
      <c r="S16" s="1065"/>
      <c r="T16" s="1065"/>
      <c r="U16" s="1065"/>
      <c r="V16" s="1065"/>
    </row>
    <row r="17" spans="1:17" s="553" customFormat="1" ht="30" customHeight="1" thickBot="1" x14ac:dyDescent="0.3">
      <c r="A17" s="551" t="s">
        <v>119</v>
      </c>
      <c r="B17" s="560" t="s">
        <v>120</v>
      </c>
      <c r="C17" s="562" t="s">
        <v>121</v>
      </c>
      <c r="D17" s="562" t="s">
        <v>122</v>
      </c>
      <c r="E17" s="552" t="s">
        <v>123</v>
      </c>
      <c r="F17" s="1065"/>
      <c r="G17" s="551" t="s">
        <v>119</v>
      </c>
      <c r="H17" s="560" t="s">
        <v>120</v>
      </c>
      <c r="I17" s="562" t="s">
        <v>121</v>
      </c>
      <c r="J17" s="562" t="s">
        <v>122</v>
      </c>
      <c r="K17" s="552" t="s">
        <v>123</v>
      </c>
      <c r="L17" s="1065"/>
      <c r="M17" s="551" t="s">
        <v>119</v>
      </c>
      <c r="N17" s="560" t="s">
        <v>120</v>
      </c>
      <c r="O17" s="562" t="s">
        <v>121</v>
      </c>
      <c r="P17" s="562" t="s">
        <v>122</v>
      </c>
      <c r="Q17" s="552" t="s">
        <v>123</v>
      </c>
    </row>
    <row r="18" spans="1:17" s="553" customFormat="1" ht="39.950000000000003" customHeight="1" x14ac:dyDescent="0.25">
      <c r="A18" s="1549" t="e">
        <f>'2 mg &lt;'!E$4</f>
        <v>#N/A</v>
      </c>
      <c r="B18" s="564" t="s">
        <v>124</v>
      </c>
      <c r="C18" s="1070"/>
      <c r="D18" s="1071"/>
      <c r="E18" s="1072"/>
      <c r="F18" s="1065"/>
      <c r="G18" s="1549" t="e">
        <f>'20 mg &lt; '!$E$4</f>
        <v>#N/A</v>
      </c>
      <c r="H18" s="564" t="s">
        <v>124</v>
      </c>
      <c r="I18" s="1070"/>
      <c r="J18" s="1071"/>
      <c r="K18" s="1072"/>
      <c r="L18" s="1065"/>
      <c r="M18" s="1549" t="e">
        <f>'200 mg &lt; '!$E$4</f>
        <v>#N/A</v>
      </c>
      <c r="N18" s="564" t="s">
        <v>124</v>
      </c>
      <c r="O18" s="1070"/>
      <c r="P18" s="1071"/>
      <c r="Q18" s="1072"/>
    </row>
    <row r="19" spans="1:17" s="553" customFormat="1" ht="39.950000000000003" customHeight="1" thickBot="1" x14ac:dyDescent="0.3">
      <c r="A19" s="1547"/>
      <c r="B19" s="566" t="s">
        <v>127</v>
      </c>
      <c r="C19" s="1074"/>
      <c r="D19" s="1075"/>
      <c r="E19" s="1076"/>
      <c r="F19" s="1065"/>
      <c r="G19" s="1547"/>
      <c r="H19" s="566" t="s">
        <v>127</v>
      </c>
      <c r="I19" s="1074"/>
      <c r="J19" s="1075"/>
      <c r="K19" s="1076"/>
      <c r="L19" s="1065"/>
      <c r="M19" s="1547"/>
      <c r="N19" s="566" t="s">
        <v>127</v>
      </c>
      <c r="O19" s="1074"/>
      <c r="P19" s="1075"/>
      <c r="Q19" s="1076"/>
    </row>
    <row r="20" spans="1:17" s="553" customFormat="1" ht="39.950000000000003" customHeight="1" x14ac:dyDescent="0.25">
      <c r="A20" s="1547"/>
      <c r="B20" s="567" t="s">
        <v>128</v>
      </c>
      <c r="C20" s="1081" t="e">
        <f>C18+(VLOOKUP('2 mg &lt;'!$J$19,'DATOS &lt;'!$I$201:$V$207,9,FALSE))*C18+(VLOOKUP('2 mg &lt;'!$J$19,'DATOS &lt;'!$I$201:$V$207,10,FALSE))</f>
        <v>#N/A</v>
      </c>
      <c r="D20" s="1092" t="e">
        <f>D18+(VLOOKUP('2 mg &lt;'!$J$19,'DATOS &lt;'!$I$201:$V$207,11,FALSE))*D18+(VLOOKUP('2 mg &lt;'!$J$19,'DATOS &lt;'!$I$201:$V$207,12,FALSE))</f>
        <v>#N/A</v>
      </c>
      <c r="E20" s="1093" t="e">
        <f>E18+(VLOOKUP('2 mg &lt;'!$J$19,'DATOS &lt;'!$I$201:$V$207,13,FALSE))*E18+(VLOOKUP('2 mg &lt;'!$J$19,'DATOS &lt;'!$I$201:$V$207,14,FALSE))</f>
        <v>#N/A</v>
      </c>
      <c r="F20" s="1065"/>
      <c r="G20" s="1547"/>
      <c r="H20" s="567" t="s">
        <v>128</v>
      </c>
      <c r="I20" s="1081" t="e">
        <f>I18+(VLOOKUP('20 mg &lt; '!$J$19,'DATOS &lt;'!$I$201:$V$207,9,FALSE))*I18+(VLOOKUP('1 mg &lt; '!$J$19,'DATOS &lt;'!$I$201:$V$207,10,FALSE))</f>
        <v>#N/A</v>
      </c>
      <c r="J20" s="1085" t="e">
        <f>J18+(VLOOKUP('20 mg &lt; '!$J$19,'DATOS &lt;'!$I$201:$V$207,11,FALSE))*J18+(VLOOKUP('10 mg &lt; '!$J$19,'DATOS &lt;'!$I$201:$V$207,12,FALSE))</f>
        <v>#N/A</v>
      </c>
      <c r="K20" s="1086" t="e">
        <f>K18+(VLOOKUP('20 mg &lt; '!$J$19,'DATOS &lt;'!$I$201:$V$207,13,FALSE))*K18+(VLOOKUP('20 mg &lt; '!$J$19,'DATOS &lt;'!$I$201:$V$207,14,FALSE))</f>
        <v>#N/A</v>
      </c>
      <c r="L20" s="1065"/>
      <c r="M20" s="1547"/>
      <c r="N20" s="567" t="s">
        <v>128</v>
      </c>
      <c r="O20" s="1084" t="e">
        <f>O18+(VLOOKUP('200 mg &lt; '!$J$19,'DATOS &lt;'!$I$201:$V$207,9,FALSE))*O18+(VLOOKUP('200 mg &lt; '!$J$19,'DATOS &lt;'!$I$201:$V$207,10,FALSE))</f>
        <v>#N/A</v>
      </c>
      <c r="P20" s="1085" t="e">
        <f>P18+(VLOOKUP('200 mg &lt; '!$J$19,'DATOS &lt;'!$I$201:$V$207,11,FALSE))*P18+(VLOOKUP('10 mg &lt; '!$J$19,'DATOS &lt;'!$I$201:$V$207,12,FALSE))</f>
        <v>#N/A</v>
      </c>
      <c r="Q20" s="1086" t="e">
        <f>Q18+(VLOOKUP('200 mg &lt; '!$J$19,'DATOS &lt;'!$I$201:$V$207,13,FALSE))*Q18+(VLOOKUP('200 mg &lt; '!$J$19,'DATOS &lt;'!$I$201:$V$207,14,FALSE))</f>
        <v>#N/A</v>
      </c>
    </row>
    <row r="21" spans="1:17" s="553" customFormat="1" ht="39.950000000000003" customHeight="1" thickBot="1" x14ac:dyDescent="0.3">
      <c r="A21" s="1548"/>
      <c r="B21" s="568" t="s">
        <v>129</v>
      </c>
      <c r="C21" s="1094" t="e">
        <f>C19+(VLOOKUP('2 mg &lt;'!$J$19,'DATOS &lt;'!$I$201:$V$207,9,FALSE))*C19+(VLOOKUP('2 mg &lt;'!$J$19,'DATOS &lt;'!$I$201:$V$207,10,FALSE))</f>
        <v>#N/A</v>
      </c>
      <c r="D21" s="1095" t="e">
        <f>D19+(VLOOKUP('2 mg &lt;'!$J$19,'DATOS &lt;'!$I$201:$V$207,11,FALSE))*D19+(VLOOKUP('2 mg &lt;'!$J$19,'DATOS &lt;'!$I$201:$V$207,12,FALSE))</f>
        <v>#N/A</v>
      </c>
      <c r="E21" s="1096" t="e">
        <f>E19+(VLOOKUP('2 mg &lt;'!$J$19,'DATOS &lt;'!$I$201:$V$207,13,FALSE))*E19+(VLOOKUP('2 mg &lt;'!$J$19,'DATOS &lt;'!$I$201:$V$207,14,FALSE))</f>
        <v>#N/A</v>
      </c>
      <c r="F21" s="1065"/>
      <c r="G21" s="1548"/>
      <c r="H21" s="568" t="s">
        <v>129</v>
      </c>
      <c r="I21" s="1087" t="e">
        <f>I19+(VLOOKUP('20 mg &lt; '!$J$19,'DATOS &lt;'!$I$201:$V$207,9,FALSE))*I19+(VLOOKUP('10 mg &lt; '!$J$19,'DATOS &lt;'!$I$201:$V$207,10,FALSE))</f>
        <v>#N/A</v>
      </c>
      <c r="J21" s="1090" t="e">
        <f>J19+(VLOOKUP('20 mg &lt; '!$J$19,'DATOS &lt;'!$I$201:$V$207,11,FALSE))*J19+(VLOOKUP('10 mg &lt; '!$J$19,'DATOS &lt;'!$I$201:$V$207,12,FALSE))</f>
        <v>#N/A</v>
      </c>
      <c r="K21" s="1091" t="e">
        <f>K19+(VLOOKUP('20 mg &lt; '!$J$19,'DATOS &lt;'!$I$201:$V$207,13,FALSE))*K19+(VLOOKUP('20 mg &lt; '!$J$19,'DATOS &lt;'!$I$201:$V$207,14,FALSE))</f>
        <v>#N/A</v>
      </c>
      <c r="L21" s="1065"/>
      <c r="M21" s="1548"/>
      <c r="N21" s="568" t="s">
        <v>129</v>
      </c>
      <c r="O21" s="1087" t="e">
        <f>O19+(VLOOKUP('200 mg &lt; '!$J$19,'DATOS &lt;'!$I$201:$V$207,9,FALSE))*O19+(VLOOKUP('200 mg &lt; '!$J$19,'DATOS &lt;'!$I$201:$V$207,10,FALSE))</f>
        <v>#N/A</v>
      </c>
      <c r="P21" s="1090" t="e">
        <f>P19+(VLOOKUP('10 mg &lt; '!$J$19,'DATOS &lt;'!$I$201:$V$207,11,FALSE))*P19+(VLOOKUP('200 mg &lt; '!$J$19,'DATOS &lt;'!$I$201:$V$207,12,FALSE))</f>
        <v>#N/A</v>
      </c>
      <c r="Q21" s="1091" t="e">
        <f>Q19+(VLOOKUP('200 mg &lt; '!$J$19,'DATOS &lt;'!$I$201:$V$207,13,FALSE))*Q19+(VLOOKUP('200 mg &lt; '!$J$19,'DATOS &lt;'!$I$201:$V$207,14,FALSE))</f>
        <v>#N/A</v>
      </c>
    </row>
    <row r="22" spans="1:17" s="553" customFormat="1" ht="300" customHeight="1" x14ac:dyDescent="0.25">
      <c r="A22" s="1065"/>
      <c r="B22" s="1065"/>
      <c r="C22" s="1065"/>
      <c r="D22" s="1065"/>
      <c r="E22" s="1065"/>
      <c r="F22" s="1065"/>
      <c r="G22" s="1065"/>
      <c r="H22" s="1065"/>
      <c r="I22" s="1065"/>
      <c r="J22" s="1065"/>
      <c r="K22" s="1065"/>
      <c r="L22" s="1065"/>
      <c r="M22" s="1065"/>
      <c r="N22" s="1065"/>
      <c r="O22" s="1065"/>
      <c r="P22" s="1065"/>
      <c r="Q22" s="1065"/>
    </row>
    <row r="23" spans="1:17" s="553" customFormat="1" ht="30" customHeight="1" thickBot="1" x14ac:dyDescent="0.3">
      <c r="A23" s="1065"/>
      <c r="B23" s="1065"/>
      <c r="C23" s="1065"/>
      <c r="D23" s="1065"/>
      <c r="E23" s="1065"/>
      <c r="F23" s="1065"/>
      <c r="G23" s="226"/>
      <c r="H23" s="226"/>
      <c r="I23" s="226"/>
      <c r="J23" s="226"/>
      <c r="K23" s="226"/>
      <c r="L23" s="1065"/>
      <c r="M23" s="1065"/>
      <c r="N23" s="1065"/>
      <c r="O23" s="1065"/>
      <c r="P23" s="1065"/>
      <c r="Q23" s="1065"/>
    </row>
    <row r="24" spans="1:17" s="553" customFormat="1" ht="30" customHeight="1" thickBot="1" x14ac:dyDescent="0.3">
      <c r="A24" s="226"/>
      <c r="B24" s="551" t="s">
        <v>111</v>
      </c>
      <c r="C24" s="552" t="s">
        <v>112</v>
      </c>
      <c r="D24" s="226"/>
      <c r="E24" s="226"/>
      <c r="F24" s="1065"/>
      <c r="G24" s="226"/>
      <c r="H24" s="551" t="s">
        <v>111</v>
      </c>
      <c r="I24" s="552" t="s">
        <v>112</v>
      </c>
      <c r="J24" s="226"/>
      <c r="K24" s="226"/>
      <c r="L24" s="1065"/>
      <c r="M24" s="226"/>
      <c r="N24" s="551" t="s">
        <v>111</v>
      </c>
      <c r="O24" s="552" t="s">
        <v>112</v>
      </c>
      <c r="P24" s="226"/>
      <c r="Q24" s="226"/>
    </row>
    <row r="25" spans="1:17" s="553" customFormat="1" ht="30" customHeight="1" thickBot="1" x14ac:dyDescent="0.3">
      <c r="A25" s="556" t="s">
        <v>133</v>
      </c>
      <c r="B25" s="557">
        <f>'2 mg + &lt; '!$B$24</f>
        <v>0</v>
      </c>
      <c r="C25" s="557">
        <f>'2 mg + &lt; '!$B$33</f>
        <v>0</v>
      </c>
      <c r="D25" s="555" t="s">
        <v>114</v>
      </c>
      <c r="E25" s="559">
        <f>'2 mg + &lt; '!$J$19</f>
        <v>0</v>
      </c>
      <c r="F25" s="1065"/>
      <c r="G25" s="569" t="s">
        <v>134</v>
      </c>
      <c r="H25" s="557">
        <f>'20 mg + &lt; '!$B$24</f>
        <v>0</v>
      </c>
      <c r="I25" s="557">
        <f>'20 mg + &lt; '!$B$33</f>
        <v>0</v>
      </c>
      <c r="J25" s="555" t="s">
        <v>114</v>
      </c>
      <c r="K25" s="559">
        <f>'20 mg + &lt; '!$J$19</f>
        <v>0</v>
      </c>
      <c r="L25" s="1065"/>
      <c r="M25" s="569" t="s">
        <v>135</v>
      </c>
      <c r="N25" s="557">
        <f>'200 mg + &lt;'!B24</f>
        <v>0</v>
      </c>
      <c r="O25" s="557">
        <f>'200 mg + &lt;'!B33</f>
        <v>0</v>
      </c>
      <c r="P25" s="555" t="s">
        <v>114</v>
      </c>
      <c r="Q25" s="559">
        <f>'200 mg + &lt;'!$J$19</f>
        <v>0</v>
      </c>
    </row>
    <row r="26" spans="1:17" s="553" customFormat="1" ht="30" customHeight="1" thickBot="1" x14ac:dyDescent="0.3">
      <c r="A26" s="556" t="s">
        <v>119</v>
      </c>
      <c r="B26" s="560" t="s">
        <v>120</v>
      </c>
      <c r="C26" s="560" t="s">
        <v>121</v>
      </c>
      <c r="D26" s="560" t="s">
        <v>122</v>
      </c>
      <c r="E26" s="561" t="s">
        <v>123</v>
      </c>
      <c r="F26" s="1065"/>
      <c r="G26" s="551" t="s">
        <v>119</v>
      </c>
      <c r="H26" s="560" t="s">
        <v>120</v>
      </c>
      <c r="I26" s="562" t="s">
        <v>121</v>
      </c>
      <c r="J26" s="562" t="s">
        <v>122</v>
      </c>
      <c r="K26" s="552" t="s">
        <v>123</v>
      </c>
      <c r="L26" s="1065"/>
      <c r="M26" s="551" t="s">
        <v>119</v>
      </c>
      <c r="N26" s="560" t="s">
        <v>120</v>
      </c>
      <c r="O26" s="562" t="s">
        <v>121</v>
      </c>
      <c r="P26" s="562" t="s">
        <v>122</v>
      </c>
      <c r="Q26" s="552" t="s">
        <v>123</v>
      </c>
    </row>
    <row r="27" spans="1:17" s="553" customFormat="1" ht="39.950000000000003" customHeight="1" x14ac:dyDescent="0.25">
      <c r="A27" s="1547" t="e">
        <f>'2 mg + &lt; '!$E$4</f>
        <v>#N/A</v>
      </c>
      <c r="B27" s="564" t="s">
        <v>124</v>
      </c>
      <c r="C27" s="1070"/>
      <c r="D27" s="1071"/>
      <c r="E27" s="1072"/>
      <c r="F27" s="1065"/>
      <c r="G27" s="1549" t="e">
        <f>'20 mg + &lt; '!$E$4</f>
        <v>#N/A</v>
      </c>
      <c r="H27" s="564" t="s">
        <v>124</v>
      </c>
      <c r="I27" s="1070"/>
      <c r="J27" s="1071"/>
      <c r="K27" s="1072"/>
      <c r="L27" s="1065"/>
      <c r="M27" s="1549" t="e">
        <f>'200 mg + &lt;'!E4</f>
        <v>#N/A</v>
      </c>
      <c r="N27" s="564" t="s">
        <v>124</v>
      </c>
      <c r="O27" s="1070">
        <v>20.6</v>
      </c>
      <c r="P27" s="1071">
        <v>49.1</v>
      </c>
      <c r="Q27" s="1072">
        <v>750.2</v>
      </c>
    </row>
    <row r="28" spans="1:17" s="553" customFormat="1" ht="39.950000000000003" customHeight="1" thickBot="1" x14ac:dyDescent="0.3">
      <c r="A28" s="1547"/>
      <c r="B28" s="566" t="s">
        <v>127</v>
      </c>
      <c r="C28" s="1074"/>
      <c r="D28" s="1075"/>
      <c r="E28" s="1076"/>
      <c r="F28" s="1065"/>
      <c r="G28" s="1547"/>
      <c r="H28" s="566" t="s">
        <v>127</v>
      </c>
      <c r="I28" s="1074"/>
      <c r="J28" s="1075"/>
      <c r="K28" s="1076"/>
      <c r="L28" s="1065"/>
      <c r="M28" s="1547"/>
      <c r="N28" s="566" t="s">
        <v>127</v>
      </c>
      <c r="O28" s="1074">
        <v>20.8</v>
      </c>
      <c r="P28" s="1075">
        <v>51.6</v>
      </c>
      <c r="Q28" s="1076">
        <v>750.3</v>
      </c>
    </row>
    <row r="29" spans="1:17" s="553" customFormat="1" ht="39.950000000000003" customHeight="1" x14ac:dyDescent="0.25">
      <c r="A29" s="1547"/>
      <c r="B29" s="567" t="s">
        <v>128</v>
      </c>
      <c r="C29" s="1097" t="e">
        <f>C27+(VLOOKUP('2 mg + &lt; '!$J$19,'DATOS &lt;'!$I$201:$V$207,9,FALSE))*C27+(VLOOKUP('2 mg + &lt; '!$J$19,'DATOS &lt;'!$I$201:$V$207,10,FALSE))</f>
        <v>#N/A</v>
      </c>
      <c r="D29" s="1092" t="e">
        <f>D27+(VLOOKUP('2 mg + &lt; '!$J$19,'DATOS &lt;'!$I$201:$V$207,11,FALSE))*D27+(VLOOKUP('2 mg + &lt; '!$J$19,'DATOS &lt;'!$I$201:$V$207,12,FALSE))</f>
        <v>#N/A</v>
      </c>
      <c r="E29" s="1093" t="e">
        <f>E27+(VLOOKUP('2 mg + &lt; '!$J$19,'DATOS &lt;'!$I$201:$V$207,13,FALSE))*E27+(VLOOKUP('2 mg + &lt; '!$J$19,'DATOS &lt;'!$I$201:$V$207,14,FALSE))</f>
        <v>#N/A</v>
      </c>
      <c r="F29" s="1065"/>
      <c r="G29" s="1547"/>
      <c r="H29" s="567" t="s">
        <v>128</v>
      </c>
      <c r="I29" s="1081" t="e">
        <f>I27+(VLOOKUP('20 mg + &lt; '!$J$19,'DATOS &lt;'!$I$201:$V$207,9,FALSE))*I27+(VLOOKUP('20 mg + &lt; '!$J$19,'DATOS &lt;'!$I$201:$V$207,10,FALSE))</f>
        <v>#N/A</v>
      </c>
      <c r="J29" s="1085" t="e">
        <f>J27+(VLOOKUP('20 mg + &lt; '!$J$19,'DATOS &lt;'!$I$201:$V$207,11,FALSE))*J27+(VLOOKUP('20 mg + &lt; '!$J$19,'DATOS &lt;'!$I$201:$V$207,12,FALSE))</f>
        <v>#N/A</v>
      </c>
      <c r="K29" s="1086" t="e">
        <f>K27+(VLOOKUP('20 mg + &lt; '!$J$19,'DATOS &lt;'!$I$201:$V$207,13,FALSE))*K27+(VLOOKUP('20 mg + &lt; '!$J$19,'DATOS &lt;'!$I$201:$V$207,14,FALSE))</f>
        <v>#N/A</v>
      </c>
      <c r="L29" s="1065"/>
      <c r="M29" s="1547"/>
      <c r="N29" s="567" t="s">
        <v>128</v>
      </c>
      <c r="O29" s="1081" t="e">
        <f>O27+(VLOOKUP('200 mg + &lt;'!$J$19,'DATOS &lt;'!$I$201:$V$207,9,FALSE))*O27+(VLOOKUP('200 mg + &lt;'!$J$19,'DATOS &lt;'!$I$201:$V$207,10,FALSE))</f>
        <v>#N/A</v>
      </c>
      <c r="P29" s="1085" t="e">
        <f>P27+(VLOOKUP('200 mg + &lt;'!$J$19,'DATOS &lt;'!$I$201:$V$207,11,FALSE))*P27+(VLOOKUP('200 mg + &lt;'!$J$19,'DATOS &lt;'!$I$201:$V$207,12,FALSE))</f>
        <v>#N/A</v>
      </c>
      <c r="Q29" s="1086" t="e">
        <f>Q27+(VLOOKUP('200 mg + &lt;'!$J$19,'DATOS &lt;'!$I$201:$V$207,13,FALSE))*Q27+(VLOOKUP('200 mg + &lt;'!$J$19,'DATOS &lt;'!$I$201:$V$207,14,FALSE))</f>
        <v>#N/A</v>
      </c>
    </row>
    <row r="30" spans="1:17" s="553" customFormat="1" ht="39.950000000000003" customHeight="1" thickBot="1" x14ac:dyDescent="0.3">
      <c r="A30" s="1548"/>
      <c r="B30" s="568" t="s">
        <v>129</v>
      </c>
      <c r="C30" s="1094" t="e">
        <f>C28+(VLOOKUP('2 mg + &lt; '!$J$19,'DATOS &lt;'!$I$201:$V$207,9,FALSE))*C28+(VLOOKUP('2 mg + &lt; '!$J$19,'DATOS &lt;'!$I$201:$V$207,10,FALSE))</f>
        <v>#N/A</v>
      </c>
      <c r="D30" s="1095" t="e">
        <f>D28+(VLOOKUP('2 mg + &lt; '!$J$19,'DATOS &lt;'!$I$201:$V$207,11,FALSE))*D28+(VLOOKUP('2 mg + &lt; '!$J$19,'DATOS &lt;'!$I$201:$V$207,12,FALSE))</f>
        <v>#N/A</v>
      </c>
      <c r="E30" s="1096" t="e">
        <f>E28+(VLOOKUP('2 mg + &lt; '!$J$19,'DATOS &lt;'!$I$201:$V$207,13,FALSE))*E28+(VLOOKUP('2 mg + &lt; '!$J$19,'DATOS &lt;'!$I$201:$V$207,14,FALSE))</f>
        <v>#N/A</v>
      </c>
      <c r="F30" s="1065"/>
      <c r="G30" s="1548"/>
      <c r="H30" s="568" t="s">
        <v>129</v>
      </c>
      <c r="I30" s="1087" t="e">
        <f>I28+(VLOOKUP('20 mg + &lt; '!$J$19,'DATOS &lt;'!$I$201:$V$207,9,FALSE))*I28+(VLOOKUP('20 mg + &lt; '!$J$19,'DATOS &lt;'!$I$201:$V$207,10,FALSE))</f>
        <v>#N/A</v>
      </c>
      <c r="J30" s="1090" t="e">
        <f>J28+(VLOOKUP('20 mg + &lt; '!$J$19,'DATOS &lt;'!$I$201:$V$207,11,FALSE))*J28+(VLOOKUP('20 mg + &lt; '!$J$19,'DATOS &lt;'!$I$201:$V$207,12,FALSE))</f>
        <v>#N/A</v>
      </c>
      <c r="K30" s="1091" t="e">
        <f>K28+(VLOOKUP('20 mg + &lt; '!$J$19,'DATOS &lt;'!$I$201:$V$207,13,FALSE))*K28+(VLOOKUP('20 mg + &lt; '!$J$19,'DATOS &lt;'!$I$201:$V$207,14,FALSE))</f>
        <v>#N/A</v>
      </c>
      <c r="L30" s="1065"/>
      <c r="M30" s="1548"/>
      <c r="N30" s="568" t="s">
        <v>129</v>
      </c>
      <c r="O30" s="1087" t="e">
        <f>O28+(VLOOKUP('200 mg + &lt;'!$J$19,'DATOS &lt;'!$I$201:$V$207,9,FALSE))*O28+(VLOOKUP('200 mg + &lt;'!$J$19,'DATOS &lt;'!$I$201:$V$207,10,FALSE))</f>
        <v>#N/A</v>
      </c>
      <c r="P30" s="1090" t="e">
        <f>P28+(VLOOKUP('200 mg + &lt;'!$J$19,'DATOS &lt;'!$I$201:$V$207,11,FALSE))*P28+(VLOOKUP('200 mg + &lt;'!$J$19,'DATOS &lt;'!$I$201:$V$207,12,FALSE))</f>
        <v>#N/A</v>
      </c>
      <c r="Q30" s="1091" t="e">
        <f>Q28+(VLOOKUP('200 mg + &lt;'!$J$19,'DATOS &lt;'!$I$201:$V$207,13,FALSE))*Q28+(VLOOKUP('200 mg + &lt;'!$J$19,'DATOS &lt;'!$I$201:$V$207,14,FALSE))</f>
        <v>#N/A</v>
      </c>
    </row>
    <row r="31" spans="1:17" s="553" customFormat="1" ht="300" customHeight="1" x14ac:dyDescent="0.25">
      <c r="A31" s="1065"/>
      <c r="B31" s="1065"/>
      <c r="C31" s="1065"/>
      <c r="D31" s="1065"/>
      <c r="E31" s="1065"/>
      <c r="F31" s="1065"/>
      <c r="G31" s="1065"/>
      <c r="H31" s="1065"/>
      <c r="I31" s="1065"/>
      <c r="J31" s="1065"/>
      <c r="K31" s="1065"/>
      <c r="L31" s="1065"/>
      <c r="M31" s="1065"/>
      <c r="N31" s="1065"/>
      <c r="O31" s="1065"/>
      <c r="P31" s="1065"/>
      <c r="Q31" s="1065"/>
    </row>
    <row r="32" spans="1:17" s="553" customFormat="1" ht="30" customHeight="1" thickBot="1" x14ac:dyDescent="0.3">
      <c r="A32" s="1065"/>
      <c r="B32" s="1098"/>
      <c r="C32" s="1004"/>
      <c r="D32" s="1004"/>
      <c r="E32" s="1004"/>
      <c r="F32" s="1065"/>
      <c r="G32" s="1065"/>
      <c r="H32" s="1065"/>
      <c r="I32" s="1065"/>
      <c r="J32" s="1065"/>
      <c r="K32" s="1065"/>
      <c r="L32" s="1065"/>
      <c r="M32" s="1065"/>
      <c r="N32" s="1065"/>
      <c r="O32" s="1065"/>
      <c r="P32" s="1065"/>
      <c r="Q32" s="1065"/>
    </row>
    <row r="33" spans="1:17" s="553" customFormat="1" ht="30" customHeight="1" thickBot="1" x14ac:dyDescent="0.3">
      <c r="A33" s="226"/>
      <c r="B33" s="551" t="s">
        <v>111</v>
      </c>
      <c r="C33" s="552" t="s">
        <v>112</v>
      </c>
      <c r="D33" s="226"/>
      <c r="E33" s="226"/>
      <c r="F33" s="1065"/>
      <c r="G33" s="226"/>
      <c r="H33" s="551" t="s">
        <v>111</v>
      </c>
      <c r="I33" s="552" t="s">
        <v>112</v>
      </c>
      <c r="J33" s="226"/>
      <c r="K33" s="226"/>
      <c r="L33" s="1065"/>
      <c r="M33" s="226"/>
      <c r="N33" s="551" t="s">
        <v>111</v>
      </c>
      <c r="O33" s="552" t="s">
        <v>112</v>
      </c>
      <c r="P33" s="226"/>
      <c r="Q33" s="226"/>
    </row>
    <row r="34" spans="1:17" s="553" customFormat="1" ht="30" customHeight="1" thickBot="1" x14ac:dyDescent="0.3">
      <c r="A34" s="556" t="s">
        <v>136</v>
      </c>
      <c r="B34" s="557">
        <f>'5 mg &lt; '!$B$24</f>
        <v>0</v>
      </c>
      <c r="C34" s="557">
        <f>'5 mg &lt; '!$B$33</f>
        <v>0</v>
      </c>
      <c r="D34" s="555" t="s">
        <v>114</v>
      </c>
      <c r="E34" s="559">
        <f>'5 mg &lt; '!J19</f>
        <v>0</v>
      </c>
      <c r="F34" s="1065"/>
      <c r="G34" s="569" t="s">
        <v>137</v>
      </c>
      <c r="H34" s="557">
        <f>'50 mg &lt; '!$B$24</f>
        <v>0</v>
      </c>
      <c r="I34" s="557">
        <f>'50 mg &lt; '!$B$33</f>
        <v>0</v>
      </c>
      <c r="J34" s="555" t="s">
        <v>114</v>
      </c>
      <c r="K34" s="559">
        <f>'50 mg &lt; '!$J$19</f>
        <v>0</v>
      </c>
      <c r="L34" s="1065"/>
      <c r="M34" s="569" t="s">
        <v>138</v>
      </c>
      <c r="N34" s="557">
        <f>'500 mg &lt; '!B24</f>
        <v>0</v>
      </c>
      <c r="O34" s="557">
        <f>'500 mg &lt; '!B33</f>
        <v>0</v>
      </c>
      <c r="P34" s="555" t="s">
        <v>114</v>
      </c>
      <c r="Q34" s="559">
        <f>'500 mg &lt; '!$J$19</f>
        <v>0</v>
      </c>
    </row>
    <row r="35" spans="1:17" s="553" customFormat="1" ht="30" customHeight="1" thickBot="1" x14ac:dyDescent="0.3">
      <c r="A35" s="556" t="s">
        <v>119</v>
      </c>
      <c r="B35" s="560" t="s">
        <v>120</v>
      </c>
      <c r="C35" s="560" t="s">
        <v>121</v>
      </c>
      <c r="D35" s="560" t="s">
        <v>122</v>
      </c>
      <c r="E35" s="561" t="s">
        <v>123</v>
      </c>
      <c r="F35" s="1065"/>
      <c r="G35" s="556" t="s">
        <v>119</v>
      </c>
      <c r="H35" s="560" t="s">
        <v>120</v>
      </c>
      <c r="I35" s="560" t="s">
        <v>121</v>
      </c>
      <c r="J35" s="560" t="s">
        <v>122</v>
      </c>
      <c r="K35" s="561" t="s">
        <v>123</v>
      </c>
      <c r="L35" s="1065"/>
      <c r="M35" s="551" t="s">
        <v>119</v>
      </c>
      <c r="N35" s="560" t="s">
        <v>120</v>
      </c>
      <c r="O35" s="562" t="s">
        <v>121</v>
      </c>
      <c r="P35" s="562" t="s">
        <v>122</v>
      </c>
      <c r="Q35" s="552" t="s">
        <v>123</v>
      </c>
    </row>
    <row r="36" spans="1:17" s="553" customFormat="1" ht="39.950000000000003" customHeight="1" x14ac:dyDescent="0.25">
      <c r="A36" s="1547" t="e">
        <f>'5 mg &lt; '!$E$4</f>
        <v>#N/A</v>
      </c>
      <c r="B36" s="564" t="s">
        <v>124</v>
      </c>
      <c r="C36" s="1070"/>
      <c r="D36" s="1071"/>
      <c r="E36" s="1072"/>
      <c r="F36" s="1065"/>
      <c r="G36" s="1547" t="e">
        <f>'50 mg &lt; '!$E$4</f>
        <v>#N/A</v>
      </c>
      <c r="H36" s="564" t="s">
        <v>124</v>
      </c>
      <c r="I36" s="1070"/>
      <c r="J36" s="1071"/>
      <c r="K36" s="1072"/>
      <c r="L36" s="1065"/>
      <c r="M36" s="1549" t="e">
        <f>'500 mg &lt; '!$E$4</f>
        <v>#N/A</v>
      </c>
      <c r="N36" s="564" t="s">
        <v>124</v>
      </c>
      <c r="O36" s="1070"/>
      <c r="P36" s="1071"/>
      <c r="Q36" s="1072"/>
    </row>
    <row r="37" spans="1:17" s="553" customFormat="1" ht="39.950000000000003" customHeight="1" thickBot="1" x14ac:dyDescent="0.3">
      <c r="A37" s="1547"/>
      <c r="B37" s="566" t="s">
        <v>127</v>
      </c>
      <c r="C37" s="1074"/>
      <c r="D37" s="1075"/>
      <c r="E37" s="1076"/>
      <c r="F37" s="1065"/>
      <c r="G37" s="1547"/>
      <c r="H37" s="566" t="s">
        <v>127</v>
      </c>
      <c r="I37" s="1074"/>
      <c r="J37" s="1075"/>
      <c r="K37" s="1076"/>
      <c r="L37" s="1065"/>
      <c r="M37" s="1547"/>
      <c r="N37" s="566" t="s">
        <v>127</v>
      </c>
      <c r="O37" s="1074"/>
      <c r="P37" s="1075"/>
      <c r="Q37" s="1076"/>
    </row>
    <row r="38" spans="1:17" s="553" customFormat="1" ht="39.950000000000003" customHeight="1" x14ac:dyDescent="0.25">
      <c r="A38" s="1547"/>
      <c r="B38" s="567" t="s">
        <v>128</v>
      </c>
      <c r="C38" s="1081" t="e">
        <f>C36+(VLOOKUP('5 mg &lt; '!$J$19,'DATOS &lt;'!$I$201:$V$207,9,FALSE))*C36+(VLOOKUP('5 mg &lt; '!$J$19,'DATOS &lt;'!$I$201:$V$207,10,FALSE))</f>
        <v>#N/A</v>
      </c>
      <c r="D38" s="1085" t="e">
        <f>D36+(VLOOKUP('5 mg &lt; '!$J$19,'DATOS &lt;'!$I$201:$V$207,11,FALSE))*D36+(VLOOKUP('5 mg &lt; '!$J$19,'DATOS &lt;'!$I$201:$V$207,12,FALSE))</f>
        <v>#N/A</v>
      </c>
      <c r="E38" s="1086" t="e">
        <f>E36+(VLOOKUP('5 mg &lt; '!$J$19,'DATOS &lt;'!$I$201:$V$207,13,FALSE))*E36+(VLOOKUP('5 mg &lt; '!$J$19,'DATOS &lt;'!$I$201:$V$207,14,FALSE))</f>
        <v>#N/A</v>
      </c>
      <c r="F38" s="1065"/>
      <c r="G38" s="1547"/>
      <c r="H38" s="567" t="s">
        <v>128</v>
      </c>
      <c r="I38" s="1081" t="e">
        <f>I36+(VLOOKUP('50 mg &lt; '!$J$19,'DATOS &lt;'!$I$201:$V$207,9,FALSE))*I36+(VLOOKUP('50 mg &lt; '!$J$19,'DATOS &lt;'!$I$201:$V$207,10,FALSE))</f>
        <v>#N/A</v>
      </c>
      <c r="J38" s="1085" t="e">
        <f>J36+(VLOOKUP('50 mg &lt; '!$J$19,'DATOS &lt;'!$I$201:$V$207,11,FALSE))*J36+(VLOOKUP('50 mg &lt; '!$J$19,'DATOS &lt;'!$I$201:$V$207,12,FALSE))</f>
        <v>#N/A</v>
      </c>
      <c r="K38" s="1086" t="e">
        <f>K36+(VLOOKUP('50 mg &lt; '!$J$19,'DATOS &lt;'!$I$201:$V$207,13,FALSE))*K36+(VLOOKUP('50 mg &lt; '!$J$19,'DATOS &lt;'!$I$201:$V$207,14,FALSE))</f>
        <v>#N/A</v>
      </c>
      <c r="L38" s="1065"/>
      <c r="M38" s="1547"/>
      <c r="N38" s="567" t="s">
        <v>128</v>
      </c>
      <c r="O38" s="1084" t="e">
        <f>O36+(VLOOKUP('500 mg &lt; '!$J$19,'DATOS &lt;'!$I$201:$V$207,9,FALSE))*O36+(VLOOKUP('500 mg &lt; '!$J$19,'DATOS &lt;'!$I$201:$V$207,10,FALSE))</f>
        <v>#N/A</v>
      </c>
      <c r="P38" s="1085" t="e">
        <f>P36+(VLOOKUP('500 mg &lt; '!$J$19,'DATOS &lt;'!$I$201:$V$207,11,FALSE))*P36+(VLOOKUP('500 mg &lt; '!$J$19,'DATOS &lt;'!$I$201:$V$207,12,FALSE))</f>
        <v>#N/A</v>
      </c>
      <c r="Q38" s="1086" t="e">
        <f>Q36+(VLOOKUP('500 mg &lt; '!$J$19,'DATOS &lt;'!$I$201:$V$207,13,FALSE))*Q36+(VLOOKUP('500 mg &lt; '!$J$19,'DATOS &lt;'!$I$201:$V$207,14,FALSE))</f>
        <v>#N/A</v>
      </c>
    </row>
    <row r="39" spans="1:17" s="553" customFormat="1" ht="39.950000000000003" customHeight="1" thickBot="1" x14ac:dyDescent="0.3">
      <c r="A39" s="1548"/>
      <c r="B39" s="568" t="s">
        <v>129</v>
      </c>
      <c r="C39" s="1087" t="e">
        <f>C37+(VLOOKUP('5 mg &lt; '!$J$19,'DATOS &lt;'!$I$201:$V$207,9,FALSE))*C37+(VLOOKUP('5 mg &lt; '!$J$19,'DATOS &lt;'!$I$201:$V$207,10,FALSE))</f>
        <v>#N/A</v>
      </c>
      <c r="D39" s="1090" t="e">
        <f>D37+(VLOOKUP('5 mg &lt; '!$J$19,'DATOS &lt;'!$I$201:$V$207,11,FALSE))*D37+(VLOOKUP('5 mg &lt; '!$J$19,'DATOS &lt;'!$I$201:$V$207,12,FALSE))</f>
        <v>#N/A</v>
      </c>
      <c r="E39" s="1091" t="e">
        <f>E37+(VLOOKUP('5 mg &lt; '!$J$19,'DATOS &lt;'!$I$201:$V$207,13,FALSE))*E37+(VLOOKUP('5 mg &lt; '!$J$19,'DATOS &lt;'!$I$201:$V$207,14,FALSE))</f>
        <v>#N/A</v>
      </c>
      <c r="F39" s="1065"/>
      <c r="G39" s="1548"/>
      <c r="H39" s="568" t="s">
        <v>129</v>
      </c>
      <c r="I39" s="1087" t="e">
        <f>I37+(VLOOKUP('50 mg &lt; '!$J$19,'DATOS &lt;'!$I$201:$V$207,9,FALSE))*I37+(VLOOKUP('50 mg &lt; '!$J$19,'DATOS &lt;'!$I$201:$V$207,10,FALSE))</f>
        <v>#N/A</v>
      </c>
      <c r="J39" s="1090" t="e">
        <f>J37+(VLOOKUP('50 mg &lt; '!$J$19,'DATOS &lt;'!$I$201:$V$207,11,FALSE))*J37+(VLOOKUP('50 mg &lt; '!$J$19,'DATOS &lt;'!$I$201:$V$207,12,FALSE))</f>
        <v>#N/A</v>
      </c>
      <c r="K39" s="1091" t="e">
        <f>K37+(VLOOKUP('50 mg &lt; '!$J$19,'DATOS &lt;'!$I$201:$V$207,13,FALSE))*K37+(VLOOKUP('50 mg &lt; '!$J$19,'DATOS &lt;'!$I$201:$V$207,14,FALSE))</f>
        <v>#N/A</v>
      </c>
      <c r="L39" s="1065"/>
      <c r="M39" s="1548"/>
      <c r="N39" s="568" t="s">
        <v>129</v>
      </c>
      <c r="O39" s="1087" t="e">
        <f>O37+(VLOOKUP('500 mg &lt; '!$J$19,'DATOS &lt;'!$I$201:$V$207,9,FALSE))*O37+(VLOOKUP('500 mg &lt; '!$J$19,'DATOS &lt;'!$I$201:$V$207,10,FALSE))</f>
        <v>#N/A</v>
      </c>
      <c r="P39" s="1090" t="e">
        <f>P37+(VLOOKUP('500 mg &lt; '!$J$19,'DATOS &lt;'!$I$201:$V$207,11,FALSE))*P37+(VLOOKUP('500 mg &lt; '!$J$19,'DATOS &lt;'!$I$201:$V$207,12,FALSE))</f>
        <v>#N/A</v>
      </c>
      <c r="Q39" s="1091" t="e">
        <f>Q37+(VLOOKUP('500 mg &lt; '!$J$19,'DATOS &lt;'!$I$201:$V$207,13,FALSE))*Q37+(VLOOKUP('500 mg &lt; '!$J$19,'DATOS &lt;'!$I$201:$V$207,14,FALSE))</f>
        <v>#N/A</v>
      </c>
    </row>
    <row r="40" spans="1:17" s="553" customFormat="1" ht="300" customHeight="1" x14ac:dyDescent="0.25">
      <c r="A40" s="1065"/>
      <c r="B40" s="1065"/>
      <c r="C40" s="1065"/>
      <c r="D40" s="1065"/>
      <c r="E40" s="1065"/>
      <c r="F40" s="1065"/>
      <c r="G40" s="1065"/>
      <c r="H40" s="1065"/>
      <c r="I40" s="1065"/>
      <c r="J40" s="1065"/>
      <c r="K40" s="1065"/>
      <c r="L40" s="1065"/>
      <c r="M40" s="1065"/>
      <c r="N40" s="1065"/>
      <c r="O40" s="1065"/>
      <c r="P40" s="1065"/>
      <c r="Q40" s="1065"/>
    </row>
    <row r="41" spans="1:17" s="553" customFormat="1" x14ac:dyDescent="0.25">
      <c r="A41" s="1065"/>
      <c r="B41" s="1065"/>
      <c r="C41" s="1065"/>
      <c r="D41" s="1065"/>
      <c r="E41" s="1065"/>
      <c r="F41" s="1065"/>
      <c r="G41" s="1065"/>
      <c r="H41" s="1065"/>
      <c r="I41" s="1065"/>
      <c r="J41" s="1065"/>
      <c r="K41" s="1065"/>
      <c r="L41" s="1065"/>
      <c r="M41" s="1065"/>
      <c r="N41" s="1065"/>
      <c r="O41" s="1065"/>
      <c r="P41" s="1065"/>
      <c r="Q41" s="1065"/>
    </row>
    <row r="42" spans="1:17" s="553" customFormat="1" x14ac:dyDescent="0.25">
      <c r="A42" s="1065"/>
      <c r="B42" s="1065"/>
      <c r="C42" s="1065"/>
      <c r="D42" s="1065"/>
      <c r="E42" s="1065"/>
      <c r="F42" s="1065"/>
      <c r="G42" s="1065"/>
      <c r="H42" s="1065"/>
      <c r="I42" s="1065"/>
      <c r="J42" s="1065"/>
      <c r="K42" s="1065"/>
      <c r="L42" s="1065"/>
      <c r="M42" s="1065"/>
      <c r="N42" s="1065"/>
      <c r="O42" s="1065"/>
      <c r="P42" s="1065"/>
      <c r="Q42" s="1065"/>
    </row>
    <row r="43" spans="1:17" s="553" customFormat="1" x14ac:dyDescent="0.25">
      <c r="A43" s="1065"/>
      <c r="B43" s="1065"/>
      <c r="C43" s="1065"/>
      <c r="D43" s="1065"/>
      <c r="E43" s="1065"/>
      <c r="F43" s="1065"/>
      <c r="G43" s="1065"/>
      <c r="H43" s="1065"/>
      <c r="I43" s="1065"/>
      <c r="J43" s="1065"/>
      <c r="K43" s="1065"/>
      <c r="L43" s="1065"/>
      <c r="M43" s="1065"/>
      <c r="N43" s="1065"/>
      <c r="O43" s="1065"/>
      <c r="P43" s="1065"/>
      <c r="Q43" s="1065"/>
    </row>
    <row r="44" spans="1:17" s="553" customFormat="1" x14ac:dyDescent="0.25">
      <c r="A44" s="1065"/>
      <c r="B44" s="1065"/>
      <c r="C44" s="1065"/>
      <c r="D44" s="1065"/>
      <c r="E44" s="1065"/>
      <c r="F44" s="1065"/>
      <c r="G44" s="1065"/>
      <c r="H44" s="1065"/>
      <c r="I44" s="1065"/>
      <c r="J44" s="1065"/>
      <c r="K44" s="1065"/>
      <c r="L44" s="1065"/>
      <c r="M44" s="1065"/>
      <c r="N44" s="1065"/>
      <c r="O44" s="1065"/>
      <c r="P44" s="1065"/>
      <c r="Q44" s="1065"/>
    </row>
    <row r="45" spans="1:17" s="553" customFormat="1" x14ac:dyDescent="0.25">
      <c r="A45" s="1065"/>
      <c r="B45" s="1065"/>
      <c r="C45" s="1065"/>
      <c r="D45" s="1065"/>
      <c r="E45" s="1065"/>
      <c r="F45" s="1065"/>
      <c r="G45" s="1065"/>
      <c r="H45" s="1065"/>
      <c r="I45" s="1065"/>
      <c r="J45" s="1065"/>
      <c r="K45" s="1065"/>
      <c r="L45" s="1065"/>
      <c r="M45" s="1065"/>
      <c r="N45" s="1065"/>
      <c r="O45" s="1065"/>
      <c r="P45" s="1065"/>
      <c r="Q45" s="1065"/>
    </row>
  </sheetData>
  <sheetProtection algorithmName="SHA-512" hashValue="vdnpE554et8D7YA1NTf0n3lHuQVgCKWCGCTtLHcTNQv2HY0WKTxl6glfYxtCn2wGZH1SYDmMGjzEQ3UdfCyHyw==" saltValue="8vUX8Hk5u6XpIom+Y5JIJQ==" spinCount="100000" sheet="1" objects="1" scenarios="1" selectLockedCells="1"/>
  <mergeCells count="17">
    <mergeCell ref="E1:R1"/>
    <mergeCell ref="A18:A21"/>
    <mergeCell ref="G18:G21"/>
    <mergeCell ref="M18:M21"/>
    <mergeCell ref="A27:A30"/>
    <mergeCell ref="G27:G30"/>
    <mergeCell ref="M27:M30"/>
    <mergeCell ref="A1:D1"/>
    <mergeCell ref="A3:R4"/>
    <mergeCell ref="A9:A12"/>
    <mergeCell ref="G9:G12"/>
    <mergeCell ref="M9:M12"/>
    <mergeCell ref="U4:V5"/>
    <mergeCell ref="S3:T4"/>
    <mergeCell ref="A36:A39"/>
    <mergeCell ref="G36:G39"/>
    <mergeCell ref="M36:M39"/>
  </mergeCells>
  <conditionalFormatting sqref="C11:C12">
    <cfRule type="cellIs" dxfId="128" priority="83" operator="notBetween">
      <formula>$S$6</formula>
      <formula>$T$6</formula>
    </cfRule>
    <cfRule type="cellIs" dxfId="127" priority="2" operator="notBetween">
      <formula>$U$7</formula>
      <formula>$V$7</formula>
    </cfRule>
  </conditionalFormatting>
  <conditionalFormatting sqref="C20:C21">
    <cfRule type="cellIs" dxfId="126" priority="9" operator="notBetween">
      <formula>$S$6</formula>
      <formula>$T$6</formula>
    </cfRule>
  </conditionalFormatting>
  <conditionalFormatting sqref="C29:C30">
    <cfRule type="cellIs" dxfId="125" priority="14" operator="notBetween">
      <formula>$S$6</formula>
      <formula>$T$6</formula>
    </cfRule>
  </conditionalFormatting>
  <conditionalFormatting sqref="C38:C39">
    <cfRule type="cellIs" dxfId="124" priority="13" operator="notBetween">
      <formula>$S$6</formula>
      <formula>$T$6</formula>
    </cfRule>
  </conditionalFormatting>
  <conditionalFormatting sqref="D11:D12">
    <cfRule type="cellIs" dxfId="123" priority="79" operator="notBetween">
      <formula>$S$8</formula>
      <formula>$T$8</formula>
    </cfRule>
  </conditionalFormatting>
  <conditionalFormatting sqref="D20:D21">
    <cfRule type="cellIs" dxfId="122" priority="62" operator="notBetween">
      <formula>$S$8</formula>
      <formula>$T$8</formula>
    </cfRule>
  </conditionalFormatting>
  <conditionalFormatting sqref="D29:D30">
    <cfRule type="cellIs" dxfId="121" priority="57" operator="notBetween">
      <formula>$S$8</formula>
      <formula>$T$8</formula>
    </cfRule>
  </conditionalFormatting>
  <conditionalFormatting sqref="D38:D39">
    <cfRule type="cellIs" dxfId="120" priority="52" operator="notBetween">
      <formula>$S$8</formula>
      <formula>$T$8</formula>
    </cfRule>
  </conditionalFormatting>
  <conditionalFormatting sqref="E11:E12">
    <cfRule type="cellIs" dxfId="119" priority="77" operator="notBetween">
      <formula>$S$10</formula>
      <formula>$T$10</formula>
    </cfRule>
  </conditionalFormatting>
  <conditionalFormatting sqref="E20:E21">
    <cfRule type="cellIs" dxfId="118" priority="60" operator="notBetween">
      <formula>$S$10</formula>
      <formula>$T$10</formula>
    </cfRule>
  </conditionalFormatting>
  <conditionalFormatting sqref="E29:E30">
    <cfRule type="cellIs" dxfId="117" priority="55" operator="notBetween">
      <formula>$S$10</formula>
      <formula>$T$10</formula>
    </cfRule>
  </conditionalFormatting>
  <conditionalFormatting sqref="E38:E39">
    <cfRule type="cellIs" dxfId="116" priority="50" operator="notBetween">
      <formula>$S$10</formula>
      <formula>$T$10</formula>
    </cfRule>
  </conditionalFormatting>
  <conditionalFormatting sqref="I11:I12">
    <cfRule type="cellIs" dxfId="115" priority="1" operator="notBetween">
      <formula>$U$7</formula>
      <formula>$V$7</formula>
    </cfRule>
    <cfRule type="cellIs" dxfId="114" priority="74" operator="notBetween">
      <formula>$S$6</formula>
      <formula>$T$6</formula>
    </cfRule>
  </conditionalFormatting>
  <conditionalFormatting sqref="I20:I21">
    <cfRule type="cellIs" dxfId="113" priority="10" operator="notBetween">
      <formula>$S$6</formula>
      <formula>$T$6</formula>
    </cfRule>
  </conditionalFormatting>
  <conditionalFormatting sqref="I29:I30">
    <cfRule type="cellIs" dxfId="112" priority="11" operator="notBetween">
      <formula>$S$6</formula>
      <formula>$T$6</formula>
    </cfRule>
  </conditionalFormatting>
  <conditionalFormatting sqref="I38:I39">
    <cfRule type="cellIs" dxfId="111" priority="12" operator="notBetween">
      <formula>$S$6</formula>
      <formula>$T$6</formula>
    </cfRule>
  </conditionalFormatting>
  <conditionalFormatting sqref="J11:J12">
    <cfRule type="cellIs" dxfId="110" priority="72" operator="notBetween">
      <formula>$S$8</formula>
      <formula>$T$8</formula>
    </cfRule>
  </conditionalFormatting>
  <conditionalFormatting sqref="J20:J21">
    <cfRule type="cellIs" dxfId="109" priority="47" operator="notBetween">
      <formula>$S$8</formula>
      <formula>$T$8</formula>
    </cfRule>
  </conditionalFormatting>
  <conditionalFormatting sqref="J29:J30">
    <cfRule type="cellIs" dxfId="108" priority="42" operator="notBetween">
      <formula>$S$8</formula>
      <formula>$T$8</formula>
    </cfRule>
  </conditionalFormatting>
  <conditionalFormatting sqref="J38:J39">
    <cfRule type="cellIs" dxfId="107" priority="37" operator="notBetween">
      <formula>$S$8</formula>
      <formula>$T$8</formula>
    </cfRule>
  </conditionalFormatting>
  <conditionalFormatting sqref="K11:K12">
    <cfRule type="cellIs" dxfId="106" priority="70" operator="notBetween">
      <formula>$S$10</formula>
      <formula>$T$10</formula>
    </cfRule>
  </conditionalFormatting>
  <conditionalFormatting sqref="K20:K21">
    <cfRule type="cellIs" dxfId="105" priority="45" operator="notBetween">
      <formula>$S$10</formula>
      <formula>$T$10</formula>
    </cfRule>
  </conditionalFormatting>
  <conditionalFormatting sqref="K29:K30">
    <cfRule type="cellIs" dxfId="104" priority="40" operator="notBetween">
      <formula>$S$10</formula>
      <formula>$T$10</formula>
    </cfRule>
  </conditionalFormatting>
  <conditionalFormatting sqref="K38:K39">
    <cfRule type="cellIs" dxfId="103" priority="35" operator="notBetween">
      <formula>$S$10</formula>
      <formula>$T$10</formula>
    </cfRule>
  </conditionalFormatting>
  <conditionalFormatting sqref="O11:O12">
    <cfRule type="cellIs" dxfId="102" priority="19" operator="notBetween">
      <formula>$S$6</formula>
      <formula>$T$6</formula>
    </cfRule>
  </conditionalFormatting>
  <conditionalFormatting sqref="O20:O21">
    <cfRule type="cellIs" dxfId="101" priority="18" operator="notBetween">
      <formula>$S$6</formula>
      <formula>$T$6</formula>
    </cfRule>
  </conditionalFormatting>
  <conditionalFormatting sqref="O29:O30">
    <cfRule type="cellIs" dxfId="100" priority="3" operator="notBetween">
      <formula>$S$6</formula>
      <formula>$T$6</formula>
    </cfRule>
  </conditionalFormatting>
  <conditionalFormatting sqref="O38:O39">
    <cfRule type="cellIs" dxfId="99" priority="16" operator="notBetween">
      <formula>$S$6</formula>
      <formula>$T$6</formula>
    </cfRule>
  </conditionalFormatting>
  <conditionalFormatting sqref="P11:P12">
    <cfRule type="cellIs" dxfId="98" priority="67" operator="notBetween">
      <formula>$S$8</formula>
      <formula>$T$8</formula>
    </cfRule>
  </conditionalFormatting>
  <conditionalFormatting sqref="P20:P21">
    <cfRule type="cellIs" dxfId="97" priority="32" operator="notBetween">
      <formula>$S$8</formula>
      <formula>$T$8</formula>
    </cfRule>
  </conditionalFormatting>
  <conditionalFormatting sqref="P29:P30">
    <cfRule type="cellIs" dxfId="96" priority="6" operator="notBetween">
      <formula>$S$8</formula>
      <formula>$T$8</formula>
    </cfRule>
  </conditionalFormatting>
  <conditionalFormatting sqref="P38:P39">
    <cfRule type="cellIs" dxfId="95" priority="22" operator="notBetween">
      <formula>$S$8</formula>
      <formula>$T$8</formula>
    </cfRule>
  </conditionalFormatting>
  <conditionalFormatting sqref="Q11:Q12">
    <cfRule type="cellIs" dxfId="94" priority="65" operator="notBetween">
      <formula>$S$10</formula>
      <formula>$T$10</formula>
    </cfRule>
  </conditionalFormatting>
  <conditionalFormatting sqref="Q20:Q21">
    <cfRule type="cellIs" dxfId="93" priority="30" operator="notBetween">
      <formula>$S$10</formula>
      <formula>$T$10</formula>
    </cfRule>
  </conditionalFormatting>
  <conditionalFormatting sqref="Q29:Q30">
    <cfRule type="cellIs" dxfId="92" priority="4" operator="notBetween">
      <formula>$S$10</formula>
      <formula>$T$10</formula>
    </cfRule>
  </conditionalFormatting>
  <conditionalFormatting sqref="Q38:Q39">
    <cfRule type="cellIs" dxfId="91" priority="20" operator="notBetween">
      <formula>$S$10</formula>
      <formula>$T$10</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&lt;'!N25:V134,4,FALSE)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&lt;'!N25:V134,6,FALSE)</f>
        <v>#N/A</v>
      </c>
      <c r="C9" s="605" t="s">
        <v>15</v>
      </c>
      <c r="D9" s="606" t="e">
        <f>VLOOKUP($E$6,'DATOS &lt;'!N25:V134,7,FALSE)</f>
        <v>#N/A</v>
      </c>
      <c r="F9" s="1354" t="s">
        <v>16</v>
      </c>
      <c r="G9" s="1355"/>
      <c r="H9" s="600" t="e">
        <f>VLOOKUP($J$6,'DATOS &lt;'!B47:I79,6,FALSE)</f>
        <v>#N/A</v>
      </c>
      <c r="I9" s="602" t="s">
        <v>17</v>
      </c>
      <c r="K9" s="607"/>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26</v>
      </c>
      <c r="E13" s="611"/>
      <c r="F13" s="1386" t="s">
        <v>27</v>
      </c>
      <c r="G13" s="1387"/>
      <c r="H13" s="1387"/>
      <c r="I13" s="1388"/>
      <c r="J13" s="5"/>
    </row>
    <row r="14" spans="1:16" s="609" customFormat="1" ht="31.5" customHeight="1" x14ac:dyDescent="0.2">
      <c r="A14" s="1354" t="s">
        <v>28</v>
      </c>
      <c r="B14" s="1355"/>
      <c r="C14" s="600" t="e">
        <f>VLOOKUP($E$6,'DATOS &lt;'!N25:AC134,14,FALSE)</f>
        <v>#N/A</v>
      </c>
      <c r="D14" s="602" t="s">
        <v>26</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26</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357"/>
      <c r="C27" s="635">
        <v>1</v>
      </c>
      <c r="D27" s="635">
        <v>2</v>
      </c>
      <c r="E27" s="636">
        <v>3</v>
      </c>
      <c r="F27" s="626"/>
      <c r="H27" s="1376" t="s">
        <v>44</v>
      </c>
      <c r="I27" s="1377"/>
    </row>
    <row r="28" spans="1:14" s="627" customFormat="1" ht="31.5" customHeight="1" thickBot="1" x14ac:dyDescent="0.25">
      <c r="A28" s="1381" t="s">
        <v>45</v>
      </c>
      <c r="B28" s="645" t="s">
        <v>46</v>
      </c>
      <c r="C28" s="118"/>
      <c r="D28" s="118"/>
      <c r="E28" s="119"/>
      <c r="F28" s="626"/>
      <c r="G28" s="626"/>
      <c r="H28" s="1358" t="e">
        <f>VLOOKUP($I$26,'DATOS &lt;'!$B$131:$G$135,2,FALSE)</f>
        <v>#N/A</v>
      </c>
      <c r="I28" s="1359"/>
      <c r="J28" s="626"/>
    </row>
    <row r="29" spans="1:14" s="627" customFormat="1" ht="31.5" customHeight="1" x14ac:dyDescent="0.2">
      <c r="A29" s="1382"/>
      <c r="B29" s="790" t="s">
        <v>47</v>
      </c>
      <c r="C29" s="107"/>
      <c r="D29" s="107"/>
      <c r="E29" s="108"/>
      <c r="F29" s="626"/>
      <c r="G29" s="626"/>
      <c r="H29" s="626"/>
      <c r="I29" s="626"/>
      <c r="J29" s="626"/>
    </row>
    <row r="30" spans="1:14" s="627" customFormat="1" ht="31.5" customHeight="1" x14ac:dyDescent="0.2">
      <c r="A30" s="1382"/>
      <c r="B30" s="790" t="s">
        <v>47</v>
      </c>
      <c r="C30" s="107"/>
      <c r="D30" s="107"/>
      <c r="E30" s="108"/>
      <c r="F30" s="626"/>
      <c r="G30" s="626"/>
      <c r="H30" s="626"/>
      <c r="I30" s="626"/>
      <c r="J30" s="626"/>
    </row>
    <row r="31" spans="1:14" s="627" customFormat="1" ht="31.5" customHeight="1" thickBot="1" x14ac:dyDescent="0.25">
      <c r="A31" s="1383"/>
      <c r="B31" s="791" t="s">
        <v>46</v>
      </c>
      <c r="C31" s="120"/>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79"/>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66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668"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c r="K49" s="675"/>
      <c r="L49" s="675"/>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793" t="s">
        <v>104</v>
      </c>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432" t="s">
        <v>81</v>
      </c>
      <c r="M62" s="435" t="s">
        <v>85</v>
      </c>
      <c r="N62" s="436"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992" t="s">
        <v>92</v>
      </c>
      <c r="K67" s="993" t="s">
        <v>93</v>
      </c>
      <c r="L67" s="994" t="s">
        <v>94</v>
      </c>
    </row>
    <row r="68" spans="1:21" s="627" customFormat="1" ht="65.25" customHeight="1" thickBot="1" x14ac:dyDescent="0.3">
      <c r="A68" s="723" t="s">
        <v>95</v>
      </c>
      <c r="B68" s="724"/>
      <c r="C68" s="795">
        <f>0.01/SQRT(45)</f>
        <v>1.4907119849998597E-3</v>
      </c>
      <c r="D68" s="720" t="s">
        <v>22</v>
      </c>
      <c r="E68" s="427" t="s">
        <v>74</v>
      </c>
      <c r="F68" s="820">
        <v>50</v>
      </c>
      <c r="G68" s="519" t="e">
        <f t="shared" si="2"/>
        <v>#VALUE!</v>
      </c>
      <c r="H68" s="792" t="e">
        <f>IF(C68=MAX($C$59,$C$62,$C$66,$C$67,$C$68),"",C68)</f>
        <v>#DIV/0!</v>
      </c>
      <c r="J68" s="995" t="e">
        <f>G70^4/((C59^4/F59)+(C62^4/F62)+(C66^4/F66)+(C67^4/F67)+(C68^4/F68))</f>
        <v>#DIV/0!</v>
      </c>
      <c r="K68" s="996" t="e">
        <f>(_xlfn.T.INV.2T(0.05,J68))</f>
        <v>#DIV/0!</v>
      </c>
      <c r="L68" s="524" t="e">
        <f>(1-_xlfn.T.DIST.2T(K68,J68))</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+G70*K68</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339" t="s">
        <v>103</v>
      </c>
      <c r="J74" s="1339"/>
      <c r="K74" s="1340"/>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J19:J20"/>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A20:B20"/>
    <mergeCell ref="E20:F20"/>
    <mergeCell ref="C24:D24"/>
    <mergeCell ref="F24:G24"/>
    <mergeCell ref="H27:I27"/>
    <mergeCell ref="C26:E26"/>
    <mergeCell ref="A18:N18"/>
    <mergeCell ref="A22:N22"/>
    <mergeCell ref="G49:H49"/>
    <mergeCell ref="A28:A31"/>
    <mergeCell ref="C33:D33"/>
    <mergeCell ref="F33:G33"/>
    <mergeCell ref="A47:B48"/>
    <mergeCell ref="C47:E47"/>
    <mergeCell ref="G48:H48"/>
    <mergeCell ref="B38:E38"/>
    <mergeCell ref="A49:B49"/>
    <mergeCell ref="A36:N36"/>
    <mergeCell ref="A46:N46"/>
    <mergeCell ref="H38:M38"/>
    <mergeCell ref="H39:M39"/>
    <mergeCell ref="H40:M42"/>
    <mergeCell ref="B73:E73"/>
    <mergeCell ref="H73:K73"/>
    <mergeCell ref="F74:G74"/>
    <mergeCell ref="H74:H76"/>
    <mergeCell ref="I74:K74"/>
    <mergeCell ref="J75:K75"/>
    <mergeCell ref="J76:K76"/>
    <mergeCell ref="D70:E70"/>
    <mergeCell ref="D71:E71"/>
    <mergeCell ref="B72:K72"/>
    <mergeCell ref="A58:B58"/>
    <mergeCell ref="C58:D58"/>
    <mergeCell ref="E58:F58"/>
    <mergeCell ref="I60:N60"/>
    <mergeCell ref="A56:N56"/>
    <mergeCell ref="A50:B50"/>
    <mergeCell ref="G50:H50"/>
    <mergeCell ref="D53:E53"/>
    <mergeCell ref="H53:I53"/>
    <mergeCell ref="A52:N52"/>
  </mergeCells>
  <conditionalFormatting sqref="G59 G62 G66:G68">
    <cfRule type="cellIs" dxfId="9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F00-000000000000}">
          <x14:formula1>
            <xm:f>'DATOS &lt;'!$B$20:$B$36</xm:f>
          </x14:formula1>
          <xm:sqref>I3:J4</xm:sqref>
        </x14:dataValidation>
        <x14:dataValidation type="list" allowBlank="1" showInputMessage="1" showErrorMessage="1" xr:uid="{00000000-0002-0000-0F00-000001000000}">
          <x14:formula1>
            <xm:f>'DATOS &lt;'!$N$25:$N$134</xm:f>
          </x14:formula1>
          <xm:sqref>E6</xm:sqref>
        </x14:dataValidation>
        <x14:dataValidation type="list" allowBlank="1" showInputMessage="1" showErrorMessage="1" xr:uid="{00000000-0002-0000-0F00-000002000000}">
          <x14:formula1>
            <xm:f>'DATOS &lt;'!$B$118:$B$124</xm:f>
          </x14:formula1>
          <xm:sqref>J13</xm:sqref>
        </x14:dataValidation>
        <x14:dataValidation type="list" allowBlank="1" showInputMessage="1" showErrorMessage="1" xr:uid="{00000000-0002-0000-0F00-000003000000}">
          <x14:formula1>
            <xm:f>'DATOS &lt;'!$B$131:$B$135</xm:f>
          </x14:formula1>
          <xm:sqref>I26</xm:sqref>
        </x14:dataValidation>
        <x14:dataValidation type="list" allowBlank="1" showInputMessage="1" showErrorMessage="1" xr:uid="{00000000-0002-0000-0F00-000004000000}">
          <x14:formula1>
            <xm:f>'DATOS &lt;'!$I$202:$I$205</xm:f>
          </x14:formula1>
          <xm:sqref>J19:J20</xm:sqref>
        </x14:dataValidation>
        <x14:dataValidation type="list" allowBlank="1" showInputMessage="1" showErrorMessage="1" xr:uid="{00000000-0002-0000-0F00-000005000000}">
          <x14:formula1>
            <xm:f>'DATOS &lt;'!$I$129:$I$130</xm:f>
          </x14:formula1>
          <xm:sqref>N39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28515625" style="598" customWidth="1"/>
    <col min="2" max="2" width="12.7109375"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4">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18"/>
      <c r="D28" s="118"/>
      <c r="E28" s="119"/>
      <c r="F28" s="626"/>
      <c r="G28" s="626"/>
      <c r="H28" s="1358" t="e">
        <f>VLOOKUP($I$26,'DATOS &lt;'!$B$131:$G$135,2,FALSE)</f>
        <v>#N/A</v>
      </c>
      <c r="I28" s="1359"/>
      <c r="J28" s="626"/>
    </row>
    <row r="29" spans="1:11" s="627" customFormat="1" ht="31.5" customHeight="1" x14ac:dyDescent="0.2">
      <c r="A29" s="1382"/>
      <c r="B29" s="790" t="s">
        <v>47</v>
      </c>
      <c r="C29" s="107"/>
      <c r="D29" s="107"/>
      <c r="E29" s="108"/>
      <c r="F29" s="626"/>
      <c r="G29" s="626"/>
      <c r="H29" s="626"/>
      <c r="I29" s="626"/>
      <c r="J29" s="626"/>
    </row>
    <row r="30" spans="1:11" s="627" customFormat="1" ht="31.5" customHeight="1" x14ac:dyDescent="0.2">
      <c r="A30" s="1382"/>
      <c r="B30" s="790" t="s">
        <v>47</v>
      </c>
      <c r="C30" s="107"/>
      <c r="D30" s="107"/>
      <c r="E30" s="108"/>
      <c r="F30" s="626"/>
      <c r="G30" s="626"/>
      <c r="H30" s="626"/>
      <c r="I30" s="626"/>
      <c r="J30" s="626"/>
    </row>
    <row r="31" spans="1:11" s="627" customFormat="1" ht="31.5" customHeight="1" thickBot="1" x14ac:dyDescent="0.25">
      <c r="A31" s="1383"/>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755"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1"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38"/>
      <c r="I76" s="761"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28:A31"/>
    <mergeCell ref="C33:D33"/>
    <mergeCell ref="F33:G33"/>
    <mergeCell ref="A46:J46"/>
    <mergeCell ref="A47:B48"/>
    <mergeCell ref="C47:E47"/>
    <mergeCell ref="G48:H48"/>
    <mergeCell ref="B38:E38"/>
    <mergeCell ref="A36:N36"/>
    <mergeCell ref="H38:M38"/>
    <mergeCell ref="H39:M39"/>
    <mergeCell ref="H40:M42"/>
    <mergeCell ref="B73:E73"/>
    <mergeCell ref="H73:K73"/>
    <mergeCell ref="F74:G74"/>
    <mergeCell ref="H74:H76"/>
    <mergeCell ref="I74:K74"/>
    <mergeCell ref="J75:K75"/>
    <mergeCell ref="J76:K76"/>
    <mergeCell ref="D53:E53"/>
    <mergeCell ref="H53:I53"/>
    <mergeCell ref="D70:E70"/>
    <mergeCell ref="D71:E71"/>
    <mergeCell ref="B72:K72"/>
    <mergeCell ref="A56:J56"/>
    <mergeCell ref="A58:B58"/>
    <mergeCell ref="C58:D58"/>
    <mergeCell ref="E58:F58"/>
    <mergeCell ref="I60:N60"/>
    <mergeCell ref="G49:H49"/>
    <mergeCell ref="A49:B49"/>
    <mergeCell ref="A50:B50"/>
    <mergeCell ref="G50:H50"/>
    <mergeCell ref="A52:J52"/>
  </mergeCells>
  <conditionalFormatting sqref="G59 G62 G66:G68">
    <cfRule type="cellIs" dxfId="8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0000000}">
          <x14:formula1>
            <xm:f>'DATOS &lt;'!$B$20:$B$36</xm:f>
          </x14:formula1>
          <xm:sqref>I3:J4</xm:sqref>
        </x14:dataValidation>
        <x14:dataValidation type="list" allowBlank="1" showInputMessage="1" showErrorMessage="1" xr:uid="{00000000-0002-0000-1000-000001000000}">
          <x14:formula1>
            <xm:f>'DATOS &lt;'!$N$25:$N$134</xm:f>
          </x14:formula1>
          <xm:sqref>E6</xm:sqref>
        </x14:dataValidation>
        <x14:dataValidation type="list" allowBlank="1" showInputMessage="1" showErrorMessage="1" xr:uid="{00000000-0002-0000-1000-000002000000}">
          <x14:formula1>
            <xm:f>'DATOS &lt;'!$B$118:$B$124</xm:f>
          </x14:formula1>
          <xm:sqref>J13</xm:sqref>
        </x14:dataValidation>
        <x14:dataValidation type="list" allowBlank="1" showInputMessage="1" showErrorMessage="1" xr:uid="{00000000-0002-0000-1000-000003000000}">
          <x14:formula1>
            <xm:f>'DATOS &lt;'!$B$131:$B$135</xm:f>
          </x14:formula1>
          <xm:sqref>I26</xm:sqref>
        </x14:dataValidation>
        <x14:dataValidation type="list" allowBlank="1" showInputMessage="1" showErrorMessage="1" xr:uid="{00000000-0002-0000-1000-000004000000}">
          <x14:formula1>
            <xm:f>'DATOS &lt;'!$I$202:$I$205</xm:f>
          </x14:formula1>
          <xm:sqref>J19:J20</xm:sqref>
        </x14:dataValidation>
        <x14:dataValidation type="list" allowBlank="1" showInputMessage="1" showErrorMessage="1" xr:uid="{00000000-0002-0000-1000-000005000000}">
          <x14:formula1>
            <xm:f>'DATOS &lt;'!$I$129:$I$130</xm:f>
          </x14:formula1>
          <xm:sqref>N39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559" t="s">
        <v>32</v>
      </c>
      <c r="B18" s="1558"/>
      <c r="C18" s="1558"/>
      <c r="D18" s="1558"/>
      <c r="E18" s="1558"/>
      <c r="F18" s="1558"/>
      <c r="G18" s="1558"/>
      <c r="H18" s="1558"/>
      <c r="I18" s="1558"/>
      <c r="J18" s="1560"/>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42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33"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18"/>
      <c r="D28" s="118"/>
      <c r="E28" s="119"/>
      <c r="F28" s="626"/>
      <c r="G28" s="626"/>
      <c r="H28" s="1358" t="e">
        <f>VLOOKUP($I$26,'DATOS &lt;'!$B$131:$G$135,2,FALSE)</f>
        <v>#N/A</v>
      </c>
      <c r="I28" s="1359"/>
    </row>
    <row r="29" spans="1:11" s="627" customFormat="1" ht="31.5" customHeight="1" x14ac:dyDescent="0.2">
      <c r="A29" s="1382"/>
      <c r="B29" s="790" t="s">
        <v>47</v>
      </c>
      <c r="C29" s="107"/>
      <c r="D29" s="107"/>
      <c r="E29" s="108"/>
      <c r="F29" s="626"/>
      <c r="G29" s="626"/>
      <c r="H29" s="626"/>
      <c r="I29" s="626"/>
    </row>
    <row r="30" spans="1:11" s="627" customFormat="1" ht="31.5" customHeight="1" x14ac:dyDescent="0.2">
      <c r="A30" s="1382"/>
      <c r="B30" s="790" t="s">
        <v>47</v>
      </c>
      <c r="C30" s="107"/>
      <c r="D30" s="107"/>
      <c r="E30" s="108"/>
      <c r="F30" s="626"/>
      <c r="G30" s="626"/>
      <c r="H30" s="626"/>
      <c r="I30" s="626"/>
    </row>
    <row r="31" spans="1:11" s="627" customFormat="1" ht="31.5" customHeight="1" thickBot="1" x14ac:dyDescent="0.25">
      <c r="A31" s="1383"/>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79"/>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533</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1"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38"/>
      <c r="I76" s="761"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28:A31"/>
    <mergeCell ref="C33:D33"/>
    <mergeCell ref="F33:G33"/>
    <mergeCell ref="A46:J46"/>
    <mergeCell ref="A47:B48"/>
    <mergeCell ref="C47:E47"/>
    <mergeCell ref="G48:H48"/>
    <mergeCell ref="B38:E38"/>
    <mergeCell ref="A36:N36"/>
    <mergeCell ref="H38:M38"/>
    <mergeCell ref="H39:M39"/>
    <mergeCell ref="H40:M42"/>
    <mergeCell ref="B73:E73"/>
    <mergeCell ref="H73:K73"/>
    <mergeCell ref="F74:G74"/>
    <mergeCell ref="H74:H76"/>
    <mergeCell ref="I74:K74"/>
    <mergeCell ref="J75:K75"/>
    <mergeCell ref="J76:K76"/>
    <mergeCell ref="D53:E53"/>
    <mergeCell ref="H53:I53"/>
    <mergeCell ref="D70:E70"/>
    <mergeCell ref="D71:E71"/>
    <mergeCell ref="B72:K72"/>
    <mergeCell ref="A56:J56"/>
    <mergeCell ref="A58:B58"/>
    <mergeCell ref="C58:D58"/>
    <mergeCell ref="E58:F58"/>
    <mergeCell ref="I60:N60"/>
    <mergeCell ref="G49:H49"/>
    <mergeCell ref="A49:B49"/>
    <mergeCell ref="A50:B50"/>
    <mergeCell ref="G50:H50"/>
    <mergeCell ref="A52:J52"/>
  </mergeCells>
  <conditionalFormatting sqref="G59 G62 G66:G68">
    <cfRule type="cellIs" dxfId="8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'DATOS &lt;'!$B$20:$B$36</xm:f>
          </x14:formula1>
          <xm:sqref>I3:J4</xm:sqref>
        </x14:dataValidation>
        <x14:dataValidation type="list" allowBlank="1" showInputMessage="1" showErrorMessage="1" xr:uid="{00000000-0002-0000-1100-000001000000}">
          <x14:formula1>
            <xm:f>'DATOS &lt;'!$N$25:$N$134</xm:f>
          </x14:formula1>
          <xm:sqref>E6</xm:sqref>
        </x14:dataValidation>
        <x14:dataValidation type="list" allowBlank="1" showInputMessage="1" showErrorMessage="1" xr:uid="{00000000-0002-0000-1100-000002000000}">
          <x14:formula1>
            <xm:f>'DATOS &lt;'!$B$118:$B$124</xm:f>
          </x14:formula1>
          <xm:sqref>J13</xm:sqref>
        </x14:dataValidation>
        <x14:dataValidation type="list" allowBlank="1" showInputMessage="1" showErrorMessage="1" xr:uid="{00000000-0002-0000-1100-000003000000}">
          <x14:formula1>
            <xm:f>'DATOS &lt;'!$B$131:$B$135</xm:f>
          </x14:formula1>
          <xm:sqref>I26</xm:sqref>
        </x14:dataValidation>
        <x14:dataValidation type="list" allowBlank="1" showInputMessage="1" showErrorMessage="1" xr:uid="{00000000-0002-0000-1100-000004000000}">
          <x14:formula1>
            <xm:f>'DATOS &lt;'!$I$202:$I$205</xm:f>
          </x14:formula1>
          <xm:sqref>J19:J20</xm:sqref>
        </x14:dataValidation>
        <x14:dataValidation type="list" allowBlank="1" showInputMessage="1" showErrorMessage="1" xr:uid="{00000000-0002-0000-1100-000005000000}">
          <x14:formula1>
            <xm:f>'DATOS &lt;'!$I$129:$I$130</xm:f>
          </x14:formula1>
          <xm:sqref>N39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18"/>
      <c r="D28" s="118"/>
      <c r="E28" s="119"/>
      <c r="F28" s="626"/>
      <c r="G28" s="626"/>
      <c r="H28" s="1358" t="e">
        <f>VLOOKUP($I$26,'DATOS &lt;'!$B$131:$G$135,2,FALSE)</f>
        <v>#N/A</v>
      </c>
      <c r="I28" s="1359"/>
    </row>
    <row r="29" spans="1:11" s="627" customFormat="1" ht="31.5" customHeight="1" x14ac:dyDescent="0.2">
      <c r="A29" s="1382"/>
      <c r="B29" s="790" t="s">
        <v>47</v>
      </c>
      <c r="C29" s="107"/>
      <c r="D29" s="107"/>
      <c r="E29" s="108"/>
      <c r="F29" s="626"/>
      <c r="G29" s="626"/>
      <c r="H29" s="626"/>
      <c r="I29" s="626"/>
    </row>
    <row r="30" spans="1:11" s="627" customFormat="1" ht="31.5" customHeight="1" x14ac:dyDescent="0.2">
      <c r="A30" s="1382"/>
      <c r="B30" s="790" t="s">
        <v>47</v>
      </c>
      <c r="C30" s="107"/>
      <c r="D30" s="107"/>
      <c r="E30" s="108"/>
      <c r="F30" s="626"/>
      <c r="G30" s="626"/>
      <c r="H30" s="626"/>
      <c r="I30" s="626"/>
      <c r="J30" s="626"/>
    </row>
    <row r="31" spans="1:11" s="627" customFormat="1" ht="31.5" customHeight="1" thickBot="1" x14ac:dyDescent="0.25">
      <c r="A31" s="1383"/>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1561" t="s">
        <v>50</v>
      </c>
      <c r="C37" s="1562"/>
      <c r="D37" s="1562"/>
      <c r="E37" s="1563"/>
      <c r="F37" s="626"/>
      <c r="G37" s="626"/>
      <c r="H37" s="626"/>
      <c r="I37" s="626"/>
      <c r="J37" s="642"/>
    </row>
    <row r="38" spans="1:14" s="627" customFormat="1" ht="31.5" customHeight="1" thickBot="1" x14ac:dyDescent="0.25">
      <c r="A38" s="626"/>
      <c r="B38" s="1564"/>
      <c r="C38" s="1565"/>
      <c r="D38" s="1565"/>
      <c r="E38" s="1566"/>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1"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38"/>
      <c r="I76" s="782"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28:A31"/>
    <mergeCell ref="C33:D33"/>
    <mergeCell ref="F33:G33"/>
    <mergeCell ref="A46:J46"/>
    <mergeCell ref="A47:B48"/>
    <mergeCell ref="C47:E47"/>
    <mergeCell ref="G48:H48"/>
    <mergeCell ref="B37:E38"/>
    <mergeCell ref="A36:N36"/>
    <mergeCell ref="H38:M38"/>
    <mergeCell ref="H39:M39"/>
    <mergeCell ref="H40:M42"/>
    <mergeCell ref="F74:G74"/>
    <mergeCell ref="H74:H76"/>
    <mergeCell ref="I74:K74"/>
    <mergeCell ref="J75:K75"/>
    <mergeCell ref="J76:K76"/>
    <mergeCell ref="I60:N60"/>
    <mergeCell ref="D70:E70"/>
    <mergeCell ref="D71:E71"/>
    <mergeCell ref="B72:K72"/>
    <mergeCell ref="B73:E73"/>
    <mergeCell ref="H73:K73"/>
    <mergeCell ref="D53:E53"/>
    <mergeCell ref="H53:I53"/>
    <mergeCell ref="A56:J56"/>
    <mergeCell ref="A58:B58"/>
    <mergeCell ref="C58:D58"/>
    <mergeCell ref="E58:F58"/>
    <mergeCell ref="A49:B49"/>
    <mergeCell ref="G49:H49"/>
    <mergeCell ref="A50:B50"/>
    <mergeCell ref="G50:H50"/>
    <mergeCell ref="A52:J52"/>
  </mergeCells>
  <conditionalFormatting sqref="G59 G62 G66:G68">
    <cfRule type="cellIs" dxfId="8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'DATOS &lt;'!$B$20:$B$36</xm:f>
          </x14:formula1>
          <xm:sqref>I3:J4</xm:sqref>
        </x14:dataValidation>
        <x14:dataValidation type="list" allowBlank="1" showInputMessage="1" showErrorMessage="1" xr:uid="{00000000-0002-0000-1200-000001000000}">
          <x14:formula1>
            <xm:f>'DATOS &lt;'!$N$25:$N$134</xm:f>
          </x14:formula1>
          <xm:sqref>E6</xm:sqref>
        </x14:dataValidation>
        <x14:dataValidation type="list" allowBlank="1" showInputMessage="1" showErrorMessage="1" xr:uid="{00000000-0002-0000-1200-000002000000}">
          <x14:formula1>
            <xm:f>'DATOS &lt;'!$B$118:$B$124</xm:f>
          </x14:formula1>
          <xm:sqref>J13</xm:sqref>
        </x14:dataValidation>
        <x14:dataValidation type="list" allowBlank="1" showInputMessage="1" showErrorMessage="1" xr:uid="{00000000-0002-0000-1200-000003000000}">
          <x14:formula1>
            <xm:f>'DATOS &lt;'!$B$131:$B$135</xm:f>
          </x14:formula1>
          <xm:sqref>I26</xm:sqref>
        </x14:dataValidation>
        <x14:dataValidation type="list" allowBlank="1" showInputMessage="1" showErrorMessage="1" xr:uid="{00000000-0002-0000-1200-000004000000}">
          <x14:formula1>
            <xm:f>'DATOS &lt;'!$I$202:$I$205</xm:f>
          </x14:formula1>
          <xm:sqref>J19:J20</xm:sqref>
        </x14:dataValidation>
        <x14:dataValidation type="list" allowBlank="1" showInputMessage="1" showErrorMessage="1" xr:uid="{00000000-0002-0000-1200-000005000000}">
          <x14:formula1>
            <xm:f>'DATOS &lt;'!$I$129:$I$130</xm:f>
          </x14:formula1>
          <xm:sqref>N39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FF00"/>
  </sheetPr>
  <dimension ref="A1:U107"/>
  <sheetViews>
    <sheetView showGridLines="0" view="pageBreakPreview" topLeftCell="A25"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7109375"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4">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416" t="e">
        <f>VLOOKUP($I$26,'DATOS &lt;'!$B$131:$G$135,2,FALSE)</f>
        <v>#N/A</v>
      </c>
      <c r="I28" s="1417"/>
      <c r="J28" s="626"/>
    </row>
    <row r="29" spans="1:14" s="627" customFormat="1" ht="31.5" customHeight="1" x14ac:dyDescent="0.2">
      <c r="A29" s="1382"/>
      <c r="B29" s="638" t="s">
        <v>47</v>
      </c>
      <c r="C29" s="396"/>
      <c r="D29" s="107"/>
      <c r="E29" s="108"/>
      <c r="F29" s="626"/>
      <c r="G29" s="626"/>
      <c r="H29" s="626"/>
      <c r="I29" s="626"/>
      <c r="J29" s="626"/>
    </row>
    <row r="30" spans="1:14" s="627" customFormat="1" ht="31.5" customHeight="1" x14ac:dyDescent="0.2">
      <c r="A30" s="1382"/>
      <c r="B30" s="638" t="s">
        <v>47</v>
      </c>
      <c r="C30" s="396"/>
      <c r="D30" s="107"/>
      <c r="E30" s="108"/>
      <c r="F30" s="626"/>
      <c r="G30" s="626"/>
      <c r="H30" s="626"/>
      <c r="I30" s="626"/>
      <c r="J30" s="626"/>
    </row>
    <row r="31" spans="1:14" s="627" customFormat="1" ht="31.5" customHeight="1" thickBot="1" x14ac:dyDescent="0.25">
      <c r="A31" s="1383"/>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755"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E69" s="627">
        <v>9</v>
      </c>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1"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61" t="e">
        <f>F75/1000</f>
        <v>#N/A</v>
      </c>
      <c r="G76" s="747"/>
      <c r="H76" s="1338"/>
      <c r="I76" s="761"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A47:B48"/>
    <mergeCell ref="C47:E47"/>
    <mergeCell ref="G48:H48"/>
    <mergeCell ref="H38:M38"/>
    <mergeCell ref="H39:M39"/>
    <mergeCell ref="H40:M42"/>
    <mergeCell ref="A50:B50"/>
    <mergeCell ref="G50:H50"/>
    <mergeCell ref="D53:E53"/>
    <mergeCell ref="H53:I5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14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'DATOS &lt;'!$B$7:$B$19</xm:f>
          </x14:formula1>
          <xm:sqref>I3:J4</xm:sqref>
        </x14:dataValidation>
        <x14:dataValidation type="list" allowBlank="1" showInputMessage="1" showErrorMessage="1" xr:uid="{00000000-0002-0000-0100-000001000000}">
          <x14:formula1>
            <xm:f>'DATOS &lt;'!$N$82:$N$134</xm:f>
          </x14:formula1>
          <xm:sqref>E6</xm:sqref>
        </x14:dataValidation>
        <x14:dataValidation type="list" allowBlank="1" showInputMessage="1" showErrorMessage="1" xr:uid="{00000000-0002-0000-0100-000002000000}">
          <x14:formula1>
            <xm:f>'DATOS &lt;'!$B$118:$B$124</xm:f>
          </x14:formula1>
          <xm:sqref>J13</xm:sqref>
        </x14:dataValidation>
        <x14:dataValidation type="list" allowBlank="1" showInputMessage="1" showErrorMessage="1" xr:uid="{00000000-0002-0000-0100-000003000000}">
          <x14:formula1>
            <xm:f>'DATOS &lt;'!$B$131:$B$135</xm:f>
          </x14:formula1>
          <xm:sqref>I26</xm:sqref>
        </x14:dataValidation>
        <x14:dataValidation type="list" allowBlank="1" showInputMessage="1" showErrorMessage="1" xr:uid="{00000000-0002-0000-0100-000004000000}">
          <x14:formula1>
            <xm:f>'DATOS &lt;'!$I$202:$I$205</xm:f>
          </x14:formula1>
          <xm:sqref>J19:J20</xm:sqref>
        </x14:dataValidation>
        <x14:dataValidation type="list" allowBlank="1" showInputMessage="1" showErrorMessage="1" xr:uid="{00000000-0002-0000-0100-000005000000}">
          <x14:formula1>
            <xm:f>'DATOS &lt;'!$I$129:$I$130</xm:f>
          </x14:formula1>
          <xm:sqref>N39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140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18"/>
      <c r="D28" s="118"/>
      <c r="E28" s="119"/>
      <c r="F28" s="626"/>
      <c r="G28" s="626"/>
      <c r="H28" s="1358" t="e">
        <f>VLOOKUP($I$26,'DATOS &lt;'!$B$131:$G$135,2,FALSE)</f>
        <v>#N/A</v>
      </c>
      <c r="I28" s="1359"/>
    </row>
    <row r="29" spans="1:11" s="627" customFormat="1" ht="31.5" customHeight="1" x14ac:dyDescent="0.2">
      <c r="A29" s="1382"/>
      <c r="B29" s="790" t="s">
        <v>47</v>
      </c>
      <c r="C29" s="107"/>
      <c r="D29" s="107"/>
      <c r="E29" s="108"/>
      <c r="F29" s="626"/>
      <c r="G29" s="626"/>
      <c r="H29" s="626"/>
      <c r="I29" s="626"/>
    </row>
    <row r="30" spans="1:11" s="627" customFormat="1" ht="31.5" customHeight="1" x14ac:dyDescent="0.2">
      <c r="A30" s="1382"/>
      <c r="B30" s="790" t="s">
        <v>47</v>
      </c>
      <c r="C30" s="107"/>
      <c r="D30" s="107"/>
      <c r="E30" s="108"/>
      <c r="F30" s="626"/>
      <c r="G30" s="626"/>
      <c r="H30" s="626"/>
      <c r="I30" s="626"/>
      <c r="J30" s="626"/>
    </row>
    <row r="31" spans="1:11" s="627" customFormat="1" ht="31.5" customHeight="1" thickBot="1" x14ac:dyDescent="0.25">
      <c r="A31" s="1383"/>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1"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38"/>
      <c r="I76" s="782"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8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300-000000000000}">
          <x14:formula1>
            <xm:f>'DATOS &lt;'!$B$20:$B$36</xm:f>
          </x14:formula1>
          <xm:sqref>I3:J4</xm:sqref>
        </x14:dataValidation>
        <x14:dataValidation type="list" allowBlank="1" showInputMessage="1" showErrorMessage="1" xr:uid="{00000000-0002-0000-1300-000001000000}">
          <x14:formula1>
            <xm:f>'DATOS &lt;'!$N$27:$N$134</xm:f>
          </x14:formula1>
          <xm:sqref>E6</xm:sqref>
        </x14:dataValidation>
        <x14:dataValidation type="list" allowBlank="1" showInputMessage="1" showErrorMessage="1" xr:uid="{00000000-0002-0000-1300-000002000000}">
          <x14:formula1>
            <xm:f>'DATOS &lt;'!$B$118:$B$124</xm:f>
          </x14:formula1>
          <xm:sqref>J13</xm:sqref>
        </x14:dataValidation>
        <x14:dataValidation type="list" allowBlank="1" showInputMessage="1" showErrorMessage="1" xr:uid="{00000000-0002-0000-1300-000003000000}">
          <x14:formula1>
            <xm:f>'DATOS &lt;'!$B$131:$B$135</xm:f>
          </x14:formula1>
          <xm:sqref>I26</xm:sqref>
        </x14:dataValidation>
        <x14:dataValidation type="list" allowBlank="1" showInputMessage="1" showErrorMessage="1" xr:uid="{00000000-0002-0000-1300-000004000000}">
          <x14:formula1>
            <xm:f>'DATOS &lt;'!$I$202:$I$205</xm:f>
          </x14:formula1>
          <xm:sqref>J19:J20</xm:sqref>
        </x14:dataValidation>
        <x14:dataValidation type="list" allowBlank="1" showInputMessage="1" showErrorMessage="1" xr:uid="{00000000-0002-0000-1300-000005000000}">
          <x14:formula1>
            <xm:f>'DATOS &lt;'!$I$129:$I$130</xm:f>
          </x14:formula1>
          <xm:sqref>N39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3">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28515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18"/>
      <c r="D28" s="118"/>
      <c r="E28" s="119"/>
      <c r="F28" s="626"/>
      <c r="G28" s="626"/>
      <c r="H28" s="1358" t="e">
        <f>VLOOKUP($I$26,'DATOS &lt;'!$B$131:$G$135,2,FALSE)</f>
        <v>#N/A</v>
      </c>
      <c r="I28" s="1359"/>
      <c r="J28" s="626"/>
    </row>
    <row r="29" spans="1:11" s="627" customFormat="1" ht="31.5" customHeight="1" x14ac:dyDescent="0.2">
      <c r="A29" s="1382"/>
      <c r="B29" s="790" t="s">
        <v>47</v>
      </c>
      <c r="C29" s="107"/>
      <c r="D29" s="107"/>
      <c r="E29" s="108"/>
      <c r="F29" s="626"/>
      <c r="G29" s="626"/>
      <c r="H29" s="626"/>
      <c r="I29" s="626"/>
      <c r="J29" s="626"/>
    </row>
    <row r="30" spans="1:11" s="627" customFormat="1" ht="31.5" customHeight="1" x14ac:dyDescent="0.2">
      <c r="A30" s="1382"/>
      <c r="B30" s="790" t="s">
        <v>47</v>
      </c>
      <c r="C30" s="107"/>
      <c r="D30" s="107"/>
      <c r="E30" s="108"/>
      <c r="F30" s="626"/>
      <c r="G30" s="626"/>
      <c r="H30" s="626"/>
      <c r="I30" s="626"/>
      <c r="J30" s="626"/>
    </row>
    <row r="31" spans="1:11" s="627" customFormat="1" ht="31.5" customHeight="1" thickBot="1" x14ac:dyDescent="0.25">
      <c r="A31" s="1383"/>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1"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8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'DATOS &lt;'!$B$20:$B$36</xm:f>
          </x14:formula1>
          <xm:sqref>I3:J4</xm:sqref>
        </x14:dataValidation>
        <x14:dataValidation type="list" allowBlank="1" showInputMessage="1" showErrorMessage="1" xr:uid="{00000000-0002-0000-1400-000001000000}">
          <x14:formula1>
            <xm:f>'DATOS &lt;'!$N$27:$N$134</xm:f>
          </x14:formula1>
          <xm:sqref>E6</xm:sqref>
        </x14:dataValidation>
        <x14:dataValidation type="list" allowBlank="1" showInputMessage="1" showErrorMessage="1" xr:uid="{00000000-0002-0000-1400-000002000000}">
          <x14:formula1>
            <xm:f>'DATOS &lt;'!$B$118:$B$124</xm:f>
          </x14:formula1>
          <xm:sqref>J13</xm:sqref>
        </x14:dataValidation>
        <x14:dataValidation type="list" allowBlank="1" showInputMessage="1" showErrorMessage="1" xr:uid="{00000000-0002-0000-1400-000003000000}">
          <x14:formula1>
            <xm:f>'DATOS &lt;'!$B$131:$B$135</xm:f>
          </x14:formula1>
          <xm:sqref>I26</xm:sqref>
        </x14:dataValidation>
        <x14:dataValidation type="list" allowBlank="1" showInputMessage="1" showErrorMessage="1" xr:uid="{00000000-0002-0000-1400-000004000000}">
          <x14:formula1>
            <xm:f>'DATOS &lt;'!$I$202:$I$205</xm:f>
          </x14:formula1>
          <xm:sqref>J19:J20</xm:sqref>
        </x14:dataValidation>
        <x14:dataValidation type="list" allowBlank="1" showInputMessage="1" showErrorMessage="1" xr:uid="{00000000-0002-0000-1400-000005000000}">
          <x14:formula1>
            <xm:f>'DATOS &lt;'!$I$129:$I$130</xm:f>
          </x14:formula1>
          <xm:sqref>N39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28515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18"/>
      <c r="D28" s="118"/>
      <c r="E28" s="119"/>
      <c r="F28" s="626"/>
      <c r="G28" s="626"/>
      <c r="H28" s="1358" t="e">
        <f>VLOOKUP($I$26,'DATOS &lt;'!$B$131:$G$135,2,FALSE)</f>
        <v>#N/A</v>
      </c>
      <c r="I28" s="1359"/>
      <c r="J28" s="626"/>
    </row>
    <row r="29" spans="1:11" s="627" customFormat="1" ht="31.5" customHeight="1" x14ac:dyDescent="0.2">
      <c r="A29" s="1382"/>
      <c r="B29" s="790" t="s">
        <v>47</v>
      </c>
      <c r="C29" s="107"/>
      <c r="D29" s="107"/>
      <c r="E29" s="108"/>
      <c r="F29" s="626"/>
      <c r="G29" s="626"/>
      <c r="H29" s="626"/>
      <c r="I29" s="626"/>
      <c r="J29" s="626"/>
    </row>
    <row r="30" spans="1:11" s="627" customFormat="1" ht="31.5" customHeight="1" x14ac:dyDescent="0.2">
      <c r="A30" s="1382"/>
      <c r="B30" s="790" t="s">
        <v>47</v>
      </c>
      <c r="C30" s="107"/>
      <c r="D30" s="107"/>
      <c r="E30" s="108"/>
      <c r="F30" s="626"/>
      <c r="G30" s="626"/>
      <c r="H30" s="626"/>
      <c r="I30" s="626"/>
      <c r="J30" s="626"/>
    </row>
    <row r="31" spans="1:11" s="627" customFormat="1" ht="31.5" customHeight="1" thickBot="1" x14ac:dyDescent="0.25">
      <c r="A31" s="1383"/>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1"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8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500-000000000000}">
          <x14:formula1>
            <xm:f>'DATOS &lt;'!$B$20:$B$36</xm:f>
          </x14:formula1>
          <xm:sqref>I3:J4</xm:sqref>
        </x14:dataValidation>
        <x14:dataValidation type="list" allowBlank="1" showInputMessage="1" showErrorMessage="1" xr:uid="{00000000-0002-0000-1500-000001000000}">
          <x14:formula1>
            <xm:f>'DATOS &lt;'!$N$27:$N$134</xm:f>
          </x14:formula1>
          <xm:sqref>E6</xm:sqref>
        </x14:dataValidation>
        <x14:dataValidation type="list" allowBlank="1" showInputMessage="1" showErrorMessage="1" xr:uid="{00000000-0002-0000-1500-000002000000}">
          <x14:formula1>
            <xm:f>'DATOS &lt;'!$B$118:$B$124</xm:f>
          </x14:formula1>
          <xm:sqref>J13</xm:sqref>
        </x14:dataValidation>
        <x14:dataValidation type="list" allowBlank="1" showInputMessage="1" showErrorMessage="1" xr:uid="{00000000-0002-0000-1500-000003000000}">
          <x14:formula1>
            <xm:f>'DATOS &lt;'!$B$131:$B$135</xm:f>
          </x14:formula1>
          <xm:sqref>I26</xm:sqref>
        </x14:dataValidation>
        <x14:dataValidation type="list" allowBlank="1" showInputMessage="1" showErrorMessage="1" xr:uid="{00000000-0002-0000-1500-000004000000}">
          <x14:formula1>
            <xm:f>'DATOS &lt;'!$I$202:$I$205</xm:f>
          </x14:formula1>
          <xm:sqref>J19:J20</xm:sqref>
        </x14:dataValidation>
        <x14:dataValidation type="list" allowBlank="1" showInputMessage="1" showErrorMessage="1" xr:uid="{00000000-0002-0000-1500-000005000000}">
          <x14:formula1>
            <xm:f>'DATOS &lt;'!$I$129:$I$130</xm:f>
          </x14:formula1>
          <xm:sqref>N39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28515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33"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18"/>
      <c r="D28" s="118"/>
      <c r="E28" s="119"/>
      <c r="F28" s="626"/>
      <c r="G28" s="626"/>
      <c r="H28" s="1358" t="e">
        <f>VLOOKUP($I$26,'DATOS &lt;'!$B$131:$G$135,2,FALSE)</f>
        <v>#N/A</v>
      </c>
      <c r="I28" s="1359"/>
    </row>
    <row r="29" spans="1:11" s="627" customFormat="1" ht="31.5" customHeight="1" x14ac:dyDescent="0.2">
      <c r="A29" s="1382"/>
      <c r="B29" s="790" t="s">
        <v>47</v>
      </c>
      <c r="C29" s="107"/>
      <c r="D29" s="107"/>
      <c r="E29" s="108"/>
      <c r="F29" s="626"/>
      <c r="G29" s="626"/>
      <c r="H29" s="626"/>
      <c r="I29" s="626"/>
      <c r="J29" s="626"/>
    </row>
    <row r="30" spans="1:11" s="627" customFormat="1" ht="31.5" customHeight="1" x14ac:dyDescent="0.2">
      <c r="A30" s="1382"/>
      <c r="B30" s="790" t="s">
        <v>47</v>
      </c>
      <c r="C30" s="107"/>
      <c r="D30" s="107"/>
      <c r="E30" s="108"/>
      <c r="F30" s="626"/>
      <c r="G30" s="626"/>
      <c r="H30" s="626"/>
      <c r="I30" s="626"/>
      <c r="J30" s="626"/>
    </row>
    <row r="31" spans="1:11" s="627" customFormat="1" ht="31.5" customHeight="1" thickBot="1" x14ac:dyDescent="0.25">
      <c r="A31" s="1383"/>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1"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8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'DATOS &lt;'!$B$20:$B$36</xm:f>
          </x14:formula1>
          <xm:sqref>I3:J4</xm:sqref>
        </x14:dataValidation>
        <x14:dataValidation type="list" allowBlank="1" showInputMessage="1" showErrorMessage="1" xr:uid="{00000000-0002-0000-1600-000001000000}">
          <x14:formula1>
            <xm:f>'DATOS &lt;'!$N$27:$N$134</xm:f>
          </x14:formula1>
          <xm:sqref>E6</xm:sqref>
        </x14:dataValidation>
        <x14:dataValidation type="list" allowBlank="1" showInputMessage="1" showErrorMessage="1" xr:uid="{00000000-0002-0000-1600-000002000000}">
          <x14:formula1>
            <xm:f>'DATOS &lt;'!$B$118:$B$124</xm:f>
          </x14:formula1>
          <xm:sqref>J13</xm:sqref>
        </x14:dataValidation>
        <x14:dataValidation type="list" allowBlank="1" showInputMessage="1" showErrorMessage="1" xr:uid="{00000000-0002-0000-1600-000003000000}">
          <x14:formula1>
            <xm:f>'DATOS &lt;'!$B$131:$B$135</xm:f>
          </x14:formula1>
          <xm:sqref>I26</xm:sqref>
        </x14:dataValidation>
        <x14:dataValidation type="list" allowBlank="1" showInputMessage="1" showErrorMessage="1" xr:uid="{00000000-0002-0000-1600-000004000000}">
          <x14:formula1>
            <xm:f>'DATOS &lt;'!$I$202:$I$205</xm:f>
          </x14:formula1>
          <xm:sqref>J19:J20</xm:sqref>
        </x14:dataValidation>
        <x14:dataValidation type="list" allowBlank="1" showInputMessage="1" showErrorMessage="1" xr:uid="{00000000-0002-0000-1600-000005000000}">
          <x14:formula1>
            <xm:f>'DATOS &lt;'!$I$129:$I$130</xm:f>
          </x14:formula1>
          <xm:sqref>N39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6">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28515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18"/>
      <c r="D28" s="118"/>
      <c r="E28" s="119"/>
      <c r="F28" s="626"/>
      <c r="G28" s="626"/>
      <c r="H28" s="1358" t="e">
        <f>VLOOKUP($I$26,'DATOS &lt;'!$B$131:$G$135,2,FALSE)</f>
        <v>#N/A</v>
      </c>
      <c r="I28" s="1359"/>
    </row>
    <row r="29" spans="1:11" s="627" customFormat="1" ht="31.5" customHeight="1" x14ac:dyDescent="0.2">
      <c r="A29" s="1382"/>
      <c r="B29" s="790" t="s">
        <v>47</v>
      </c>
      <c r="C29" s="107"/>
      <c r="D29" s="107"/>
      <c r="E29" s="108"/>
      <c r="F29" s="626"/>
      <c r="G29" s="626"/>
      <c r="H29" s="626"/>
      <c r="I29" s="626"/>
      <c r="J29" s="626"/>
    </row>
    <row r="30" spans="1:11" s="627" customFormat="1" ht="31.5" customHeight="1" x14ac:dyDescent="0.2">
      <c r="A30" s="1382"/>
      <c r="B30" s="790" t="s">
        <v>47</v>
      </c>
      <c r="C30" s="107"/>
      <c r="D30" s="107"/>
      <c r="E30" s="108"/>
      <c r="F30" s="626"/>
      <c r="G30" s="626"/>
      <c r="H30" s="626"/>
      <c r="I30" s="626"/>
      <c r="J30" s="626"/>
    </row>
    <row r="31" spans="1:11" s="627" customFormat="1" ht="31.5" customHeight="1" thickBot="1" x14ac:dyDescent="0.25">
      <c r="A31" s="1383"/>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1"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75"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8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'DATOS &lt;'!$B$20:$B$36</xm:f>
          </x14:formula1>
          <xm:sqref>I3:J4</xm:sqref>
        </x14:dataValidation>
        <x14:dataValidation type="list" allowBlank="1" showInputMessage="1" showErrorMessage="1" xr:uid="{00000000-0002-0000-1700-000001000000}">
          <x14:formula1>
            <xm:f>'DATOS &lt;'!$N$27:$N$134</xm:f>
          </x14:formula1>
          <xm:sqref>E6</xm:sqref>
        </x14:dataValidation>
        <x14:dataValidation type="list" allowBlank="1" showInputMessage="1" showErrorMessage="1" xr:uid="{00000000-0002-0000-1700-000002000000}">
          <x14:formula1>
            <xm:f>'DATOS &lt;'!$B$118:$B$124</xm:f>
          </x14:formula1>
          <xm:sqref>J13</xm:sqref>
        </x14:dataValidation>
        <x14:dataValidation type="list" allowBlank="1" showInputMessage="1" showErrorMessage="1" xr:uid="{00000000-0002-0000-1700-000003000000}">
          <x14:formula1>
            <xm:f>'DATOS &lt;'!$B$131:$B$135</xm:f>
          </x14:formula1>
          <xm:sqref>I26</xm:sqref>
        </x14:dataValidation>
        <x14:dataValidation type="list" allowBlank="1" showInputMessage="1" showErrorMessage="1" xr:uid="{00000000-0002-0000-1700-000004000000}">
          <x14:formula1>
            <xm:f>'DATOS &lt;'!$I$202:$I$205</xm:f>
          </x14:formula1>
          <xm:sqref>J19:J20</xm:sqref>
        </x14:dataValidation>
        <x14:dataValidation type="list" allowBlank="1" showInputMessage="1" showErrorMessage="1" xr:uid="{00000000-0002-0000-1700-000005000000}">
          <x14:formula1>
            <xm:f>'DATOS &lt;'!$I$129:$I$130</xm:f>
          </x14:formula1>
          <xm:sqref>N39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28515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21" ht="30.95" customHeight="1" thickBot="1" x14ac:dyDescent="0.25"/>
    <row r="18" spans="1:21" ht="31.5" customHeight="1" thickBot="1" x14ac:dyDescent="0.25">
      <c r="A18" s="1426" t="s">
        <v>32</v>
      </c>
      <c r="B18" s="1427"/>
      <c r="C18" s="1427"/>
      <c r="D18" s="1427"/>
      <c r="E18" s="1427"/>
      <c r="F18" s="1427"/>
      <c r="G18" s="1427"/>
      <c r="H18" s="1427"/>
      <c r="I18" s="1427"/>
      <c r="J18" s="1428"/>
    </row>
    <row r="19" spans="1:2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2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21" s="627" customFormat="1" ht="15" customHeight="1" thickBot="1" x14ac:dyDescent="0.25">
      <c r="A21" s="626"/>
      <c r="B21" s="626"/>
      <c r="C21" s="626"/>
      <c r="D21" s="626"/>
      <c r="E21" s="626"/>
      <c r="F21" s="626"/>
      <c r="G21" s="626"/>
      <c r="H21" s="626"/>
      <c r="I21" s="626"/>
      <c r="J21" s="626"/>
      <c r="K21" s="581"/>
    </row>
    <row r="22" spans="1:21" s="627" customFormat="1" ht="31.5" customHeight="1" thickBot="1" x14ac:dyDescent="0.25">
      <c r="A22" s="1307" t="s">
        <v>39</v>
      </c>
      <c r="B22" s="1308"/>
      <c r="C22" s="1308"/>
      <c r="D22" s="1308"/>
      <c r="E22" s="1308"/>
      <c r="F22" s="1308"/>
      <c r="G22" s="1308"/>
      <c r="H22" s="1308"/>
      <c r="I22" s="1308"/>
      <c r="J22" s="1309"/>
      <c r="K22" s="626"/>
    </row>
    <row r="23" spans="1:21" s="626" customFormat="1" ht="2.25" customHeight="1" thickBot="1" x14ac:dyDescent="0.25">
      <c r="A23" s="777"/>
      <c r="B23" s="778"/>
      <c r="C23" s="778"/>
      <c r="D23" s="778"/>
      <c r="E23" s="778"/>
      <c r="F23" s="778"/>
      <c r="G23" s="778"/>
      <c r="H23" s="778"/>
      <c r="I23" s="778"/>
      <c r="J23" s="779"/>
      <c r="K23" s="627"/>
    </row>
    <row r="24" spans="1:21" s="627" customFormat="1" ht="31.5" customHeight="1" thickBot="1" x14ac:dyDescent="0.25">
      <c r="A24" s="631" t="s">
        <v>40</v>
      </c>
      <c r="B24" s="398"/>
      <c r="C24" s="1372" t="s">
        <v>36</v>
      </c>
      <c r="D24" s="1373"/>
      <c r="E24" s="2"/>
      <c r="F24" s="1374" t="s">
        <v>37</v>
      </c>
      <c r="G24" s="1375"/>
      <c r="H24" s="2"/>
      <c r="I24" s="632" t="s">
        <v>38</v>
      </c>
      <c r="J24" s="208"/>
    </row>
    <row r="25" spans="1:21" s="627" customFormat="1" ht="15" customHeight="1" thickBot="1" x14ac:dyDescent="0.25">
      <c r="A25" s="626"/>
      <c r="B25" s="626"/>
      <c r="C25" s="626"/>
      <c r="D25" s="626"/>
      <c r="E25" s="626"/>
      <c r="F25" s="626"/>
      <c r="I25" s="626"/>
    </row>
    <row r="26" spans="1:21" s="627" customFormat="1" ht="29.25" customHeight="1" thickBot="1" x14ac:dyDescent="0.25">
      <c r="A26" s="750" t="s">
        <v>41</v>
      </c>
      <c r="B26" s="751">
        <v>3</v>
      </c>
      <c r="C26" s="1378" t="s">
        <v>42</v>
      </c>
      <c r="D26" s="1379"/>
      <c r="E26" s="1380"/>
      <c r="F26" s="626"/>
      <c r="H26" s="626"/>
      <c r="I26" s="6"/>
      <c r="P26" s="581"/>
      <c r="Q26" s="581"/>
      <c r="R26" s="581"/>
      <c r="S26" s="581"/>
      <c r="T26" s="581"/>
      <c r="U26" s="581"/>
    </row>
    <row r="27" spans="1:21" s="627" customFormat="1" ht="31.5" customHeight="1" thickBot="1" x14ac:dyDescent="0.25">
      <c r="A27" s="1356" t="s">
        <v>43</v>
      </c>
      <c r="B27" s="1357"/>
      <c r="C27" s="635">
        <v>1</v>
      </c>
      <c r="D27" s="635">
        <v>2</v>
      </c>
      <c r="E27" s="636">
        <v>3</v>
      </c>
      <c r="F27" s="626"/>
      <c r="H27" s="1376" t="s">
        <v>44</v>
      </c>
      <c r="I27" s="1377"/>
      <c r="P27" s="581"/>
      <c r="Q27" s="581"/>
      <c r="R27" s="581"/>
      <c r="S27" s="581"/>
      <c r="T27" s="581"/>
      <c r="U27" s="581"/>
    </row>
    <row r="28" spans="1:21" s="627" customFormat="1" ht="31.5" customHeight="1" thickBot="1" x14ac:dyDescent="0.25">
      <c r="A28" s="1381" t="s">
        <v>45</v>
      </c>
      <c r="B28" s="645" t="s">
        <v>46</v>
      </c>
      <c r="C28" s="167"/>
      <c r="D28" s="167"/>
      <c r="E28" s="168"/>
      <c r="F28" s="626"/>
      <c r="G28" s="626"/>
      <c r="H28" s="1358" t="e">
        <f>VLOOKUP($I$26,'DATOS &lt;'!$B$131:$G$135,2,FALSE)</f>
        <v>#N/A</v>
      </c>
      <c r="I28" s="1359"/>
      <c r="P28" s="581"/>
      <c r="Q28" s="581"/>
      <c r="R28" s="581"/>
      <c r="S28" s="581"/>
      <c r="T28" s="581"/>
      <c r="U28" s="581"/>
    </row>
    <row r="29" spans="1:21" s="627" customFormat="1" ht="31.5" customHeight="1" x14ac:dyDescent="0.2">
      <c r="A29" s="1382"/>
      <c r="B29" s="790" t="s">
        <v>47</v>
      </c>
      <c r="C29" s="169"/>
      <c r="D29" s="169"/>
      <c r="E29" s="170"/>
      <c r="F29" s="626"/>
      <c r="G29" s="626"/>
      <c r="H29" s="626"/>
      <c r="I29" s="626"/>
      <c r="P29" s="581"/>
      <c r="Q29" s="581"/>
      <c r="R29" s="581"/>
      <c r="S29" s="581"/>
      <c r="T29" s="581"/>
      <c r="U29" s="581"/>
    </row>
    <row r="30" spans="1:21" s="627" customFormat="1" ht="31.5" customHeight="1" x14ac:dyDescent="0.2">
      <c r="A30" s="1382"/>
      <c r="B30" s="790" t="s">
        <v>47</v>
      </c>
      <c r="C30" s="169"/>
      <c r="D30" s="169"/>
      <c r="E30" s="170"/>
      <c r="F30" s="626"/>
      <c r="G30" s="626"/>
      <c r="H30" s="626"/>
      <c r="I30" s="626"/>
      <c r="J30" s="626"/>
      <c r="P30" s="581"/>
      <c r="Q30" s="581"/>
      <c r="R30" s="581"/>
      <c r="S30" s="581"/>
      <c r="T30" s="581"/>
      <c r="U30" s="581"/>
    </row>
    <row r="31" spans="1:21" s="627" customFormat="1" ht="31.5" customHeight="1" thickBot="1" x14ac:dyDescent="0.25">
      <c r="A31" s="1383"/>
      <c r="B31" s="791" t="s">
        <v>46</v>
      </c>
      <c r="C31" s="171"/>
      <c r="D31" s="171"/>
      <c r="E31" s="172"/>
      <c r="F31" s="626"/>
      <c r="G31" s="626"/>
      <c r="H31" s="626"/>
      <c r="I31" s="626"/>
      <c r="J31" s="626"/>
      <c r="P31" s="581"/>
      <c r="Q31" s="581"/>
      <c r="R31" s="581"/>
      <c r="S31" s="581"/>
      <c r="T31" s="581"/>
      <c r="U31" s="581"/>
    </row>
    <row r="32" spans="1:21" s="627" customFormat="1" ht="15" customHeight="1" thickBot="1" x14ac:dyDescent="0.25">
      <c r="A32" s="626"/>
      <c r="B32" s="626"/>
      <c r="C32" s="626"/>
      <c r="D32" s="626"/>
      <c r="E32" s="626"/>
      <c r="F32" s="626"/>
      <c r="G32" s="626"/>
      <c r="H32" s="626"/>
      <c r="I32" s="626"/>
      <c r="J32" s="626"/>
      <c r="P32" s="581"/>
      <c r="Q32" s="581"/>
      <c r="R32" s="581"/>
      <c r="S32" s="581"/>
      <c r="T32" s="581"/>
      <c r="U32" s="581"/>
    </row>
    <row r="33" spans="1:21" s="627" customFormat="1" ht="31.5" customHeight="1" thickBot="1" x14ac:dyDescent="0.25">
      <c r="A33" s="640" t="s">
        <v>48</v>
      </c>
      <c r="B33" s="398"/>
      <c r="C33" s="1372" t="s">
        <v>36</v>
      </c>
      <c r="D33" s="1373"/>
      <c r="E33" s="1"/>
      <c r="F33" s="1374" t="s">
        <v>37</v>
      </c>
      <c r="G33" s="1375"/>
      <c r="H33" s="2"/>
      <c r="I33" s="641" t="s">
        <v>38</v>
      </c>
      <c r="J33" s="3"/>
      <c r="P33" s="581"/>
      <c r="Q33" s="581"/>
      <c r="R33" s="581"/>
      <c r="S33" s="581"/>
      <c r="T33" s="581"/>
      <c r="U33" s="581"/>
    </row>
    <row r="34" spans="1:21" s="627" customFormat="1" ht="12" customHeight="1" x14ac:dyDescent="0.2">
      <c r="A34" s="642"/>
      <c r="B34" s="642"/>
      <c r="C34" s="642"/>
      <c r="D34" s="642"/>
      <c r="E34" s="642"/>
      <c r="F34" s="642"/>
      <c r="G34" s="642"/>
      <c r="H34" s="642"/>
      <c r="I34" s="642"/>
      <c r="J34" s="642"/>
      <c r="P34" s="581"/>
      <c r="Q34" s="581"/>
      <c r="R34" s="581"/>
      <c r="S34" s="581"/>
      <c r="T34" s="581"/>
      <c r="U34" s="581"/>
    </row>
    <row r="35" spans="1:21" s="627" customFormat="1" ht="15" customHeight="1" thickBot="1" x14ac:dyDescent="0.25">
      <c r="A35" s="780"/>
      <c r="B35" s="780"/>
      <c r="C35" s="780"/>
      <c r="D35" s="780"/>
      <c r="E35" s="780"/>
      <c r="F35" s="780"/>
      <c r="G35" s="780"/>
      <c r="H35" s="780"/>
      <c r="I35" s="780"/>
      <c r="J35" s="780"/>
      <c r="P35" s="581"/>
      <c r="Q35" s="581"/>
      <c r="R35" s="581"/>
      <c r="S35" s="581"/>
      <c r="T35" s="581"/>
      <c r="U35" s="581"/>
    </row>
    <row r="36" spans="1:21" s="627" customFormat="1" ht="32.25" customHeight="1" thickBot="1" x14ac:dyDescent="0.25">
      <c r="A36" s="1307" t="s">
        <v>49</v>
      </c>
      <c r="B36" s="1308"/>
      <c r="C36" s="1308"/>
      <c r="D36" s="1308"/>
      <c r="E36" s="1308"/>
      <c r="F36" s="1308"/>
      <c r="G36" s="1308"/>
      <c r="H36" s="1308"/>
      <c r="I36" s="1308"/>
      <c r="J36" s="1308"/>
      <c r="K36" s="1308"/>
      <c r="L36" s="1308"/>
      <c r="M36" s="1308"/>
      <c r="N36" s="1309"/>
    </row>
    <row r="37" spans="1:21" s="627" customFormat="1" ht="3.75" customHeight="1" thickBot="1" x14ac:dyDescent="0.25">
      <c r="A37" s="642"/>
      <c r="B37" s="626"/>
      <c r="C37" s="626"/>
      <c r="D37" s="626"/>
      <c r="E37" s="626"/>
      <c r="F37" s="626"/>
      <c r="G37" s="626"/>
      <c r="H37" s="626"/>
      <c r="I37" s="626"/>
      <c r="J37" s="642"/>
    </row>
    <row r="38" spans="1:21" s="627" customFormat="1" ht="31.5" customHeight="1" thickBot="1" x14ac:dyDescent="0.25">
      <c r="A38" s="626"/>
      <c r="B38" s="1378" t="s">
        <v>50</v>
      </c>
      <c r="C38" s="1379"/>
      <c r="D38" s="1379"/>
      <c r="E38" s="1380"/>
      <c r="F38" s="626"/>
      <c r="G38" s="626"/>
      <c r="H38" s="1314" t="s">
        <v>51</v>
      </c>
      <c r="I38" s="1315"/>
      <c r="J38" s="1315"/>
      <c r="K38" s="1315"/>
      <c r="L38" s="1315"/>
      <c r="M38" s="1316"/>
    </row>
    <row r="39" spans="1:21"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21"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21"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21"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21" s="627" customFormat="1" ht="31.5" customHeight="1" thickBot="1" x14ac:dyDescent="0.25">
      <c r="A43" s="626"/>
      <c r="B43" s="660" t="s">
        <v>52</v>
      </c>
      <c r="C43" s="661" t="e">
        <f>+AVERAGE(C42:E42)</f>
        <v>#DIV/0!</v>
      </c>
      <c r="D43" s="626"/>
      <c r="E43" s="626"/>
      <c r="F43" s="626"/>
      <c r="G43" s="626"/>
      <c r="H43" s="626"/>
      <c r="I43" s="626"/>
      <c r="J43" s="626"/>
    </row>
    <row r="44" spans="1:21" s="627" customFormat="1" ht="31.5" customHeight="1" thickBot="1" x14ac:dyDescent="0.25">
      <c r="A44" s="626"/>
      <c r="B44" s="662" t="s">
        <v>53</v>
      </c>
      <c r="C44" s="753" t="e">
        <f>+STDEV(C42:E42)</f>
        <v>#DIV/0!</v>
      </c>
      <c r="D44" s="626"/>
      <c r="E44" s="626"/>
      <c r="F44" s="626"/>
      <c r="G44" s="626"/>
      <c r="H44" s="626"/>
      <c r="I44" s="626"/>
      <c r="J44" s="626"/>
    </row>
    <row r="45" spans="1:21" s="627" customFormat="1" ht="15" customHeight="1" thickBot="1" x14ac:dyDescent="0.25">
      <c r="A45" s="626"/>
      <c r="B45" s="626"/>
      <c r="C45" s="626"/>
      <c r="D45" s="626"/>
      <c r="E45" s="626"/>
      <c r="F45" s="626"/>
      <c r="G45" s="664"/>
      <c r="H45" s="626"/>
      <c r="I45" s="626"/>
      <c r="J45" s="626"/>
    </row>
    <row r="46" spans="1:21" s="627" customFormat="1" ht="31.5" customHeight="1" thickBot="1" x14ac:dyDescent="0.25">
      <c r="A46" s="1426" t="s">
        <v>54</v>
      </c>
      <c r="B46" s="1427"/>
      <c r="C46" s="1558"/>
      <c r="D46" s="1558"/>
      <c r="E46" s="1558"/>
      <c r="F46" s="1427"/>
      <c r="G46" s="1427"/>
      <c r="H46" s="1427"/>
      <c r="I46" s="1427"/>
      <c r="J46" s="1428"/>
    </row>
    <row r="47" spans="1:21" s="627" customFormat="1" ht="31.5" customHeight="1" thickBot="1" x14ac:dyDescent="0.25">
      <c r="A47" s="1419" t="s">
        <v>55</v>
      </c>
      <c r="B47" s="1420"/>
      <c r="C47" s="1421" t="s">
        <v>56</v>
      </c>
      <c r="D47" s="1422"/>
      <c r="E47" s="1423"/>
      <c r="F47" s="626"/>
      <c r="G47" s="626"/>
      <c r="H47" s="626"/>
      <c r="I47" s="626"/>
      <c r="J47" s="626"/>
    </row>
    <row r="48" spans="1:21"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726">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2"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8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800-000000000000}">
          <x14:formula1>
            <xm:f>'DATOS &lt;'!$B$20:$B$36</xm:f>
          </x14:formula1>
          <xm:sqref>I3:J4</xm:sqref>
        </x14:dataValidation>
        <x14:dataValidation type="list" allowBlank="1" showInputMessage="1" showErrorMessage="1" xr:uid="{00000000-0002-0000-1800-000001000000}">
          <x14:formula1>
            <xm:f>'DATOS &lt;'!$N$27:$N$134</xm:f>
          </x14:formula1>
          <xm:sqref>E6</xm:sqref>
        </x14:dataValidation>
        <x14:dataValidation type="list" allowBlank="1" showInputMessage="1" showErrorMessage="1" xr:uid="{00000000-0002-0000-1800-000002000000}">
          <x14:formula1>
            <xm:f>'DATOS &lt;'!$N$142:$N$164</xm:f>
          </x14:formula1>
          <xm:sqref>F48</xm:sqref>
        </x14:dataValidation>
        <x14:dataValidation type="list" allowBlank="1" showInputMessage="1" showErrorMessage="1" xr:uid="{00000000-0002-0000-1800-000003000000}">
          <x14:formula1>
            <xm:f>'DATOS &lt;'!$B$118:$B$124</xm:f>
          </x14:formula1>
          <xm:sqref>J13</xm:sqref>
        </x14:dataValidation>
        <x14:dataValidation type="list" allowBlank="1" showInputMessage="1" showErrorMessage="1" xr:uid="{00000000-0002-0000-1800-000004000000}">
          <x14:formula1>
            <xm:f>'DATOS &lt;'!$B$131:$B$135</xm:f>
          </x14:formula1>
          <xm:sqref>I26</xm:sqref>
        </x14:dataValidation>
        <x14:dataValidation type="list" allowBlank="1" showInputMessage="1" showErrorMessage="1" xr:uid="{00000000-0002-0000-1800-000005000000}">
          <x14:formula1>
            <xm:f>'DATOS &lt;'!$I$202:$I$205</xm:f>
          </x14:formula1>
          <xm:sqref>J19:J20</xm:sqref>
        </x14:dataValidation>
        <x14:dataValidation type="list" allowBlank="1" showInputMessage="1" showErrorMessage="1" xr:uid="{00000000-0002-0000-1800-000006000000}">
          <x14:formula1>
            <xm:f>'DATOS &lt;'!$I$129:$I$130</xm:f>
          </x14:formula1>
          <xm:sqref>N39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3.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67"/>
      <c r="D28" s="167"/>
      <c r="E28" s="168"/>
      <c r="F28" s="626"/>
      <c r="G28" s="626"/>
      <c r="H28" s="1358" t="e">
        <f>VLOOKUP($I$26,'DATOS &lt;'!$B$131:$G$135,2,FALSE)</f>
        <v>#N/A</v>
      </c>
      <c r="I28" s="1359"/>
    </row>
    <row r="29" spans="1:11" s="627" customFormat="1" ht="31.5" customHeight="1" x14ac:dyDescent="0.2">
      <c r="A29" s="1382"/>
      <c r="B29" s="790" t="s">
        <v>47</v>
      </c>
      <c r="C29" s="169"/>
      <c r="D29" s="169"/>
      <c r="E29" s="170"/>
      <c r="F29" s="626"/>
      <c r="G29" s="626"/>
      <c r="H29" s="626"/>
      <c r="I29" s="626"/>
    </row>
    <row r="30" spans="1:11" s="627" customFormat="1" ht="31.5" customHeight="1" x14ac:dyDescent="0.2">
      <c r="A30" s="1382"/>
      <c r="B30" s="790" t="s">
        <v>47</v>
      </c>
      <c r="C30" s="169"/>
      <c r="D30" s="169"/>
      <c r="E30" s="170"/>
      <c r="F30" s="626"/>
      <c r="G30" s="626"/>
      <c r="H30" s="626"/>
      <c r="I30" s="626"/>
      <c r="J30" s="626"/>
    </row>
    <row r="31" spans="1:11" s="627" customFormat="1" ht="31.5" customHeight="1" thickBot="1" x14ac:dyDescent="0.25">
      <c r="A31" s="1383"/>
      <c r="B31" s="791" t="s">
        <v>46</v>
      </c>
      <c r="C31" s="171"/>
      <c r="D31" s="171"/>
      <c r="E31" s="172"/>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37"/>
      <c r="I75" s="1282"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75"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8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'DATOS &lt;'!$B$20:$B$36</xm:f>
          </x14:formula1>
          <xm:sqref>I3:J4</xm:sqref>
        </x14:dataValidation>
        <x14:dataValidation type="list" allowBlank="1" showInputMessage="1" showErrorMessage="1" xr:uid="{00000000-0002-0000-1900-000001000000}">
          <x14:formula1>
            <xm:f>'DATOS &lt;'!$N$27:$N$134</xm:f>
          </x14:formula1>
          <xm:sqref>E6</xm:sqref>
        </x14:dataValidation>
        <x14:dataValidation type="list" allowBlank="1" showInputMessage="1" showErrorMessage="1" xr:uid="{00000000-0002-0000-1900-000002000000}">
          <x14:formula1>
            <xm:f>'DATOS &lt;'!$B$118:$B$124</xm:f>
          </x14:formula1>
          <xm:sqref>J13</xm:sqref>
        </x14:dataValidation>
        <x14:dataValidation type="list" allowBlank="1" showInputMessage="1" showErrorMessage="1" xr:uid="{00000000-0002-0000-1900-000003000000}">
          <x14:formula1>
            <xm:f>'DATOS &lt;'!$B$131:$B$135</xm:f>
          </x14:formula1>
          <xm:sqref>I26</xm:sqref>
        </x14:dataValidation>
        <x14:dataValidation type="list" allowBlank="1" showInputMessage="1" showErrorMessage="1" xr:uid="{00000000-0002-0000-1900-000004000000}">
          <x14:formula1>
            <xm:f>'DATOS &lt;'!$I$202:$I$205</xm:f>
          </x14:formula1>
          <xm:sqref>J19:J20</xm:sqref>
        </x14:dataValidation>
        <x14:dataValidation type="list" allowBlank="1" showInputMessage="1" showErrorMessage="1" xr:uid="{00000000-0002-0000-1900-000005000000}">
          <x14:formula1>
            <xm:f>'DATOS &lt;'!$I$129:$I$130</xm:f>
          </x14:formula1>
          <xm:sqref>N39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t="s">
        <v>104</v>
      </c>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357"/>
      <c r="C27" s="752">
        <v>1</v>
      </c>
      <c r="D27" s="635">
        <v>2</v>
      </c>
      <c r="E27" s="636">
        <v>3</v>
      </c>
      <c r="F27" s="626"/>
      <c r="H27" s="1376" t="s">
        <v>44</v>
      </c>
      <c r="I27" s="1377"/>
    </row>
    <row r="28" spans="1:11" s="627" customFormat="1" ht="31.5" customHeight="1" thickBot="1" x14ac:dyDescent="0.25">
      <c r="A28" s="1381" t="s">
        <v>45</v>
      </c>
      <c r="B28" s="645" t="s">
        <v>46</v>
      </c>
      <c r="C28" s="469"/>
      <c r="D28" s="167"/>
      <c r="E28" s="168"/>
      <c r="F28" s="626"/>
      <c r="G28" s="626"/>
      <c r="H28" s="1358" t="e">
        <f>VLOOKUP($I$26,'DATOS &lt;'!$B$131:$G$135,2,FALSE)</f>
        <v>#N/A</v>
      </c>
      <c r="I28" s="1359"/>
    </row>
    <row r="29" spans="1:11" s="627" customFormat="1" ht="31.5" customHeight="1" x14ac:dyDescent="0.2">
      <c r="A29" s="1382"/>
      <c r="B29" s="790" t="s">
        <v>47</v>
      </c>
      <c r="C29" s="470"/>
      <c r="D29" s="169"/>
      <c r="E29" s="170"/>
      <c r="F29" s="626"/>
      <c r="G29" s="626"/>
      <c r="H29" s="626"/>
      <c r="I29" s="626"/>
    </row>
    <row r="30" spans="1:11" s="627" customFormat="1" ht="31.5" customHeight="1" x14ac:dyDescent="0.2">
      <c r="A30" s="1382"/>
      <c r="B30" s="790" t="s">
        <v>47</v>
      </c>
      <c r="C30" s="470"/>
      <c r="D30" s="169"/>
      <c r="E30" s="170"/>
      <c r="F30" s="626"/>
      <c r="G30" s="626"/>
      <c r="H30" s="626"/>
      <c r="I30" s="626"/>
      <c r="J30" s="626"/>
    </row>
    <row r="31" spans="1:11" s="627" customFormat="1" ht="31.5" customHeight="1" thickBot="1" x14ac:dyDescent="0.25">
      <c r="A31" s="1383"/>
      <c r="B31" s="791" t="s">
        <v>46</v>
      </c>
      <c r="C31" s="471"/>
      <c r="D31" s="171"/>
      <c r="E31" s="172"/>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788">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815" t="e">
        <f>+AVERAGE(C28,C31)</f>
        <v>#DIV/0!</v>
      </c>
      <c r="D40" s="766" t="e">
        <f>+AVERAGE(D28,D31)</f>
        <v>#DIV/0!</v>
      </c>
      <c r="E40" s="767" t="e">
        <f>+AVERAGE(E28,E31)</f>
        <v>#DIV/0!</v>
      </c>
      <c r="F40" s="626"/>
      <c r="G40" s="626"/>
      <c r="H40" s="1320" t="s">
        <v>532</v>
      </c>
      <c r="I40" s="1321"/>
      <c r="J40" s="1321"/>
      <c r="K40" s="1321"/>
      <c r="L40" s="1321"/>
      <c r="M40" s="1322"/>
    </row>
    <row r="41" spans="1:14" s="627" customFormat="1" ht="31.5" customHeight="1" x14ac:dyDescent="0.2">
      <c r="A41" s="647"/>
      <c r="B41" s="652"/>
      <c r="C41" s="738" t="e">
        <f>+AVERAGE(C29:C30)</f>
        <v>#DIV/0!</v>
      </c>
      <c r="D41" s="740" t="e">
        <f>+AVERAGE(D29:D30)</f>
        <v>#DIV/0!</v>
      </c>
      <c r="E41" s="769" t="e">
        <f>+AVERAGE(E29:E30)</f>
        <v>#DIV/0!</v>
      </c>
      <c r="F41" s="626"/>
      <c r="G41" s="626"/>
      <c r="H41" s="1323"/>
      <c r="I41" s="1324"/>
      <c r="J41" s="1324"/>
      <c r="K41" s="1324"/>
      <c r="L41" s="1324"/>
      <c r="M41" s="1325"/>
    </row>
    <row r="42" spans="1:14" s="627" customFormat="1" ht="31.5" customHeight="1" thickBot="1" x14ac:dyDescent="0.25">
      <c r="A42" s="647"/>
      <c r="B42" s="656"/>
      <c r="C42" s="816" t="e">
        <f>+C41-C40</f>
        <v>#DIV/0!</v>
      </c>
      <c r="D42" s="771" t="e">
        <f>+D41-D40</f>
        <v>#DIV/0!</v>
      </c>
      <c r="E42" s="772" t="e">
        <f>+E41-E40</f>
        <v>#DIV/0!</v>
      </c>
      <c r="F42" s="626"/>
      <c r="G42" s="626"/>
      <c r="H42" s="1326"/>
      <c r="I42" s="1327"/>
      <c r="J42" s="1327"/>
      <c r="K42" s="1327"/>
      <c r="L42" s="1327"/>
      <c r="M42" s="1328"/>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819">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37"/>
      <c r="I75" s="1282"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75" t="e">
        <f>F75/1000</f>
        <v>#N/A</v>
      </c>
      <c r="G76" s="747"/>
      <c r="H76" s="1338"/>
      <c r="I76" s="775"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7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'DATOS &lt;'!$B$20:$B$36</xm:f>
          </x14:formula1>
          <xm:sqref>I3:J4</xm:sqref>
        </x14:dataValidation>
        <x14:dataValidation type="list" allowBlank="1" showInputMessage="1" showErrorMessage="1" xr:uid="{00000000-0002-0000-1A00-000001000000}">
          <x14:formula1>
            <xm:f>'DATOS &lt;'!$N$27:$N$134</xm:f>
          </x14:formula1>
          <xm:sqref>E6</xm:sqref>
        </x14:dataValidation>
        <x14:dataValidation type="list" allowBlank="1" showInputMessage="1" showErrorMessage="1" xr:uid="{00000000-0002-0000-1A00-000002000000}">
          <x14:formula1>
            <xm:f>'DATOS &lt;'!$B$118:$B$124</xm:f>
          </x14:formula1>
          <xm:sqref>J13</xm:sqref>
        </x14:dataValidation>
        <x14:dataValidation type="list" allowBlank="1" showInputMessage="1" showErrorMessage="1" xr:uid="{00000000-0002-0000-1A00-000003000000}">
          <x14:formula1>
            <xm:f>'DATOS &lt;'!$B$131:$B$135</xm:f>
          </x14:formula1>
          <xm:sqref>I26</xm:sqref>
        </x14:dataValidation>
        <x14:dataValidation type="list" allowBlank="1" showInputMessage="1" showErrorMessage="1" xr:uid="{00000000-0002-0000-1A00-000004000000}">
          <x14:formula1>
            <xm:f>'DATOS &lt;'!$I$202:$I$205</xm:f>
          </x14:formula1>
          <xm:sqref>J19:J20</xm:sqref>
        </x14:dataValidation>
        <x14:dataValidation type="list" allowBlank="1" showInputMessage="1" showErrorMessage="1" xr:uid="{00000000-0002-0000-1A00-000005000000}">
          <x14:formula1>
            <xm:f>'DATOS &lt;'!$I$129:$I$130</xm:f>
          </x14:formula1>
          <xm:sqref>N39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A1:U106"/>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415"/>
      <c r="C27" s="752">
        <v>1</v>
      </c>
      <c r="D27" s="635">
        <v>2</v>
      </c>
      <c r="E27" s="636">
        <v>3</v>
      </c>
      <c r="F27" s="626"/>
      <c r="H27" s="1376" t="s">
        <v>44</v>
      </c>
      <c r="I27" s="1377"/>
    </row>
    <row r="28" spans="1:11" s="627" customFormat="1" ht="31.5" customHeight="1" thickBot="1" x14ac:dyDescent="0.25">
      <c r="A28" s="1381" t="s">
        <v>45</v>
      </c>
      <c r="B28" s="637" t="s">
        <v>46</v>
      </c>
      <c r="C28" s="469"/>
      <c r="D28" s="167"/>
      <c r="E28" s="168"/>
      <c r="F28" s="626"/>
      <c r="G28" s="626"/>
      <c r="H28" s="1358" t="e">
        <f>VLOOKUP($I$26,'DATOS &lt;'!$B$131:$G$135,2,FALSE)</f>
        <v>#N/A</v>
      </c>
      <c r="I28" s="1359"/>
    </row>
    <row r="29" spans="1:11" s="627" customFormat="1" ht="31.5" customHeight="1" x14ac:dyDescent="0.2">
      <c r="A29" s="1382"/>
      <c r="B29" s="638" t="s">
        <v>47</v>
      </c>
      <c r="C29" s="470"/>
      <c r="D29" s="169"/>
      <c r="E29" s="170"/>
      <c r="F29" s="626"/>
      <c r="G29" s="626"/>
      <c r="H29" s="626"/>
    </row>
    <row r="30" spans="1:11" s="627" customFormat="1" ht="31.5" customHeight="1" x14ac:dyDescent="0.2">
      <c r="A30" s="1382"/>
      <c r="B30" s="638" t="s">
        <v>47</v>
      </c>
      <c r="C30" s="470"/>
      <c r="D30" s="169"/>
      <c r="E30" s="170"/>
      <c r="F30" s="626"/>
      <c r="G30" s="626"/>
      <c r="H30" s="626"/>
      <c r="I30" s="626"/>
      <c r="J30" s="626"/>
    </row>
    <row r="31" spans="1:11" s="627" customFormat="1" ht="31.5" customHeight="1" thickBot="1" x14ac:dyDescent="0.25">
      <c r="A31" s="1383"/>
      <c r="B31" s="639" t="s">
        <v>46</v>
      </c>
      <c r="C31" s="471"/>
      <c r="D31" s="171"/>
      <c r="E31" s="172"/>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788">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815" t="e">
        <f>+AVERAGE(C28,C31)</f>
        <v>#DIV/0!</v>
      </c>
      <c r="D40" s="766" t="e">
        <f>+AVERAGE(D28,D31)</f>
        <v>#DIV/0!</v>
      </c>
      <c r="E40" s="767" t="e">
        <f>+AVERAGE(E28,E31)</f>
        <v>#DIV/0!</v>
      </c>
      <c r="F40" s="626"/>
      <c r="G40" s="626"/>
      <c r="H40" s="1320" t="s">
        <v>532</v>
      </c>
      <c r="I40" s="1321"/>
      <c r="J40" s="1321"/>
      <c r="K40" s="1321"/>
      <c r="L40" s="1321"/>
      <c r="M40" s="1322"/>
    </row>
    <row r="41" spans="1:14" s="627" customFormat="1" ht="31.5" customHeight="1" x14ac:dyDescent="0.2">
      <c r="A41" s="647"/>
      <c r="B41" s="652"/>
      <c r="C41" s="738" t="e">
        <f>+AVERAGE(C29:C30)</f>
        <v>#DIV/0!</v>
      </c>
      <c r="D41" s="740" t="e">
        <f>+AVERAGE(D29:D30)</f>
        <v>#DIV/0!</v>
      </c>
      <c r="E41" s="769" t="e">
        <f>+AVERAGE(E29:E30)</f>
        <v>#DIV/0!</v>
      </c>
      <c r="F41" s="626"/>
      <c r="G41" s="626"/>
      <c r="H41" s="1323"/>
      <c r="I41" s="1324"/>
      <c r="J41" s="1324"/>
      <c r="K41" s="1324"/>
      <c r="L41" s="1324"/>
      <c r="M41" s="1325"/>
    </row>
    <row r="42" spans="1:14" s="627" customFormat="1" ht="31.5" customHeight="1" thickBot="1" x14ac:dyDescent="0.25">
      <c r="A42" s="647"/>
      <c r="B42" s="656"/>
      <c r="C42" s="816" t="e">
        <f>+C41-C40</f>
        <v>#DIV/0!</v>
      </c>
      <c r="D42" s="771" t="e">
        <f>+D41-D40</f>
        <v>#DIV/0!</v>
      </c>
      <c r="E42" s="772" t="e">
        <f>+E41-E40</f>
        <v>#DIV/0!</v>
      </c>
      <c r="F42" s="626"/>
      <c r="G42" s="626"/>
      <c r="H42" s="1326"/>
      <c r="I42" s="1327"/>
      <c r="J42" s="1327"/>
      <c r="K42" s="1327"/>
      <c r="L42" s="1327"/>
      <c r="M42" s="1328"/>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567" t="s">
        <v>61</v>
      </c>
      <c r="B50" s="156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92" customFormat="1" ht="51.75" customHeight="1" thickBot="1" x14ac:dyDescent="0.25">
      <c r="G69" s="461" t="e">
        <f>SUM(G59,G62,G66,G67,G68)</f>
        <v>#VALUE!</v>
      </c>
      <c r="L69" s="627"/>
      <c r="M69" s="627"/>
      <c r="S69" s="627"/>
      <c r="T69" s="627"/>
      <c r="U69" s="627"/>
    </row>
    <row r="70" spans="1:21" s="92" customFormat="1" ht="35.1" customHeight="1" thickBot="1" x14ac:dyDescent="0.3">
      <c r="D70" s="1312" t="s">
        <v>96</v>
      </c>
      <c r="E70" s="1313"/>
      <c r="F70" s="727"/>
      <c r="G70" s="728" t="e">
        <f>+SQRT(SUMSQ(C59,C62,C66,C67,C68))</f>
        <v>#DIV/0!</v>
      </c>
      <c r="H70" s="729" t="s">
        <v>22</v>
      </c>
      <c r="K70" s="627"/>
      <c r="O70" s="627"/>
      <c r="P70" s="627"/>
      <c r="Q70" s="627"/>
      <c r="R70" s="627"/>
      <c r="S70" s="627"/>
      <c r="T70" s="627"/>
      <c r="U70" s="627"/>
    </row>
    <row r="71" spans="1:21" s="92" customFormat="1" ht="33.75" customHeight="1" thickBot="1" x14ac:dyDescent="4.45">
      <c r="D71" s="1312" t="s">
        <v>97</v>
      </c>
      <c r="E71" s="1313"/>
      <c r="F71" s="730"/>
      <c r="G71" s="728" t="e">
        <f>+G70*2</f>
        <v>#DIV/0!</v>
      </c>
      <c r="H71" s="731" t="s">
        <v>22</v>
      </c>
      <c r="K71" s="95"/>
      <c r="L71" s="732"/>
      <c r="O71" s="627"/>
      <c r="P71" s="627"/>
      <c r="Q71" s="627"/>
      <c r="R71" s="627"/>
      <c r="S71" s="627"/>
      <c r="T71" s="627"/>
      <c r="U71" s="627"/>
    </row>
    <row r="72" spans="1:21" s="92" customFormat="1" ht="35.1" customHeight="1" thickBot="1" x14ac:dyDescent="0.25">
      <c r="B72" s="1304" t="s">
        <v>98</v>
      </c>
      <c r="C72" s="1305"/>
      <c r="D72" s="1305"/>
      <c r="E72" s="1305"/>
      <c r="F72" s="1305"/>
      <c r="G72" s="1305"/>
      <c r="H72" s="1305"/>
      <c r="I72" s="1305"/>
      <c r="J72" s="1305"/>
      <c r="K72" s="1306"/>
      <c r="O72" s="627"/>
      <c r="P72" s="627"/>
      <c r="Q72" s="627"/>
      <c r="R72" s="627"/>
      <c r="S72" s="627"/>
      <c r="T72" s="627"/>
      <c r="U72" s="627"/>
    </row>
    <row r="73" spans="1:21" s="92" customFormat="1" ht="40.5"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35.1"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37"/>
      <c r="I75" s="1282"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38"/>
      <c r="I76" s="745" t="e">
        <f>I75/1000</f>
        <v>#DIV/0!</v>
      </c>
      <c r="J76" s="1343"/>
      <c r="K76" s="1344"/>
      <c r="O76" s="627"/>
      <c r="P76" s="627"/>
      <c r="Q76" s="627"/>
      <c r="R76" s="627"/>
      <c r="S76" s="627"/>
      <c r="T76" s="627"/>
      <c r="U76" s="627"/>
    </row>
    <row r="77" spans="1:21" s="92" customFormat="1" ht="35.1" customHeight="1" x14ac:dyDescent="0.2">
      <c r="O77" s="627"/>
      <c r="P77" s="627"/>
      <c r="Q77" s="627"/>
      <c r="R77" s="627"/>
      <c r="S77" s="627"/>
      <c r="T77" s="627"/>
      <c r="U77" s="627"/>
    </row>
    <row r="78" spans="1:21" s="92" customFormat="1" ht="35.1" customHeight="1" x14ac:dyDescent="0.2"/>
    <row r="79" spans="1:21" s="92" customFormat="1" ht="35.1" customHeight="1" x14ac:dyDescent="0.2">
      <c r="A79" s="94"/>
    </row>
    <row r="80" spans="1:21" s="92" customFormat="1" ht="35.1" customHeight="1" x14ac:dyDescent="0.2"/>
    <row r="81" spans="7:11" s="92" customFormat="1" ht="61.5" customHeight="1" x14ac:dyDescent="0.2"/>
    <row r="82" spans="7:11" s="92" customFormat="1" ht="35.1" customHeight="1" x14ac:dyDescent="0.2"/>
    <row r="83" spans="7:11" s="92" customFormat="1" ht="35.1" customHeight="1" x14ac:dyDescent="0.2">
      <c r="K83" s="93"/>
    </row>
    <row r="84" spans="7:11" s="92" customFormat="1" ht="35.1" customHeight="1" x14ac:dyDescent="0.2"/>
    <row r="85" spans="7:11" s="92" customFormat="1" ht="50.1" customHeight="1" x14ac:dyDescent="0.2"/>
    <row r="86" spans="7:11" s="92" customFormat="1" ht="57.75" customHeight="1" x14ac:dyDescent="0.2"/>
    <row r="87" spans="7:11" s="92" customFormat="1" ht="35.1" customHeight="1" x14ac:dyDescent="0.2"/>
    <row r="88" spans="7:11" s="92" customFormat="1" ht="35.1" customHeight="1" x14ac:dyDescent="0.2"/>
    <row r="89" spans="7:11" s="92" customFormat="1" ht="35.1" customHeight="1" x14ac:dyDescent="0.2"/>
    <row r="90" spans="7:11" s="92" customFormat="1" ht="50.1" customHeight="1" x14ac:dyDescent="0.2"/>
    <row r="91" spans="7:11" s="92" customFormat="1" ht="55.5" customHeight="1" x14ac:dyDescent="0.2"/>
    <row r="92" spans="7:11" s="92" customFormat="1" ht="50.1" customHeight="1" x14ac:dyDescent="0.2"/>
    <row r="93" spans="7:11" s="92" customFormat="1" ht="31.5" customHeight="1" x14ac:dyDescent="0.2"/>
    <row r="94" spans="7:11" s="92" customFormat="1" ht="35.1" customHeight="1" x14ac:dyDescent="0.2"/>
    <row r="95" spans="7:11" s="92" customFormat="1" ht="35.1" customHeight="1" x14ac:dyDescent="0.2"/>
    <row r="96" spans="7:11"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mergeCells count="63">
    <mergeCell ref="F74:G74"/>
    <mergeCell ref="H74:H76"/>
    <mergeCell ref="I74:K74"/>
    <mergeCell ref="J75:K75"/>
    <mergeCell ref="J76:K76"/>
    <mergeCell ref="A56:J56"/>
    <mergeCell ref="A58:B58"/>
    <mergeCell ref="C58:D58"/>
    <mergeCell ref="E58:F58"/>
    <mergeCell ref="I60:N60"/>
    <mergeCell ref="A50:B50"/>
    <mergeCell ref="G50:H50"/>
    <mergeCell ref="A52:J52"/>
    <mergeCell ref="D53:E53"/>
    <mergeCell ref="H53:I53"/>
    <mergeCell ref="B73:E73"/>
    <mergeCell ref="H73:K73"/>
    <mergeCell ref="D70:E70"/>
    <mergeCell ref="D71:E71"/>
    <mergeCell ref="B72:K72"/>
    <mergeCell ref="G49:H49"/>
    <mergeCell ref="H40:M42"/>
    <mergeCell ref="A28:A31"/>
    <mergeCell ref="C33:D33"/>
    <mergeCell ref="F33:G33"/>
    <mergeCell ref="A46:J46"/>
    <mergeCell ref="A47:B48"/>
    <mergeCell ref="C47:E47"/>
    <mergeCell ref="G48:H48"/>
    <mergeCell ref="B38:E38"/>
    <mergeCell ref="A49:B49"/>
    <mergeCell ref="A36:N36"/>
    <mergeCell ref="H38:M38"/>
    <mergeCell ref="H39:M39"/>
    <mergeCell ref="H28:I28"/>
    <mergeCell ref="A22:J22"/>
    <mergeCell ref="C24:D24"/>
    <mergeCell ref="F24:G24"/>
    <mergeCell ref="H27:I27"/>
    <mergeCell ref="C26:E26"/>
    <mergeCell ref="A27:B27"/>
    <mergeCell ref="A15:B15"/>
    <mergeCell ref="A16:B16"/>
    <mergeCell ref="C16:D16"/>
    <mergeCell ref="A18:J18"/>
    <mergeCell ref="F19:G19"/>
    <mergeCell ref="J19:J20"/>
    <mergeCell ref="A20:B20"/>
    <mergeCell ref="E20:F20"/>
    <mergeCell ref="A14:B1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7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'DATOS &lt;'!$B$20:$B$36</xm:f>
          </x14:formula1>
          <xm:sqref>I3:J4</xm:sqref>
        </x14:dataValidation>
        <x14:dataValidation type="list" allowBlank="1" showInputMessage="1" showErrorMessage="1" xr:uid="{00000000-0002-0000-1B00-000001000000}">
          <x14:formula1>
            <xm:f>'DATOS &lt;'!$B$118:$B$124</xm:f>
          </x14:formula1>
          <xm:sqref>J13</xm:sqref>
        </x14:dataValidation>
        <x14:dataValidation type="list" allowBlank="1" showInputMessage="1" showErrorMessage="1" xr:uid="{00000000-0002-0000-1B00-000002000000}">
          <x14:formula1>
            <xm:f>'DATOS &lt;'!$B$131:$B$135</xm:f>
          </x14:formula1>
          <xm:sqref>I26</xm:sqref>
        </x14:dataValidation>
        <x14:dataValidation type="list" allowBlank="1" showInputMessage="1" showErrorMessage="1" xr:uid="{00000000-0002-0000-1B00-000003000000}">
          <x14:formula1>
            <xm:f>'DATOS &lt;'!$N$27:$N$134</xm:f>
          </x14:formula1>
          <xm:sqref>E6</xm:sqref>
        </x14:dataValidation>
        <x14:dataValidation type="list" allowBlank="1" showInputMessage="1" showErrorMessage="1" xr:uid="{00000000-0002-0000-1B00-000004000000}">
          <x14:formula1>
            <xm:f>'DATOS &lt;'!$I$202:$I$205</xm:f>
          </x14:formula1>
          <xm:sqref>J19:J20</xm:sqref>
        </x14:dataValidation>
        <x14:dataValidation type="list" allowBlank="1" showInputMessage="1" showErrorMessage="1" xr:uid="{00000000-0002-0000-1B00-000005000000}">
          <x14:formula1>
            <xm:f>'DATOS &lt;'!$I$129:$I$130</xm:f>
          </x14:formula1>
          <xm:sqref>N39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75"/>
      <c r="D28" s="175"/>
      <c r="E28" s="176"/>
      <c r="F28" s="626"/>
      <c r="G28" s="626"/>
      <c r="H28" s="1358" t="e">
        <f>VLOOKUP($I$26,'DATOS &lt;'!$B$131:$G$135,2,FALSE)</f>
        <v>#N/A</v>
      </c>
      <c r="I28" s="1359"/>
      <c r="J28" s="626"/>
    </row>
    <row r="29" spans="1:11" s="627" customFormat="1" ht="31.5" customHeight="1" x14ac:dyDescent="0.2">
      <c r="A29" s="1382"/>
      <c r="B29" s="790" t="s">
        <v>47</v>
      </c>
      <c r="C29" s="177"/>
      <c r="D29" s="177"/>
      <c r="E29" s="178"/>
      <c r="F29" s="626"/>
      <c r="G29" s="626"/>
      <c r="H29" s="626"/>
      <c r="I29" s="626"/>
      <c r="J29" s="626"/>
    </row>
    <row r="30" spans="1:11" s="627" customFormat="1" ht="31.5" customHeight="1" x14ac:dyDescent="0.2">
      <c r="A30" s="1382"/>
      <c r="B30" s="790" t="s">
        <v>47</v>
      </c>
      <c r="C30" s="177"/>
      <c r="D30" s="177"/>
      <c r="E30" s="178"/>
      <c r="F30" s="626"/>
      <c r="G30" s="626"/>
      <c r="H30" s="626"/>
      <c r="I30" s="626"/>
      <c r="J30" s="626"/>
    </row>
    <row r="31" spans="1:11" s="627" customFormat="1" ht="31.5" customHeight="1" thickBot="1" x14ac:dyDescent="0.25">
      <c r="A31" s="1383"/>
      <c r="B31" s="791" t="s">
        <v>46</v>
      </c>
      <c r="C31" s="179"/>
      <c r="D31" s="179"/>
      <c r="E31" s="180"/>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96"/>
      <c r="G38" s="626"/>
      <c r="H38" s="1314" t="s">
        <v>51</v>
      </c>
      <c r="I38" s="1315"/>
      <c r="J38" s="1315"/>
      <c r="K38" s="1315"/>
      <c r="L38" s="1315"/>
      <c r="M38" s="1316"/>
    </row>
    <row r="39" spans="1:14" s="627" customFormat="1" ht="37.5" customHeight="1" thickBot="1" x14ac:dyDescent="0.25">
      <c r="A39" s="626"/>
      <c r="B39" s="643" t="s">
        <v>43</v>
      </c>
      <c r="C39" s="644">
        <v>1</v>
      </c>
      <c r="D39" s="645">
        <v>2</v>
      </c>
      <c r="E39" s="646">
        <v>3</v>
      </c>
      <c r="F39" s="696"/>
      <c r="G39" s="626"/>
      <c r="H39" s="1317" t="e">
        <f>VLOOKUP($N$39,'DATOS &lt;'!$I$127:$L$130,2,FALSE)</f>
        <v>#N/A</v>
      </c>
      <c r="I39" s="1318"/>
      <c r="J39" s="1318"/>
      <c r="K39" s="1318"/>
      <c r="L39" s="1318"/>
      <c r="M39" s="1319"/>
      <c r="N39" s="1293"/>
    </row>
    <row r="40" spans="1:14" s="627" customFormat="1" ht="31.5" customHeight="1" x14ac:dyDescent="0.2">
      <c r="A40" s="647"/>
      <c r="B40" s="648"/>
      <c r="C40" s="800" t="e">
        <f>+AVERAGE(C28,C31)</f>
        <v>#DIV/0!</v>
      </c>
      <c r="D40" s="801" t="e">
        <f>+AVERAGE(D28,D31)</f>
        <v>#DIV/0!</v>
      </c>
      <c r="E40" s="802" t="e">
        <f>+AVERAGE(E28,E31)</f>
        <v>#DIV/0!</v>
      </c>
      <c r="F40" s="696"/>
      <c r="G40" s="626"/>
      <c r="H40" s="1320" t="s">
        <v>532</v>
      </c>
      <c r="I40" s="1321"/>
      <c r="J40" s="1321"/>
      <c r="K40" s="1321"/>
      <c r="L40" s="1321"/>
      <c r="M40" s="1322"/>
    </row>
    <row r="41" spans="1:14" s="627" customFormat="1" ht="31.5" customHeight="1" x14ac:dyDescent="0.2">
      <c r="A41" s="647"/>
      <c r="B41" s="652"/>
      <c r="C41" s="803" t="e">
        <f>+AVERAGE(C29:C30)</f>
        <v>#DIV/0!</v>
      </c>
      <c r="D41" s="804" t="e">
        <f>+AVERAGE(D29:D30)</f>
        <v>#DIV/0!</v>
      </c>
      <c r="E41" s="805" t="e">
        <f>+AVERAGE(E29:E30)</f>
        <v>#DIV/0!</v>
      </c>
      <c r="F41" s="696"/>
      <c r="G41" s="626"/>
      <c r="H41" s="1323"/>
      <c r="I41" s="1324"/>
      <c r="J41" s="1324"/>
      <c r="K41" s="1324"/>
      <c r="L41" s="1324"/>
      <c r="M41" s="1325"/>
    </row>
    <row r="42" spans="1:14" s="627" customFormat="1" ht="31.5" customHeight="1" thickBot="1" x14ac:dyDescent="0.25">
      <c r="A42" s="647"/>
      <c r="B42" s="656"/>
      <c r="C42" s="806" t="e">
        <f>+C41-C40</f>
        <v>#DIV/0!</v>
      </c>
      <c r="D42" s="807" t="e">
        <f>+D41-D40</f>
        <v>#DIV/0!</v>
      </c>
      <c r="E42" s="808" t="e">
        <f>+E41-E40</f>
        <v>#DIV/0!</v>
      </c>
      <c r="F42" s="696"/>
      <c r="G42" s="626"/>
      <c r="H42" s="1326"/>
      <c r="I42" s="1327"/>
      <c r="J42" s="1327"/>
      <c r="K42" s="1327"/>
      <c r="L42" s="1327"/>
      <c r="M42" s="1328"/>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753"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812" t="s">
        <v>92</v>
      </c>
      <c r="K67" s="528" t="s">
        <v>93</v>
      </c>
      <c r="L67" s="813"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525" t="e">
        <f>(G70^4/((C59^4/F59)+(C62^4/F62)+(C66^4/F66)+(C67^4/F67)+(C68^4/F68)))</f>
        <v>#DIV/0!</v>
      </c>
      <c r="K68" s="526" t="e">
        <f>(_xlfn.T.INV.2T(0.05,J68))</f>
        <v>#DIV/0!</v>
      </c>
      <c r="L68" s="527" t="e">
        <f>(1-_xlfn.T.DIST.2T(K68,J68))</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37"/>
      <c r="I75" s="1282"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38"/>
      <c r="I76" s="814"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46:J46"/>
    <mergeCell ref="A47:B48"/>
    <mergeCell ref="C47:E47"/>
    <mergeCell ref="G48:H48"/>
    <mergeCell ref="B38:E38"/>
    <mergeCell ref="A49:B49"/>
    <mergeCell ref="A36:N36"/>
    <mergeCell ref="H38:M38"/>
    <mergeCell ref="H39:M39"/>
    <mergeCell ref="H40:M4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A13:B13"/>
    <mergeCell ref="F13:I13"/>
    <mergeCell ref="C26:E26"/>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7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'DATOS &lt;'!$B$20:$B$36</xm:f>
          </x14:formula1>
          <xm:sqref>I3:J4</xm:sqref>
        </x14:dataValidation>
        <x14:dataValidation type="list" allowBlank="1" showInputMessage="1" showErrorMessage="1" xr:uid="{00000000-0002-0000-1C00-000001000000}">
          <x14:formula1>
            <xm:f>'DATOS &lt;'!$N$27:$N$134</xm:f>
          </x14:formula1>
          <xm:sqref>E6</xm:sqref>
        </x14:dataValidation>
        <x14:dataValidation type="list" allowBlank="1" showInputMessage="1" showErrorMessage="1" xr:uid="{00000000-0002-0000-1C00-000002000000}">
          <x14:formula1>
            <xm:f>'DATOS &lt;'!$B$118:$B$124</xm:f>
          </x14:formula1>
          <xm:sqref>J13</xm:sqref>
        </x14:dataValidation>
        <x14:dataValidation type="list" allowBlank="1" showInputMessage="1" showErrorMessage="1" xr:uid="{00000000-0002-0000-1C00-000003000000}">
          <x14:formula1>
            <xm:f>'DATOS &lt;'!$B$131:$B$135</xm:f>
          </x14:formula1>
          <xm:sqref>I26</xm:sqref>
        </x14:dataValidation>
        <x14:dataValidation type="list" allowBlank="1" showInputMessage="1" showErrorMessage="1" xr:uid="{00000000-0002-0000-1C00-000004000000}">
          <x14:formula1>
            <xm:f>'DATOS &lt;'!$I$202:$I$205</xm:f>
          </x14:formula1>
          <xm:sqref>J19:J20</xm:sqref>
        </x14:dataValidation>
        <x14:dataValidation type="list" allowBlank="1" showInputMessage="1" showErrorMessage="1" xr:uid="{00000000-0002-0000-1C00-000005000000}">
          <x14:formula1>
            <xm:f>'DATOS &lt;'!$I$129:$I$130</xm:f>
          </x14:formula1>
          <xm:sqref>N39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FF00"/>
  </sheetPr>
  <dimension ref="A1:U107"/>
  <sheetViews>
    <sheetView showGridLines="0" view="pageBreakPreview" topLeftCell="A28"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4</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418"/>
    </row>
    <row r="28" spans="1:14" s="627" customFormat="1" ht="31.5" customHeight="1" thickBot="1" x14ac:dyDescent="0.25">
      <c r="A28" s="1381" t="s">
        <v>45</v>
      </c>
      <c r="B28" s="637" t="s">
        <v>46</v>
      </c>
      <c r="C28" s="395"/>
      <c r="D28" s="118"/>
      <c r="E28" s="119"/>
      <c r="F28" s="626"/>
      <c r="G28" s="626"/>
      <c r="H28" s="1358" t="e">
        <f>VLOOKUP($I$26,'DATOS &lt;'!$B$131:$G$135,2,FALSE)</f>
        <v>#N/A</v>
      </c>
      <c r="I28" s="1359"/>
      <c r="J28" s="626"/>
    </row>
    <row r="29" spans="1:14" s="627" customFormat="1" ht="31.5" customHeight="1" x14ac:dyDescent="0.2">
      <c r="A29" s="1382"/>
      <c r="B29" s="638" t="s">
        <v>47</v>
      </c>
      <c r="C29" s="396"/>
      <c r="D29" s="107"/>
      <c r="E29" s="108"/>
      <c r="F29" s="626"/>
      <c r="G29" s="626"/>
      <c r="H29" s="626"/>
      <c r="I29" s="626"/>
      <c r="J29" s="626"/>
    </row>
    <row r="30" spans="1:14" s="627" customFormat="1" ht="31.5" customHeight="1" x14ac:dyDescent="0.2">
      <c r="A30" s="1382"/>
      <c r="B30" s="638" t="s">
        <v>47</v>
      </c>
      <c r="C30" s="396"/>
      <c r="D30" s="107"/>
      <c r="E30" s="108"/>
      <c r="F30" s="626"/>
      <c r="G30" s="626"/>
      <c r="H30" s="626"/>
      <c r="I30" s="626"/>
      <c r="J30" s="626"/>
    </row>
    <row r="31" spans="1:14" s="627" customFormat="1" ht="31.5" customHeight="1" thickBot="1" x14ac:dyDescent="0.25">
      <c r="A31" s="1383"/>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5">
        <v>3</v>
      </c>
      <c r="F39" s="626"/>
      <c r="G39" s="626"/>
      <c r="H39" s="1317" t="e">
        <f>VLOOKUP($N$39,'DATOS &lt;'!$I$127:$L$130,2,FALSE)</f>
        <v>#N/A</v>
      </c>
      <c r="I39" s="1318"/>
      <c r="J39" s="1318"/>
      <c r="K39" s="1318"/>
      <c r="L39" s="1318"/>
      <c r="M39" s="1319"/>
      <c r="N39" s="1293"/>
    </row>
    <row r="40" spans="1:14" s="627" customFormat="1" ht="31.5" customHeight="1" x14ac:dyDescent="0.2">
      <c r="A40" s="647"/>
      <c r="B40" s="648"/>
      <c r="C40" s="762"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76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764"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3</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452" t="e">
        <f>G70^4/((C59^4/F59)+(C62^4/F62)+(C66^4/F66)+(C67^4/F67)+(C68^4/F68))</f>
        <v>#DIV/0!</v>
      </c>
      <c r="K68" s="523" t="e">
        <f>(_xlfn.T.INV.2T(0.05,J68))</f>
        <v>#DIV/0!</v>
      </c>
      <c r="L68" s="524"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61" t="e">
        <f>F75/1000</f>
        <v>#N/A</v>
      </c>
      <c r="G76" s="747"/>
      <c r="H76" s="1338"/>
      <c r="I76" s="761"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A47:B48"/>
    <mergeCell ref="C47:E47"/>
    <mergeCell ref="G48:H48"/>
    <mergeCell ref="H38:M38"/>
    <mergeCell ref="H39:M39"/>
    <mergeCell ref="H40:M42"/>
    <mergeCell ref="A50:B50"/>
    <mergeCell ref="G50:H50"/>
    <mergeCell ref="D53:E53"/>
    <mergeCell ref="H53:I5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14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'DATOS &lt;'!$B$7:$B$19</xm:f>
          </x14:formula1>
          <xm:sqref>I3:J4</xm:sqref>
        </x14:dataValidation>
        <x14:dataValidation type="list" allowBlank="1" showInputMessage="1" showErrorMessage="1" xr:uid="{00000000-0002-0000-0200-000001000000}">
          <x14:formula1>
            <xm:f>'DATOS &lt;'!$N$82:$N$134</xm:f>
          </x14:formula1>
          <xm:sqref>E6</xm:sqref>
        </x14:dataValidation>
        <x14:dataValidation type="list" allowBlank="1" showInputMessage="1" showErrorMessage="1" xr:uid="{00000000-0002-0000-0200-000002000000}">
          <x14:formula1>
            <xm:f>'DATOS &lt;'!$B$118:$B$124</xm:f>
          </x14:formula1>
          <xm:sqref>J13</xm:sqref>
        </x14:dataValidation>
        <x14:dataValidation type="list" allowBlank="1" showInputMessage="1" showErrorMessage="1" xr:uid="{00000000-0002-0000-0200-000003000000}">
          <x14:formula1>
            <xm:f>'DATOS &lt;'!$B$131:$B$135</xm:f>
          </x14:formula1>
          <xm:sqref>I26</xm:sqref>
        </x14:dataValidation>
        <x14:dataValidation type="list" allowBlank="1" showInputMessage="1" showErrorMessage="1" xr:uid="{00000000-0002-0000-0200-000004000000}">
          <x14:formula1>
            <xm:f>'DATOS &lt;'!$I$202:$I$205</xm:f>
          </x14:formula1>
          <xm:sqref>J19:J20</xm:sqref>
        </x14:dataValidation>
        <x14:dataValidation type="list" allowBlank="1" showInputMessage="1" showErrorMessage="1" xr:uid="{00000000-0002-0000-0200-000005000000}">
          <x14:formula1>
            <xm:f>'DATOS &lt;'!$I$129:$I$130</xm:f>
          </x14:formula1>
          <xm:sqref>N39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75"/>
      <c r="D28" s="175"/>
      <c r="E28" s="176"/>
      <c r="F28" s="626"/>
      <c r="G28" s="626"/>
      <c r="H28" s="1358" t="e">
        <f>VLOOKUP($I$26,'DATOS &lt;'!$B$131:$G$135,2,FALSE)</f>
        <v>#N/A</v>
      </c>
      <c r="I28" s="1359"/>
      <c r="J28" s="626"/>
    </row>
    <row r="29" spans="1:11" s="627" customFormat="1" ht="31.5" customHeight="1" x14ac:dyDescent="0.2">
      <c r="A29" s="1382"/>
      <c r="B29" s="790" t="s">
        <v>47</v>
      </c>
      <c r="C29" s="177"/>
      <c r="D29" s="177"/>
      <c r="E29" s="178"/>
      <c r="F29" s="626"/>
      <c r="G29" s="626"/>
      <c r="H29" s="626"/>
      <c r="I29" s="626"/>
      <c r="J29" s="626"/>
    </row>
    <row r="30" spans="1:11" s="627" customFormat="1" ht="31.5" customHeight="1" x14ac:dyDescent="0.2">
      <c r="A30" s="1382"/>
      <c r="B30" s="790" t="s">
        <v>47</v>
      </c>
      <c r="C30" s="177"/>
      <c r="D30" s="177"/>
      <c r="E30" s="178"/>
      <c r="F30" s="626"/>
      <c r="G30" s="626"/>
      <c r="H30" s="626"/>
      <c r="I30" s="626"/>
      <c r="J30" s="626"/>
    </row>
    <row r="31" spans="1:11" s="627" customFormat="1" ht="31.5" customHeight="1" thickBot="1" x14ac:dyDescent="0.25">
      <c r="A31" s="1383"/>
      <c r="B31" s="791" t="s">
        <v>46</v>
      </c>
      <c r="C31" s="179"/>
      <c r="D31" s="179"/>
      <c r="E31" s="180"/>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9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96"/>
      <c r="G39" s="626"/>
      <c r="H39" s="1317" t="e">
        <f>VLOOKUP($N$39,'DATOS &lt;'!$I$127:$L$130,2,FALSE)</f>
        <v>#N/A</v>
      </c>
      <c r="I39" s="1318"/>
      <c r="J39" s="1318"/>
      <c r="K39" s="1318"/>
      <c r="L39" s="1318"/>
      <c r="M39" s="1319"/>
      <c r="N39" s="1293"/>
    </row>
    <row r="40" spans="1:14" s="627" customFormat="1" ht="31.5" customHeight="1" x14ac:dyDescent="0.2">
      <c r="A40" s="647"/>
      <c r="B40" s="648"/>
      <c r="C40" s="800" t="e">
        <f>+AVERAGE(C28,C31)</f>
        <v>#DIV/0!</v>
      </c>
      <c r="D40" s="801" t="e">
        <f>+AVERAGE(D28,D31)</f>
        <v>#DIV/0!</v>
      </c>
      <c r="E40" s="802" t="e">
        <f>+AVERAGE(E28,E31)</f>
        <v>#DIV/0!</v>
      </c>
      <c r="F40" s="696"/>
      <c r="G40" s="626"/>
      <c r="H40" s="1320" t="s">
        <v>532</v>
      </c>
      <c r="I40" s="1321"/>
      <c r="J40" s="1321"/>
      <c r="K40" s="1321"/>
      <c r="L40" s="1321"/>
      <c r="M40" s="1322"/>
    </row>
    <row r="41" spans="1:14" s="627" customFormat="1" ht="31.5" customHeight="1" x14ac:dyDescent="0.2">
      <c r="A41" s="647"/>
      <c r="B41" s="652"/>
      <c r="C41" s="803" t="e">
        <f>+AVERAGE(C29:C30)</f>
        <v>#DIV/0!</v>
      </c>
      <c r="D41" s="804" t="e">
        <f>+AVERAGE(D29:D30)</f>
        <v>#DIV/0!</v>
      </c>
      <c r="E41" s="805" t="e">
        <f>+AVERAGE(E29:E30)</f>
        <v>#DIV/0!</v>
      </c>
      <c r="F41" s="696"/>
      <c r="G41" s="626"/>
      <c r="H41" s="1323"/>
      <c r="I41" s="1324"/>
      <c r="J41" s="1324"/>
      <c r="K41" s="1324"/>
      <c r="L41" s="1324"/>
      <c r="M41" s="1325"/>
    </row>
    <row r="42" spans="1:14" s="627" customFormat="1" ht="31.5" customHeight="1" thickBot="1" x14ac:dyDescent="0.25">
      <c r="A42" s="647"/>
      <c r="B42" s="656"/>
      <c r="C42" s="806" t="e">
        <f>+C41-C40</f>
        <v>#DIV/0!</v>
      </c>
      <c r="D42" s="807" t="e">
        <f>+D41-D40</f>
        <v>#DIV/0!</v>
      </c>
      <c r="E42" s="808" t="e">
        <f>+E41-E40</f>
        <v>#DIV/0!</v>
      </c>
      <c r="F42" s="696"/>
      <c r="G42" s="626"/>
      <c r="H42" s="1326"/>
      <c r="I42" s="1327"/>
      <c r="J42" s="1327"/>
      <c r="K42" s="1327"/>
      <c r="L42" s="1327"/>
      <c r="M42" s="1328"/>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10"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37"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535" t="e">
        <f>(G70^4/((C59^4/F59)+(C62^4/F62)+(C66^4/F66)+(C67^4/F67)+(C68^4/F68)))</f>
        <v>#DIV/0!</v>
      </c>
      <c r="K68" s="536" t="e">
        <f>(_xlfn.T.INV.2T(0.05,J68))</f>
        <v>#DIV/0!</v>
      </c>
      <c r="L68" s="527" t="e">
        <f>(1-_xlfn.T.DIST.2T(K68,J68))</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37"/>
      <c r="I75" s="811" t="e">
        <f>G71</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38"/>
      <c r="I76" s="775"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46:J46"/>
    <mergeCell ref="A47:B48"/>
    <mergeCell ref="C47:E47"/>
    <mergeCell ref="G48:H48"/>
    <mergeCell ref="B38:E38"/>
    <mergeCell ref="A49:B49"/>
    <mergeCell ref="A36:N36"/>
    <mergeCell ref="H38:M38"/>
    <mergeCell ref="H28:I28"/>
    <mergeCell ref="H40:M42"/>
    <mergeCell ref="A20:B20"/>
    <mergeCell ref="E20:F20"/>
    <mergeCell ref="A22:J22"/>
    <mergeCell ref="A14:B14"/>
    <mergeCell ref="A15:B15"/>
    <mergeCell ref="A16:B16"/>
    <mergeCell ref="C16:D16"/>
    <mergeCell ref="A18:J18"/>
    <mergeCell ref="H27:I27"/>
    <mergeCell ref="C26:E26"/>
    <mergeCell ref="H39:M39"/>
    <mergeCell ref="F19:G19"/>
    <mergeCell ref="J19:J20"/>
    <mergeCell ref="A27:B27"/>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s>
  <conditionalFormatting sqref="G59 G62 G66:G68">
    <cfRule type="cellIs" dxfId="7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D00-000000000000}">
          <x14:formula1>
            <xm:f>'DATOS &lt;'!$B$20:$B$36</xm:f>
          </x14:formula1>
          <xm:sqref>I3:J4</xm:sqref>
        </x14:dataValidation>
        <x14:dataValidation type="list" allowBlank="1" showInputMessage="1" showErrorMessage="1" xr:uid="{00000000-0002-0000-1D00-000001000000}">
          <x14:formula1>
            <xm:f>'DATOS &lt;'!$B$118:$B$124</xm:f>
          </x14:formula1>
          <xm:sqref>J13</xm:sqref>
        </x14:dataValidation>
        <x14:dataValidation type="list" allowBlank="1" showInputMessage="1" showErrorMessage="1" xr:uid="{00000000-0002-0000-1D00-000002000000}">
          <x14:formula1>
            <xm:f>'DATOS &lt;'!$B$131:$B$135</xm:f>
          </x14:formula1>
          <xm:sqref>I26</xm:sqref>
        </x14:dataValidation>
        <x14:dataValidation type="list" allowBlank="1" showInputMessage="1" showErrorMessage="1" xr:uid="{00000000-0002-0000-1D00-000003000000}">
          <x14:formula1>
            <xm:f>'DATOS &lt;'!$N$27:$N$134</xm:f>
          </x14:formula1>
          <xm:sqref>E6</xm:sqref>
        </x14:dataValidation>
        <x14:dataValidation type="list" allowBlank="1" showInputMessage="1" showErrorMessage="1" xr:uid="{00000000-0002-0000-1D00-000004000000}">
          <x14:formula1>
            <xm:f>'DATOS &lt;'!$I$202:$I$205</xm:f>
          </x14:formula1>
          <xm:sqref>J19:J20</xm:sqref>
        </x14:dataValidation>
        <x14:dataValidation type="list" allowBlank="1" showInputMessage="1" showErrorMessage="1" xr:uid="{00000000-0002-0000-1D00-000005000000}">
          <x14:formula1>
            <xm:f>'DATOS &lt;'!$I$129:$I$130</xm:f>
          </x14:formula1>
          <xm:sqref>N39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8.4257812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848"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1"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07" t="s">
        <v>39</v>
      </c>
      <c r="B22" s="1308"/>
      <c r="C22" s="1308"/>
      <c r="D22" s="1308"/>
      <c r="E22" s="1308"/>
      <c r="F22" s="1308"/>
      <c r="G22" s="1308"/>
      <c r="H22" s="1308"/>
      <c r="I22" s="1308"/>
      <c r="J22" s="1309"/>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372" t="s">
        <v>36</v>
      </c>
      <c r="D24" s="1373"/>
      <c r="E24" s="1"/>
      <c r="F24" s="1374" t="s">
        <v>37</v>
      </c>
      <c r="G24" s="1375"/>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78" t="s">
        <v>42</v>
      </c>
      <c r="D26" s="1379"/>
      <c r="E26" s="1380"/>
      <c r="F26" s="626"/>
      <c r="H26" s="626"/>
      <c r="I26" s="6"/>
    </row>
    <row r="27" spans="1:11" s="627" customFormat="1" ht="31.5" customHeight="1" thickBot="1" x14ac:dyDescent="0.25">
      <c r="A27" s="1356" t="s">
        <v>43</v>
      </c>
      <c r="B27" s="1357"/>
      <c r="C27" s="635">
        <v>1</v>
      </c>
      <c r="D27" s="635">
        <v>2</v>
      </c>
      <c r="E27" s="636">
        <v>3</v>
      </c>
      <c r="F27" s="626"/>
      <c r="H27" s="1376" t="s">
        <v>44</v>
      </c>
      <c r="I27" s="1377"/>
    </row>
    <row r="28" spans="1:11" s="627" customFormat="1" ht="31.5" customHeight="1" thickBot="1" x14ac:dyDescent="0.25">
      <c r="A28" s="1381" t="s">
        <v>45</v>
      </c>
      <c r="B28" s="645" t="s">
        <v>46</v>
      </c>
      <c r="C28" s="175"/>
      <c r="D28" s="175"/>
      <c r="E28" s="176"/>
      <c r="F28" s="626"/>
      <c r="G28" s="626"/>
      <c r="H28" s="1358" t="e">
        <f>VLOOKUP($I$26,'DATOS &lt;'!$B$131:$G$135,2,FALSE)</f>
        <v>#N/A</v>
      </c>
      <c r="I28" s="1359"/>
      <c r="J28" s="626"/>
    </row>
    <row r="29" spans="1:11" s="627" customFormat="1" ht="31.5" customHeight="1" x14ac:dyDescent="0.2">
      <c r="A29" s="1382"/>
      <c r="B29" s="790" t="s">
        <v>47</v>
      </c>
      <c r="C29" s="177"/>
      <c r="D29" s="177"/>
      <c r="E29" s="178"/>
      <c r="F29" s="626"/>
      <c r="G29" s="626"/>
      <c r="H29" s="626"/>
      <c r="I29" s="626"/>
      <c r="J29" s="626"/>
    </row>
    <row r="30" spans="1:11" s="627" customFormat="1" ht="31.5" customHeight="1" x14ac:dyDescent="0.2">
      <c r="A30" s="1382"/>
      <c r="B30" s="790" t="s">
        <v>47</v>
      </c>
      <c r="C30" s="177"/>
      <c r="D30" s="177"/>
      <c r="E30" s="178"/>
      <c r="F30" s="626"/>
      <c r="G30" s="626"/>
      <c r="H30" s="626"/>
      <c r="I30" s="626"/>
      <c r="J30" s="626"/>
    </row>
    <row r="31" spans="1:11" s="627" customFormat="1" ht="31.5" customHeight="1" thickBot="1" x14ac:dyDescent="0.25">
      <c r="A31" s="1383"/>
      <c r="B31" s="791" t="s">
        <v>46</v>
      </c>
      <c r="C31" s="179"/>
      <c r="D31" s="179"/>
      <c r="E31" s="180"/>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78" t="s">
        <v>50</v>
      </c>
      <c r="C38" s="1379"/>
      <c r="D38" s="1379"/>
      <c r="E38" s="1380"/>
      <c r="F38" s="69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96"/>
      <c r="G39" s="626"/>
      <c r="H39" s="1317" t="e">
        <f>VLOOKUP($N$39,'DATOS &lt;'!$I$127:$L$130,2,FALSE)</f>
        <v>#N/A</v>
      </c>
      <c r="I39" s="1318"/>
      <c r="J39" s="1318"/>
      <c r="K39" s="1318"/>
      <c r="L39" s="1318"/>
      <c r="M39" s="1319"/>
      <c r="N39" s="1293"/>
    </row>
    <row r="40" spans="1:14" s="627" customFormat="1" ht="31.5" customHeight="1" x14ac:dyDescent="0.2">
      <c r="A40" s="647"/>
      <c r="B40" s="648"/>
      <c r="C40" s="800" t="e">
        <f>+AVERAGE(C28,C31)</f>
        <v>#DIV/0!</v>
      </c>
      <c r="D40" s="801" t="e">
        <f>+AVERAGE(D28,D31)</f>
        <v>#DIV/0!</v>
      </c>
      <c r="E40" s="802" t="e">
        <f>+AVERAGE(E28,E31)</f>
        <v>#DIV/0!</v>
      </c>
      <c r="F40" s="696"/>
      <c r="G40" s="626"/>
      <c r="H40" s="1320" t="s">
        <v>532</v>
      </c>
      <c r="I40" s="1321"/>
      <c r="J40" s="1321"/>
      <c r="K40" s="1321"/>
      <c r="L40" s="1321"/>
      <c r="M40" s="1322"/>
    </row>
    <row r="41" spans="1:14" s="627" customFormat="1" ht="31.5" customHeight="1" x14ac:dyDescent="0.2">
      <c r="A41" s="647"/>
      <c r="B41" s="652"/>
      <c r="C41" s="803" t="e">
        <f>+AVERAGE(C29:C30)</f>
        <v>#DIV/0!</v>
      </c>
      <c r="D41" s="804" t="e">
        <f>+AVERAGE(D29:D30)</f>
        <v>#DIV/0!</v>
      </c>
      <c r="E41" s="805" t="e">
        <f>+AVERAGE(E29:E30)</f>
        <v>#DIV/0!</v>
      </c>
      <c r="F41" s="696"/>
      <c r="G41" s="626"/>
      <c r="H41" s="1323"/>
      <c r="I41" s="1324"/>
      <c r="J41" s="1324"/>
      <c r="K41" s="1324"/>
      <c r="L41" s="1324"/>
      <c r="M41" s="1325"/>
    </row>
    <row r="42" spans="1:14" s="627" customFormat="1" ht="31.5" customHeight="1" thickBot="1" x14ac:dyDescent="0.25">
      <c r="A42" s="647"/>
      <c r="B42" s="656"/>
      <c r="C42" s="806" t="e">
        <f>+C41-C40</f>
        <v>#DIV/0!</v>
      </c>
      <c r="D42" s="807" t="e">
        <f>+D41-D40</f>
        <v>#DIV/0!</v>
      </c>
      <c r="E42" s="808" t="e">
        <f>+E41-E40</f>
        <v>#DIV/0!</v>
      </c>
      <c r="F42" s="696"/>
      <c r="G42" s="626"/>
      <c r="H42" s="1326"/>
      <c r="I42" s="1327"/>
      <c r="J42" s="1327"/>
      <c r="K42" s="1327"/>
      <c r="L42" s="1327"/>
      <c r="M42" s="1328"/>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10"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37"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535" t="e">
        <f>(G70^4/((C59^4/F59)+(C62^4/F62)+(C66^4/F66)+(C67^4/F67)+(C68^4/F68)))</f>
        <v>#DIV/0!</v>
      </c>
      <c r="K68" s="536" t="e">
        <f>(_xlfn.T.INV.2T(0.05,J68))</f>
        <v>#DIV/0!</v>
      </c>
      <c r="L68" s="527" t="e">
        <f>(1-_xlfn.T.DIST.2T(K68,J68))</f>
        <v>#DIV/0!</v>
      </c>
    </row>
    <row r="69" spans="1:21" s="627" customFormat="1" ht="65.25" customHeight="1" thickBot="1" x14ac:dyDescent="0.25">
      <c r="G69" s="461"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37"/>
      <c r="I75" s="1282"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38"/>
      <c r="I76" s="745"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F74:G74"/>
    <mergeCell ref="H74:H76"/>
    <mergeCell ref="I74:K74"/>
    <mergeCell ref="J75:K75"/>
    <mergeCell ref="J76:K76"/>
    <mergeCell ref="A56:J56"/>
    <mergeCell ref="A58:B58"/>
    <mergeCell ref="C58:D58"/>
    <mergeCell ref="E58:F58"/>
    <mergeCell ref="I60:N60"/>
    <mergeCell ref="A50:B50"/>
    <mergeCell ref="G50:H50"/>
    <mergeCell ref="A52:J52"/>
    <mergeCell ref="D53:E53"/>
    <mergeCell ref="H53:I53"/>
    <mergeCell ref="B73:E73"/>
    <mergeCell ref="H73:K73"/>
    <mergeCell ref="D70:E70"/>
    <mergeCell ref="D71:E71"/>
    <mergeCell ref="B72:K72"/>
    <mergeCell ref="G49:H49"/>
    <mergeCell ref="H40:M42"/>
    <mergeCell ref="A28:A31"/>
    <mergeCell ref="C33:D33"/>
    <mergeCell ref="F33:G33"/>
    <mergeCell ref="A46:J46"/>
    <mergeCell ref="A47:B48"/>
    <mergeCell ref="C47:E47"/>
    <mergeCell ref="G48:H48"/>
    <mergeCell ref="B38:E38"/>
    <mergeCell ref="A49:B49"/>
    <mergeCell ref="A36:N36"/>
    <mergeCell ref="H38:M38"/>
    <mergeCell ref="H39:M39"/>
    <mergeCell ref="H28:I28"/>
    <mergeCell ref="A22:J22"/>
    <mergeCell ref="C24:D24"/>
    <mergeCell ref="F24:G24"/>
    <mergeCell ref="H27:I27"/>
    <mergeCell ref="C26:E26"/>
    <mergeCell ref="A27:B27"/>
    <mergeCell ref="A15:B15"/>
    <mergeCell ref="A16:B16"/>
    <mergeCell ref="C16:D16"/>
    <mergeCell ref="A18:J18"/>
    <mergeCell ref="F19:G19"/>
    <mergeCell ref="J19:J20"/>
    <mergeCell ref="A20:B20"/>
    <mergeCell ref="E20:F20"/>
    <mergeCell ref="A14:B1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7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E00-000000000000}">
          <x14:formula1>
            <xm:f>'DATOS &lt;'!$B$20:$B$36</xm:f>
          </x14:formula1>
          <xm:sqref>I3:J4</xm:sqref>
        </x14:dataValidation>
        <x14:dataValidation type="list" allowBlank="1" showInputMessage="1" showErrorMessage="1" xr:uid="{00000000-0002-0000-1E00-000001000000}">
          <x14:formula1>
            <xm:f>'DATOS &lt;'!$B$118:$B$124</xm:f>
          </x14:formula1>
          <xm:sqref>J13</xm:sqref>
        </x14:dataValidation>
        <x14:dataValidation type="list" allowBlank="1" showInputMessage="1" showErrorMessage="1" xr:uid="{00000000-0002-0000-1E00-000002000000}">
          <x14:formula1>
            <xm:f>'DATOS &lt;'!$B$131:$B$135</xm:f>
          </x14:formula1>
          <xm:sqref>I26</xm:sqref>
        </x14:dataValidation>
        <x14:dataValidation type="list" allowBlank="1" showInputMessage="1" showErrorMessage="1" xr:uid="{00000000-0002-0000-1E00-000003000000}">
          <x14:formula1>
            <xm:f>'DATOS &lt;'!$N$27:$N$134</xm:f>
          </x14:formula1>
          <xm:sqref>E6</xm:sqref>
        </x14:dataValidation>
        <x14:dataValidation type="list" allowBlank="1" showInputMessage="1" showErrorMessage="1" xr:uid="{00000000-0002-0000-1E00-000004000000}">
          <x14:formula1>
            <xm:f>'DATOS &lt;'!$I$202:$I$205</xm:f>
          </x14:formula1>
          <xm:sqref>J19:J20</xm:sqref>
        </x14:dataValidation>
        <x14:dataValidation type="list" allowBlank="1" showInputMessage="1" showErrorMessage="1" xr:uid="{00000000-0002-0000-1E00-000005000000}">
          <x14:formula1>
            <xm:f>'DATOS &lt;'!$I$129:$I$130</xm:f>
          </x14:formula1>
          <xm:sqref>N39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A1:U107"/>
  <sheetViews>
    <sheetView showGridLines="0" view="pageBreakPreview" topLeftCell="A61"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&lt;'!N25:AC134,4,FALSE)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&lt;'!N25:AC134,6,FALSE)</f>
        <v>#N/A</v>
      </c>
      <c r="C9" s="605" t="s">
        <v>15</v>
      </c>
      <c r="D9" s="606" t="e">
        <f>VLOOKUP($E$6,'DATOS &lt;'!N25:V134,7,FALSE)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542"/>
      <c r="D28" s="175"/>
      <c r="E28" s="176"/>
      <c r="F28" s="626"/>
      <c r="G28" s="626"/>
      <c r="H28" s="1358" t="e">
        <f>VLOOKUP($I$26,'DATOS &lt;'!$B$131:$G$135,2,FALSE)</f>
        <v>#N/A</v>
      </c>
      <c r="I28" s="1359"/>
      <c r="J28" s="626"/>
    </row>
    <row r="29" spans="1:14" s="627" customFormat="1" ht="31.5" customHeight="1" x14ac:dyDescent="0.2">
      <c r="A29" s="1382"/>
      <c r="B29" s="638" t="s">
        <v>47</v>
      </c>
      <c r="C29" s="543"/>
      <c r="D29" s="177"/>
      <c r="E29" s="178"/>
      <c r="F29" s="626"/>
      <c r="G29" s="626"/>
      <c r="J29" s="626"/>
    </row>
    <row r="30" spans="1:14" s="627" customFormat="1" ht="31.5" customHeight="1" x14ac:dyDescent="0.2">
      <c r="A30" s="1382"/>
      <c r="B30" s="638" t="s">
        <v>47</v>
      </c>
      <c r="C30" s="543"/>
      <c r="D30" s="177"/>
      <c r="E30" s="178"/>
      <c r="F30" s="626"/>
      <c r="G30" s="626"/>
      <c r="J30" s="626"/>
    </row>
    <row r="31" spans="1:14" s="627" customFormat="1" ht="31.5" customHeight="1" thickBot="1" x14ac:dyDescent="0.25">
      <c r="A31" s="1383"/>
      <c r="B31" s="639" t="s">
        <v>46</v>
      </c>
      <c r="C31" s="544"/>
      <c r="D31" s="179"/>
      <c r="E31" s="180"/>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9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96"/>
      <c r="G39" s="626"/>
      <c r="H39" s="1317" t="e">
        <f>VLOOKUP($N$39,'DATOS &lt;'!$I$127:$L$130,2,FALSE)</f>
        <v>#N/A</v>
      </c>
      <c r="I39" s="1318"/>
      <c r="J39" s="1318"/>
      <c r="K39" s="1318"/>
      <c r="L39" s="1318"/>
      <c r="M39" s="1319"/>
      <c r="N39" s="1293"/>
    </row>
    <row r="40" spans="1:14" s="627" customFormat="1" ht="31.5" customHeight="1" x14ac:dyDescent="0.2">
      <c r="A40" s="647"/>
      <c r="B40" s="648"/>
      <c r="C40" s="800" t="e">
        <f>+AVERAGE(C28,C31)</f>
        <v>#DIV/0!</v>
      </c>
      <c r="D40" s="801" t="e">
        <f>+AVERAGE(D28,D31)</f>
        <v>#DIV/0!</v>
      </c>
      <c r="E40" s="802" t="e">
        <f>+AVERAGE(E28,E31)</f>
        <v>#DIV/0!</v>
      </c>
      <c r="F40" s="696"/>
      <c r="G40" s="626"/>
      <c r="H40" s="1320" t="s">
        <v>532</v>
      </c>
      <c r="I40" s="1321"/>
      <c r="J40" s="1321"/>
      <c r="K40" s="1321"/>
      <c r="L40" s="1321"/>
      <c r="M40" s="1322"/>
    </row>
    <row r="41" spans="1:14" s="627" customFormat="1" ht="31.5" customHeight="1" x14ac:dyDescent="0.2">
      <c r="A41" s="647"/>
      <c r="B41" s="652"/>
      <c r="C41" s="803" t="e">
        <f>+AVERAGE(C29:C30)</f>
        <v>#DIV/0!</v>
      </c>
      <c r="D41" s="804" t="e">
        <f>+AVERAGE(D29:D30)</f>
        <v>#DIV/0!</v>
      </c>
      <c r="E41" s="805" t="e">
        <f>+AVERAGE(E29:E30)</f>
        <v>#DIV/0!</v>
      </c>
      <c r="F41" s="696"/>
      <c r="G41" s="626"/>
      <c r="H41" s="1323"/>
      <c r="I41" s="1324"/>
      <c r="J41" s="1324"/>
      <c r="K41" s="1324"/>
      <c r="L41" s="1324"/>
      <c r="M41" s="1325"/>
    </row>
    <row r="42" spans="1:14" s="627" customFormat="1" ht="31.5" customHeight="1" thickBot="1" x14ac:dyDescent="0.25">
      <c r="A42" s="647"/>
      <c r="B42" s="656"/>
      <c r="C42" s="806" t="e">
        <f>+C41-C40</f>
        <v>#DIV/0!</v>
      </c>
      <c r="D42" s="807" t="e">
        <f>+D41-D40</f>
        <v>#DIV/0!</v>
      </c>
      <c r="E42" s="808" t="e">
        <f>+E41-E40</f>
        <v>#DIV/0!</v>
      </c>
      <c r="F42" s="696"/>
      <c r="G42" s="626"/>
      <c r="H42" s="1326"/>
      <c r="I42" s="1327"/>
      <c r="J42" s="1327"/>
      <c r="K42" s="1327"/>
      <c r="L42" s="1327"/>
      <c r="M42" s="1328"/>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22"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410" t="s">
        <v>77</v>
      </c>
      <c r="J60" s="1411"/>
      <c r="K60" s="1411"/>
      <c r="L60" s="1411"/>
      <c r="M60" s="1411"/>
      <c r="N60" s="1412"/>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864"/>
      <c r="H61" s="794" t="e">
        <f t="shared" si="1"/>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866">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865"/>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c r="H69" s="92"/>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569"/>
      <c r="G74" s="1569"/>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37"/>
      <c r="I75" s="1282" t="e">
        <f>ROUNDUP(G70*K68,2-1-INT(LOG10(ABS(G70*K68))))</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38"/>
      <c r="I76" s="745"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49:B49"/>
    <mergeCell ref="G49:H49"/>
    <mergeCell ref="A28:A31"/>
    <mergeCell ref="C33:D33"/>
    <mergeCell ref="F33:G33"/>
    <mergeCell ref="A47:B48"/>
    <mergeCell ref="C47:E47"/>
    <mergeCell ref="G48:H48"/>
    <mergeCell ref="H38:M38"/>
    <mergeCell ref="H39:M39"/>
    <mergeCell ref="H40:M42"/>
    <mergeCell ref="A14:B14"/>
    <mergeCell ref="A15:B15"/>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 ref="A22:N22"/>
    <mergeCell ref="A18:N18"/>
    <mergeCell ref="C26:E26"/>
    <mergeCell ref="B38:E38"/>
    <mergeCell ref="A56:N56"/>
    <mergeCell ref="A52:N52"/>
    <mergeCell ref="A46:N46"/>
    <mergeCell ref="A36:N36"/>
    <mergeCell ref="A27:B27"/>
    <mergeCell ref="H28:I28"/>
    <mergeCell ref="J19:J20"/>
    <mergeCell ref="A20:B20"/>
    <mergeCell ref="E20:F20"/>
    <mergeCell ref="C24:D24"/>
    <mergeCell ref="F24:G24"/>
    <mergeCell ref="H27:I27"/>
  </mergeCells>
  <conditionalFormatting sqref="G59 G62 G66:G68">
    <cfRule type="cellIs" dxfId="7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F00-000000000000}">
          <x14:formula1>
            <xm:f>'DATOS &lt;'!$B$20:$B$36</xm:f>
          </x14:formula1>
          <xm:sqref>I3:J4</xm:sqref>
        </x14:dataValidation>
        <x14:dataValidation type="list" allowBlank="1" showInputMessage="1" showErrorMessage="1" xr:uid="{00000000-0002-0000-1F00-000001000000}">
          <x14:formula1>
            <xm:f>'DATOS &lt;'!$B$118:$B$124</xm:f>
          </x14:formula1>
          <xm:sqref>J13</xm:sqref>
        </x14:dataValidation>
        <x14:dataValidation type="list" allowBlank="1" showInputMessage="1" showErrorMessage="1" xr:uid="{00000000-0002-0000-1F00-000002000000}">
          <x14:formula1>
            <xm:f>'DATOS &lt;'!$B$131:$B$135</xm:f>
          </x14:formula1>
          <xm:sqref>I26</xm:sqref>
        </x14:dataValidation>
        <x14:dataValidation type="list" allowBlank="1" showInputMessage="1" showErrorMessage="1" xr:uid="{00000000-0002-0000-1F00-000003000000}">
          <x14:formula1>
            <xm:f>'DATOS &lt;'!$N$25:$N$134</xm:f>
          </x14:formula1>
          <xm:sqref>E6</xm:sqref>
        </x14:dataValidation>
        <x14:dataValidation type="list" allowBlank="1" showInputMessage="1" showErrorMessage="1" xr:uid="{00000000-0002-0000-1F00-000004000000}">
          <x14:formula1>
            <xm:f>'DATOS &lt;'!$I$202:$I$205</xm:f>
          </x14:formula1>
          <xm:sqref>J19:J20</xm:sqref>
        </x14:dataValidation>
        <x14:dataValidation type="list" allowBlank="1" showInputMessage="1" showErrorMessage="1" xr:uid="{00000000-0002-0000-1F00-000005000000}">
          <x14:formula1>
            <xm:f>'DATOS &lt;'!$I$129:$I$130</xm:f>
          </x14:formula1>
          <xm:sqref>N39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7">
    <tabColor rgb="FFFF0000"/>
  </sheetPr>
  <dimension ref="A1:BL265"/>
  <sheetViews>
    <sheetView showGridLines="0" view="pageBreakPreview" topLeftCell="H40" zoomScale="90" zoomScaleNormal="50" zoomScaleSheetLayoutView="90" zoomScalePageLayoutView="10" workbookViewId="0">
      <selection activeCell="K120" sqref="K120"/>
    </sheetView>
  </sheetViews>
  <sheetFormatPr baseColWidth="10" defaultColWidth="15.7109375" defaultRowHeight="15" x14ac:dyDescent="0.25"/>
  <cols>
    <col min="1" max="1" width="20.7109375" style="127" customWidth="1"/>
    <col min="2" max="2" width="20.140625" style="127" customWidth="1"/>
    <col min="3" max="3" width="19" style="127" customWidth="1"/>
    <col min="4" max="4" width="20.7109375" style="127" customWidth="1"/>
    <col min="5" max="5" width="25.7109375" style="127" customWidth="1"/>
    <col min="6" max="7" width="20.7109375" style="127" customWidth="1"/>
    <col min="8" max="8" width="18.85546875" style="127" customWidth="1"/>
    <col min="9" max="9" width="22.85546875" style="127" customWidth="1"/>
    <col min="10" max="10" width="20.7109375" style="127" customWidth="1"/>
    <col min="11" max="11" width="22" style="127" customWidth="1"/>
    <col min="12" max="12" width="30.140625" style="127" customWidth="1"/>
    <col min="13" max="20" width="20.7109375" style="127" customWidth="1"/>
    <col min="21" max="21" width="23.5703125" style="127" customWidth="1"/>
    <col min="22" max="30" width="20.7109375" style="127" customWidth="1"/>
    <col min="31" max="31" width="19.85546875" style="127" bestFit="1" customWidth="1"/>
    <col min="32" max="35" width="15.85546875" style="127" bestFit="1" customWidth="1"/>
    <col min="36" max="40" width="16" style="127" customWidth="1"/>
    <col min="41" max="44" width="10.7109375" style="127" customWidth="1"/>
    <col min="45" max="45" width="16" style="127" bestFit="1" customWidth="1"/>
    <col min="46" max="46" width="15.85546875" style="127" bestFit="1" customWidth="1"/>
    <col min="47" max="47" width="20.7109375" style="127" bestFit="1" customWidth="1"/>
    <col min="48" max="48" width="15.85546875" style="127" bestFit="1" customWidth="1"/>
    <col min="49" max="49" width="15.7109375" style="127"/>
    <col min="50" max="50" width="20" style="127" customWidth="1"/>
    <col min="51" max="52" width="10.7109375" style="127" customWidth="1"/>
    <col min="53" max="16384" width="15.7109375" style="127"/>
  </cols>
  <sheetData>
    <row r="1" spans="1:30" ht="120.75" customHeight="1" thickBot="1" x14ac:dyDescent="0.3">
      <c r="A1" s="1711"/>
      <c r="B1" s="1711"/>
      <c r="C1" s="1711"/>
      <c r="D1" s="1711"/>
      <c r="E1" s="1711"/>
      <c r="F1" s="1741" t="s">
        <v>0</v>
      </c>
      <c r="G1" s="1742"/>
      <c r="H1" s="1742"/>
      <c r="I1" s="1742"/>
      <c r="J1" s="1742"/>
      <c r="K1" s="1742"/>
      <c r="L1" s="1742"/>
      <c r="M1" s="1742"/>
      <c r="N1" s="1742"/>
      <c r="O1" s="1742"/>
      <c r="P1" s="1742"/>
      <c r="Q1" s="1742"/>
      <c r="R1" s="1742"/>
      <c r="S1" s="1742"/>
      <c r="T1" s="1742"/>
      <c r="U1" s="1742"/>
      <c r="V1" s="1742"/>
      <c r="W1" s="1742"/>
      <c r="X1" s="1742"/>
      <c r="Y1" s="1742"/>
      <c r="Z1" s="1742"/>
      <c r="AA1" s="1742"/>
      <c r="AB1" s="1742"/>
      <c r="AC1" s="1743"/>
    </row>
    <row r="2" spans="1:30" ht="30" customHeight="1" thickBot="1" x14ac:dyDescent="0.3"/>
    <row r="3" spans="1:30" ht="30" customHeight="1" x14ac:dyDescent="0.25">
      <c r="B3" s="1600" t="s">
        <v>214</v>
      </c>
      <c r="C3" s="1601"/>
      <c r="D3" s="1601"/>
      <c r="E3" s="1601"/>
      <c r="F3" s="1601"/>
      <c r="G3" s="1601"/>
      <c r="H3" s="1601"/>
      <c r="I3" s="1601"/>
      <c r="J3" s="1602"/>
      <c r="N3" s="1600" t="s">
        <v>215</v>
      </c>
      <c r="O3" s="1601"/>
      <c r="P3" s="1601"/>
      <c r="Q3" s="1601"/>
      <c r="R3" s="1601"/>
      <c r="S3" s="1601"/>
      <c r="T3" s="1601"/>
      <c r="U3" s="1601"/>
      <c r="V3" s="1601"/>
      <c r="W3" s="1601"/>
      <c r="X3" s="1601"/>
      <c r="Y3" s="1601"/>
      <c r="Z3" s="1601"/>
      <c r="AA3" s="1601"/>
      <c r="AB3" s="1601"/>
      <c r="AC3" s="1602"/>
    </row>
    <row r="4" spans="1:30" ht="30" customHeight="1" thickBot="1" x14ac:dyDescent="0.3">
      <c r="B4" s="1603"/>
      <c r="C4" s="1604"/>
      <c r="D4" s="1604"/>
      <c r="E4" s="1604"/>
      <c r="F4" s="1604"/>
      <c r="G4" s="1604"/>
      <c r="H4" s="1604"/>
      <c r="I4" s="1604"/>
      <c r="J4" s="1605"/>
      <c r="N4" s="1603"/>
      <c r="O4" s="1604"/>
      <c r="P4" s="1604"/>
      <c r="Q4" s="1604"/>
      <c r="R4" s="1604"/>
      <c r="S4" s="1604"/>
      <c r="T4" s="1604"/>
      <c r="U4" s="1604"/>
      <c r="V4" s="1604"/>
      <c r="W4" s="1604"/>
      <c r="X4" s="1604"/>
      <c r="Y4" s="1604"/>
      <c r="Z4" s="1604"/>
      <c r="AA4" s="1604"/>
      <c r="AB4" s="1604"/>
      <c r="AC4" s="1605"/>
    </row>
    <row r="5" spans="1:30" ht="35.1" customHeight="1" x14ac:dyDescent="0.25">
      <c r="B5" s="1615" t="s">
        <v>185</v>
      </c>
      <c r="C5" s="1617" t="s">
        <v>216</v>
      </c>
      <c r="D5" s="1617" t="s">
        <v>217</v>
      </c>
      <c r="E5" s="1617" t="s">
        <v>6</v>
      </c>
      <c r="F5" s="1617" t="s">
        <v>7</v>
      </c>
      <c r="G5" s="1617" t="s">
        <v>218</v>
      </c>
      <c r="H5" s="1617" t="s">
        <v>5</v>
      </c>
      <c r="I5" s="1617" t="s">
        <v>219</v>
      </c>
      <c r="J5" s="1619" t="s">
        <v>220</v>
      </c>
      <c r="N5" s="1594" t="s">
        <v>221</v>
      </c>
      <c r="O5" s="1575" t="s">
        <v>11</v>
      </c>
      <c r="P5" s="1575" t="s">
        <v>12</v>
      </c>
      <c r="Q5" s="1575" t="s">
        <v>13</v>
      </c>
      <c r="R5" s="1575" t="s">
        <v>14</v>
      </c>
      <c r="S5" s="1575" t="s">
        <v>222</v>
      </c>
      <c r="T5" s="1575" t="s">
        <v>223</v>
      </c>
      <c r="U5" s="1575" t="s">
        <v>224</v>
      </c>
      <c r="V5" s="1573" t="s">
        <v>225</v>
      </c>
      <c r="W5" s="1573" t="s">
        <v>226</v>
      </c>
      <c r="X5" s="1575" t="s">
        <v>227</v>
      </c>
      <c r="Y5" s="1573" t="s">
        <v>228</v>
      </c>
      <c r="Z5" s="1575" t="s">
        <v>229</v>
      </c>
      <c r="AA5" s="1575" t="s">
        <v>230</v>
      </c>
      <c r="AB5" s="1573" t="s">
        <v>231</v>
      </c>
      <c r="AC5" s="1580" t="s">
        <v>31</v>
      </c>
    </row>
    <row r="6" spans="1:30" ht="35.1" customHeight="1" thickBot="1" x14ac:dyDescent="0.3">
      <c r="B6" s="1616"/>
      <c r="C6" s="1618"/>
      <c r="D6" s="1618"/>
      <c r="E6" s="1618"/>
      <c r="F6" s="1618"/>
      <c r="G6" s="1618"/>
      <c r="H6" s="1618"/>
      <c r="I6" s="1618"/>
      <c r="J6" s="1620"/>
      <c r="N6" s="1595"/>
      <c r="O6" s="1576"/>
      <c r="P6" s="1576"/>
      <c r="Q6" s="1576"/>
      <c r="R6" s="1576"/>
      <c r="S6" s="1576"/>
      <c r="T6" s="1576"/>
      <c r="U6" s="1576"/>
      <c r="V6" s="1574"/>
      <c r="W6" s="1574"/>
      <c r="X6" s="1576"/>
      <c r="Y6" s="1574"/>
      <c r="Z6" s="1576"/>
      <c r="AA6" s="1576"/>
      <c r="AB6" s="1574"/>
      <c r="AC6" s="1581"/>
    </row>
    <row r="7" spans="1:30" ht="30" customHeight="1" thickBot="1" x14ac:dyDescent="0.3">
      <c r="A7" s="1249" t="s">
        <v>566</v>
      </c>
      <c r="B7" s="281"/>
      <c r="C7" s="282"/>
      <c r="D7" s="282"/>
      <c r="E7" s="282"/>
      <c r="F7" s="282"/>
      <c r="G7" s="282"/>
      <c r="H7" s="282"/>
      <c r="I7" s="282"/>
      <c r="J7" s="283"/>
      <c r="N7" s="231"/>
      <c r="O7" s="232"/>
      <c r="P7" s="232"/>
      <c r="Q7" s="232"/>
      <c r="R7" s="232"/>
      <c r="S7" s="232"/>
      <c r="T7" s="232"/>
      <c r="U7" s="232"/>
      <c r="V7" s="232"/>
    </row>
    <row r="8" spans="1:30" s="142" customFormat="1" ht="39.950000000000003" customHeight="1" thickBot="1" x14ac:dyDescent="0.3">
      <c r="B8" s="911" t="s">
        <v>113</v>
      </c>
      <c r="C8" s="912"/>
      <c r="D8" s="913"/>
      <c r="E8" s="914"/>
      <c r="F8" s="914"/>
      <c r="G8" s="917"/>
      <c r="H8" s="915"/>
      <c r="I8" s="914"/>
      <c r="J8" s="916"/>
      <c r="M8" s="1585"/>
      <c r="N8" s="366" t="s">
        <v>232</v>
      </c>
      <c r="O8" s="369" t="s">
        <v>233</v>
      </c>
      <c r="P8" s="369" t="s">
        <v>234</v>
      </c>
      <c r="Q8" s="369">
        <v>27129360</v>
      </c>
      <c r="R8" s="369" t="s">
        <v>235</v>
      </c>
      <c r="S8" s="250" t="s">
        <v>572</v>
      </c>
      <c r="T8" s="249">
        <v>44483</v>
      </c>
      <c r="U8" s="369">
        <v>1</v>
      </c>
      <c r="V8" s="250">
        <v>8.9999999999999993E-3</v>
      </c>
      <c r="W8" s="1214">
        <v>8.0000000000000002E-3</v>
      </c>
      <c r="X8" s="838">
        <f>ABS((W8-V8))/SQRT(3)</f>
        <v>5.7735026918962536E-4</v>
      </c>
      <c r="Y8" s="1230">
        <v>0.01</v>
      </c>
      <c r="Z8" s="264">
        <v>8000</v>
      </c>
      <c r="AA8" s="250">
        <v>30</v>
      </c>
      <c r="AB8" s="1206">
        <f>(0.34848*((750.4+754.1)/2)-0.009*((48.6+58.4)/2)*EXP(0.0612*((20.9+21.8)/2)))/(273.15+((20.9+21.8)/2))</f>
        <v>0.88409364639058408</v>
      </c>
      <c r="AC8" s="370" t="s">
        <v>236</v>
      </c>
      <c r="AD8" s="127"/>
    </row>
    <row r="9" spans="1:30" s="142" customFormat="1" ht="30" customHeight="1" x14ac:dyDescent="0.25">
      <c r="B9" s="279" t="s">
        <v>130</v>
      </c>
      <c r="C9" s="922">
        <f>$C$8</f>
        <v>0</v>
      </c>
      <c r="D9" s="1236">
        <f>$D$8</f>
        <v>0</v>
      </c>
      <c r="E9" s="922">
        <f>$E$8</f>
        <v>0</v>
      </c>
      <c r="F9" s="922">
        <f>$F$8</f>
        <v>0</v>
      </c>
      <c r="G9" s="923">
        <f>$G$8</f>
        <v>0</v>
      </c>
      <c r="H9" s="903"/>
      <c r="I9" s="924">
        <f>$I$8</f>
        <v>0</v>
      </c>
      <c r="J9" s="925">
        <f>$J$8</f>
        <v>0</v>
      </c>
      <c r="M9" s="1586"/>
      <c r="N9" s="367" t="s">
        <v>237</v>
      </c>
      <c r="O9" s="496" t="s">
        <v>233</v>
      </c>
      <c r="P9" s="496" t="s">
        <v>234</v>
      </c>
      <c r="Q9" s="496">
        <v>27129360</v>
      </c>
      <c r="R9" s="496" t="s">
        <v>238</v>
      </c>
      <c r="S9" s="257" t="s">
        <v>572</v>
      </c>
      <c r="T9" s="256">
        <v>44483</v>
      </c>
      <c r="U9" s="496">
        <v>2</v>
      </c>
      <c r="V9" s="260">
        <v>0.01</v>
      </c>
      <c r="W9" s="1215">
        <v>1.0999999999999999E-2</v>
      </c>
      <c r="X9" s="837">
        <f t="shared" ref="X9:X72" si="0">ABS((W9-V9))/SQRT(3)</f>
        <v>5.7735026918962536E-4</v>
      </c>
      <c r="Y9" s="1215">
        <v>1.2E-2</v>
      </c>
      <c r="Z9" s="265">
        <v>8000</v>
      </c>
      <c r="AA9" s="257">
        <v>30</v>
      </c>
      <c r="AB9" s="1204">
        <f>(0.34848*((750.4+754.1)/2)-0.009*((48.6+58.4)/2)*EXP(0.0612*((20.9+21.8)/2)))/(273.15+((20.9+21.8)/2))</f>
        <v>0.88409364639058408</v>
      </c>
      <c r="AC9" s="502" t="s">
        <v>236</v>
      </c>
      <c r="AD9" s="127"/>
    </row>
    <row r="10" spans="1:30" s="142" customFormat="1" ht="30" customHeight="1" x14ac:dyDescent="0.25">
      <c r="B10" s="280" t="s">
        <v>239</v>
      </c>
      <c r="C10" s="918">
        <f t="shared" ref="C10:C39" si="1">$C$8</f>
        <v>0</v>
      </c>
      <c r="D10" s="1237">
        <f t="shared" ref="D10:D39" si="2">$D$8</f>
        <v>0</v>
      </c>
      <c r="E10" s="918">
        <f t="shared" ref="E10:E39" si="3">$E$8</f>
        <v>0</v>
      </c>
      <c r="F10" s="918">
        <f t="shared" ref="F10:F39" si="4">$F$8</f>
        <v>0</v>
      </c>
      <c r="G10" s="920">
        <f t="shared" ref="G10:G39" si="5">$G$8</f>
        <v>0</v>
      </c>
      <c r="H10" s="899"/>
      <c r="I10" s="285">
        <f t="shared" ref="I10:I39" si="6">$I$8</f>
        <v>0</v>
      </c>
      <c r="J10" s="907">
        <f t="shared" ref="J10:J39" si="7">$J$8</f>
        <v>0</v>
      </c>
      <c r="M10" s="1586"/>
      <c r="N10" s="367" t="s">
        <v>240</v>
      </c>
      <c r="O10" s="496" t="s">
        <v>233</v>
      </c>
      <c r="P10" s="496" t="s">
        <v>234</v>
      </c>
      <c r="Q10" s="496">
        <v>27129360</v>
      </c>
      <c r="R10" s="496" t="s">
        <v>241</v>
      </c>
      <c r="S10" s="257" t="s">
        <v>572</v>
      </c>
      <c r="T10" s="256">
        <v>44483</v>
      </c>
      <c r="U10" s="496">
        <v>2</v>
      </c>
      <c r="V10" s="257">
        <v>1.7000000000000001E-2</v>
      </c>
      <c r="W10" s="1215">
        <v>1.6E-2</v>
      </c>
      <c r="X10" s="837">
        <f t="shared" si="0"/>
        <v>5.7735026918962634E-4</v>
      </c>
      <c r="Y10" s="1215">
        <v>1.2E-2</v>
      </c>
      <c r="Z10" s="265">
        <v>8000</v>
      </c>
      <c r="AA10" s="257">
        <v>30</v>
      </c>
      <c r="AB10" s="1204">
        <f t="shared" ref="AB10:AB24" si="8">(0.34848*((750.4+754.1)/2)-0.009*((48.6+58.4)/2)*EXP(0.0612*((20.9+21.8)/2)))/(273.15+((20.9+21.8)/2))</f>
        <v>0.88409364639058408</v>
      </c>
      <c r="AC10" s="502" t="s">
        <v>236</v>
      </c>
      <c r="AD10" s="127"/>
    </row>
    <row r="11" spans="1:30" s="142" customFormat="1" ht="30" customHeight="1" x14ac:dyDescent="0.25">
      <c r="B11" s="280" t="s">
        <v>136</v>
      </c>
      <c r="C11" s="918">
        <f t="shared" si="1"/>
        <v>0</v>
      </c>
      <c r="D11" s="1237">
        <f t="shared" si="2"/>
        <v>0</v>
      </c>
      <c r="E11" s="918">
        <f t="shared" si="3"/>
        <v>0</v>
      </c>
      <c r="F11" s="918">
        <f t="shared" si="4"/>
        <v>0</v>
      </c>
      <c r="G11" s="920">
        <f t="shared" si="5"/>
        <v>0</v>
      </c>
      <c r="H11" s="899"/>
      <c r="I11" s="285">
        <f t="shared" si="6"/>
        <v>0</v>
      </c>
      <c r="J11" s="907">
        <f t="shared" si="7"/>
        <v>0</v>
      </c>
      <c r="M11" s="1586"/>
      <c r="N11" s="367" t="s">
        <v>242</v>
      </c>
      <c r="O11" s="496" t="s">
        <v>233</v>
      </c>
      <c r="P11" s="496" t="s">
        <v>234</v>
      </c>
      <c r="Q11" s="496">
        <v>27129360</v>
      </c>
      <c r="R11" s="496" t="s">
        <v>243</v>
      </c>
      <c r="S11" s="257" t="s">
        <v>572</v>
      </c>
      <c r="T11" s="256">
        <v>44483</v>
      </c>
      <c r="U11" s="496">
        <v>5</v>
      </c>
      <c r="V11" s="260">
        <v>2E-3</v>
      </c>
      <c r="W11" s="1215">
        <v>2E-3</v>
      </c>
      <c r="X11" s="837">
        <f t="shared" si="0"/>
        <v>0</v>
      </c>
      <c r="Y11" s="1215">
        <v>1.6E-2</v>
      </c>
      <c r="Z11" s="265">
        <v>8000</v>
      </c>
      <c r="AA11" s="257">
        <v>30</v>
      </c>
      <c r="AB11" s="1204">
        <f t="shared" si="8"/>
        <v>0.88409364639058408</v>
      </c>
      <c r="AC11" s="502" t="s">
        <v>236</v>
      </c>
      <c r="AD11" s="127"/>
    </row>
    <row r="12" spans="1:30" s="142" customFormat="1" ht="30" customHeight="1" x14ac:dyDescent="0.25">
      <c r="B12" s="280" t="s">
        <v>115</v>
      </c>
      <c r="C12" s="918">
        <f t="shared" si="1"/>
        <v>0</v>
      </c>
      <c r="D12" s="1237">
        <f t="shared" si="2"/>
        <v>0</v>
      </c>
      <c r="E12" s="918">
        <f t="shared" si="3"/>
        <v>0</v>
      </c>
      <c r="F12" s="918">
        <f t="shared" si="4"/>
        <v>0</v>
      </c>
      <c r="G12" s="920">
        <f t="shared" si="5"/>
        <v>0</v>
      </c>
      <c r="H12" s="899"/>
      <c r="I12" s="285">
        <f t="shared" si="6"/>
        <v>0</v>
      </c>
      <c r="J12" s="907">
        <f t="shared" si="7"/>
        <v>0</v>
      </c>
      <c r="M12" s="1586"/>
      <c r="N12" s="367" t="s">
        <v>244</v>
      </c>
      <c r="O12" s="496" t="s">
        <v>233</v>
      </c>
      <c r="P12" s="496" t="s">
        <v>234</v>
      </c>
      <c r="Q12" s="496">
        <v>27129360</v>
      </c>
      <c r="R12" s="496" t="s">
        <v>245</v>
      </c>
      <c r="S12" s="257" t="s">
        <v>572</v>
      </c>
      <c r="T12" s="256">
        <v>44483</v>
      </c>
      <c r="U12" s="496">
        <v>10</v>
      </c>
      <c r="V12" s="257">
        <v>1.9E-2</v>
      </c>
      <c r="W12" s="1215">
        <v>1.9E-2</v>
      </c>
      <c r="X12" s="837">
        <f t="shared" si="0"/>
        <v>0</v>
      </c>
      <c r="Y12" s="1231">
        <v>0.02</v>
      </c>
      <c r="Z12" s="265">
        <v>8000</v>
      </c>
      <c r="AA12" s="257">
        <v>30</v>
      </c>
      <c r="AB12" s="1204">
        <f t="shared" si="8"/>
        <v>0.88409364639058408</v>
      </c>
      <c r="AC12" s="502" t="s">
        <v>236</v>
      </c>
    </row>
    <row r="13" spans="1:30" s="142" customFormat="1" ht="30" customHeight="1" x14ac:dyDescent="0.25">
      <c r="B13" s="280" t="s">
        <v>131</v>
      </c>
      <c r="C13" s="918">
        <f t="shared" si="1"/>
        <v>0</v>
      </c>
      <c r="D13" s="1237">
        <f t="shared" si="2"/>
        <v>0</v>
      </c>
      <c r="E13" s="918">
        <f t="shared" si="3"/>
        <v>0</v>
      </c>
      <c r="F13" s="918">
        <f t="shared" si="4"/>
        <v>0</v>
      </c>
      <c r="G13" s="920">
        <f t="shared" si="5"/>
        <v>0</v>
      </c>
      <c r="H13" s="899"/>
      <c r="I13" s="285">
        <f t="shared" si="6"/>
        <v>0</v>
      </c>
      <c r="J13" s="907">
        <f t="shared" si="7"/>
        <v>0</v>
      </c>
      <c r="M13" s="1586"/>
      <c r="N13" s="367" t="s">
        <v>246</v>
      </c>
      <c r="O13" s="496" t="s">
        <v>233</v>
      </c>
      <c r="P13" s="496" t="s">
        <v>234</v>
      </c>
      <c r="Q13" s="496">
        <v>27129360</v>
      </c>
      <c r="R13" s="496" t="s">
        <v>247</v>
      </c>
      <c r="S13" s="257" t="s">
        <v>572</v>
      </c>
      <c r="T13" s="256">
        <v>44483</v>
      </c>
      <c r="U13" s="496">
        <v>20</v>
      </c>
      <c r="V13" s="257">
        <v>2.5999999999999999E-2</v>
      </c>
      <c r="W13" s="1215">
        <v>1E-3</v>
      </c>
      <c r="X13" s="837">
        <f t="shared" si="0"/>
        <v>1.4433756729740644E-2</v>
      </c>
      <c r="Y13" s="1215">
        <v>2.5000000000000001E-2</v>
      </c>
      <c r="Z13" s="265">
        <v>8000</v>
      </c>
      <c r="AA13" s="257">
        <v>30</v>
      </c>
      <c r="AB13" s="1204">
        <f t="shared" si="8"/>
        <v>0.88409364639058408</v>
      </c>
      <c r="AC13" s="502" t="s">
        <v>236</v>
      </c>
    </row>
    <row r="14" spans="1:30" s="142" customFormat="1" ht="30" customHeight="1" x14ac:dyDescent="0.25">
      <c r="B14" s="280" t="s">
        <v>248</v>
      </c>
      <c r="C14" s="918">
        <f t="shared" si="1"/>
        <v>0</v>
      </c>
      <c r="D14" s="1237">
        <f t="shared" si="2"/>
        <v>0</v>
      </c>
      <c r="E14" s="918">
        <f t="shared" si="3"/>
        <v>0</v>
      </c>
      <c r="F14" s="918">
        <f t="shared" si="4"/>
        <v>0</v>
      </c>
      <c r="G14" s="920">
        <f t="shared" si="5"/>
        <v>0</v>
      </c>
      <c r="H14" s="899"/>
      <c r="I14" s="285">
        <f t="shared" si="6"/>
        <v>0</v>
      </c>
      <c r="J14" s="907">
        <f t="shared" si="7"/>
        <v>0</v>
      </c>
      <c r="M14" s="1586"/>
      <c r="N14" s="367" t="s">
        <v>249</v>
      </c>
      <c r="O14" s="496" t="s">
        <v>233</v>
      </c>
      <c r="P14" s="496" t="s">
        <v>234</v>
      </c>
      <c r="Q14" s="496">
        <v>27129360</v>
      </c>
      <c r="R14" s="496" t="s">
        <v>250</v>
      </c>
      <c r="S14" s="257" t="s">
        <v>572</v>
      </c>
      <c r="T14" s="256">
        <v>44483</v>
      </c>
      <c r="U14" s="496">
        <v>20</v>
      </c>
      <c r="V14" s="257">
        <v>7.0000000000000001E-3</v>
      </c>
      <c r="W14" s="1215">
        <v>1.0999999999999999E-2</v>
      </c>
      <c r="X14" s="837">
        <f t="shared" si="0"/>
        <v>2.3094010767585028E-3</v>
      </c>
      <c r="Y14" s="1215">
        <v>2.5000000000000001E-2</v>
      </c>
      <c r="Z14" s="265">
        <v>8000</v>
      </c>
      <c r="AA14" s="257">
        <v>30</v>
      </c>
      <c r="AB14" s="1204">
        <f t="shared" si="8"/>
        <v>0.88409364639058408</v>
      </c>
      <c r="AC14" s="502" t="s">
        <v>236</v>
      </c>
    </row>
    <row r="15" spans="1:30" s="142" customFormat="1" ht="30" customHeight="1" x14ac:dyDescent="0.25">
      <c r="B15" s="280" t="s">
        <v>137</v>
      </c>
      <c r="C15" s="918">
        <f t="shared" si="1"/>
        <v>0</v>
      </c>
      <c r="D15" s="1237">
        <f t="shared" si="2"/>
        <v>0</v>
      </c>
      <c r="E15" s="918">
        <f t="shared" si="3"/>
        <v>0</v>
      </c>
      <c r="F15" s="918">
        <f t="shared" si="4"/>
        <v>0</v>
      </c>
      <c r="G15" s="920">
        <f t="shared" si="5"/>
        <v>0</v>
      </c>
      <c r="H15" s="899"/>
      <c r="I15" s="285">
        <f t="shared" si="6"/>
        <v>0</v>
      </c>
      <c r="J15" s="907">
        <f t="shared" si="7"/>
        <v>0</v>
      </c>
      <c r="M15" s="1586"/>
      <c r="N15" s="367" t="s">
        <v>251</v>
      </c>
      <c r="O15" s="496" t="s">
        <v>233</v>
      </c>
      <c r="P15" s="496" t="s">
        <v>234</v>
      </c>
      <c r="Q15" s="496">
        <v>27129360</v>
      </c>
      <c r="R15" s="496" t="s">
        <v>252</v>
      </c>
      <c r="S15" s="257" t="s">
        <v>572</v>
      </c>
      <c r="T15" s="256">
        <v>44483</v>
      </c>
      <c r="U15" s="496">
        <v>50</v>
      </c>
      <c r="V15" s="257">
        <v>0.03</v>
      </c>
      <c r="W15" s="1215">
        <v>0.03</v>
      </c>
      <c r="X15" s="837">
        <f t="shared" si="0"/>
        <v>0</v>
      </c>
      <c r="Y15" s="1215">
        <v>0.03</v>
      </c>
      <c r="Z15" s="265">
        <v>8000</v>
      </c>
      <c r="AA15" s="257">
        <v>30</v>
      </c>
      <c r="AB15" s="1204">
        <f t="shared" si="8"/>
        <v>0.88409364639058408</v>
      </c>
      <c r="AC15" s="502" t="s">
        <v>236</v>
      </c>
    </row>
    <row r="16" spans="1:30" s="142" customFormat="1" ht="30" customHeight="1" x14ac:dyDescent="0.25">
      <c r="B16" s="280" t="s">
        <v>116</v>
      </c>
      <c r="C16" s="918">
        <f t="shared" si="1"/>
        <v>0</v>
      </c>
      <c r="D16" s="1237">
        <f t="shared" si="2"/>
        <v>0</v>
      </c>
      <c r="E16" s="918">
        <f t="shared" si="3"/>
        <v>0</v>
      </c>
      <c r="F16" s="918">
        <f t="shared" si="4"/>
        <v>0</v>
      </c>
      <c r="G16" s="920">
        <f t="shared" si="5"/>
        <v>0</v>
      </c>
      <c r="H16" s="899"/>
      <c r="I16" s="285">
        <f t="shared" si="6"/>
        <v>0</v>
      </c>
      <c r="J16" s="907">
        <f t="shared" si="7"/>
        <v>0</v>
      </c>
      <c r="M16" s="1586"/>
      <c r="N16" s="367" t="s">
        <v>253</v>
      </c>
      <c r="O16" s="496" t="s">
        <v>233</v>
      </c>
      <c r="P16" s="496" t="s">
        <v>234</v>
      </c>
      <c r="Q16" s="496">
        <v>27129360</v>
      </c>
      <c r="R16" s="496" t="s">
        <v>254</v>
      </c>
      <c r="S16" s="257" t="s">
        <v>572</v>
      </c>
      <c r="T16" s="256">
        <v>44483</v>
      </c>
      <c r="U16" s="496">
        <v>100</v>
      </c>
      <c r="V16" s="257">
        <v>0.06</v>
      </c>
      <c r="W16" s="1215">
        <v>0.06</v>
      </c>
      <c r="X16" s="837">
        <f t="shared" si="0"/>
        <v>0</v>
      </c>
      <c r="Y16" s="1215">
        <v>0.05</v>
      </c>
      <c r="Z16" s="265">
        <v>8000</v>
      </c>
      <c r="AA16" s="257">
        <v>30</v>
      </c>
      <c r="AB16" s="1204">
        <f t="shared" si="8"/>
        <v>0.88409364639058408</v>
      </c>
      <c r="AC16" s="502" t="s">
        <v>236</v>
      </c>
    </row>
    <row r="17" spans="1:29" s="142" customFormat="1" ht="30" customHeight="1" x14ac:dyDescent="0.25">
      <c r="B17" s="280" t="s">
        <v>132</v>
      </c>
      <c r="C17" s="918">
        <f t="shared" si="1"/>
        <v>0</v>
      </c>
      <c r="D17" s="1237">
        <f t="shared" si="2"/>
        <v>0</v>
      </c>
      <c r="E17" s="918">
        <f t="shared" si="3"/>
        <v>0</v>
      </c>
      <c r="F17" s="918">
        <f t="shared" si="4"/>
        <v>0</v>
      </c>
      <c r="G17" s="920">
        <f t="shared" si="5"/>
        <v>0</v>
      </c>
      <c r="H17" s="899"/>
      <c r="I17" s="285">
        <f t="shared" si="6"/>
        <v>0</v>
      </c>
      <c r="J17" s="907">
        <f t="shared" si="7"/>
        <v>0</v>
      </c>
      <c r="M17" s="1586"/>
      <c r="N17" s="367" t="s">
        <v>255</v>
      </c>
      <c r="O17" s="496" t="s">
        <v>233</v>
      </c>
      <c r="P17" s="496" t="s">
        <v>234</v>
      </c>
      <c r="Q17" s="496">
        <v>27129360</v>
      </c>
      <c r="R17" s="496" t="s">
        <v>256</v>
      </c>
      <c r="S17" s="257" t="s">
        <v>572</v>
      </c>
      <c r="T17" s="256">
        <v>44483</v>
      </c>
      <c r="U17" s="496">
        <v>200</v>
      </c>
      <c r="V17" s="257">
        <v>-7.0000000000000007E-2</v>
      </c>
      <c r="W17" s="1215">
        <v>-0.05</v>
      </c>
      <c r="X17" s="837">
        <f t="shared" si="0"/>
        <v>1.1547005383792518E-2</v>
      </c>
      <c r="Y17" s="1203">
        <v>0.1</v>
      </c>
      <c r="Z17" s="265">
        <v>8000</v>
      </c>
      <c r="AA17" s="257">
        <v>30</v>
      </c>
      <c r="AB17" s="1204">
        <f t="shared" si="8"/>
        <v>0.88409364639058408</v>
      </c>
      <c r="AC17" s="502" t="s">
        <v>236</v>
      </c>
    </row>
    <row r="18" spans="1:29" s="142" customFormat="1" ht="30" customHeight="1" x14ac:dyDescent="0.25">
      <c r="B18" s="280" t="s">
        <v>257</v>
      </c>
      <c r="C18" s="918">
        <f t="shared" si="1"/>
        <v>0</v>
      </c>
      <c r="D18" s="1237">
        <f t="shared" si="2"/>
        <v>0</v>
      </c>
      <c r="E18" s="918">
        <f t="shared" si="3"/>
        <v>0</v>
      </c>
      <c r="F18" s="918">
        <f t="shared" si="4"/>
        <v>0</v>
      </c>
      <c r="G18" s="920">
        <f t="shared" si="5"/>
        <v>0</v>
      </c>
      <c r="H18" s="899"/>
      <c r="I18" s="285">
        <f t="shared" si="6"/>
        <v>0</v>
      </c>
      <c r="J18" s="907">
        <f t="shared" si="7"/>
        <v>0</v>
      </c>
      <c r="M18" s="1586"/>
      <c r="N18" s="367" t="s">
        <v>258</v>
      </c>
      <c r="O18" s="496" t="s">
        <v>233</v>
      </c>
      <c r="P18" s="496" t="s">
        <v>234</v>
      </c>
      <c r="Q18" s="496">
        <v>27129360</v>
      </c>
      <c r="R18" s="496" t="s">
        <v>259</v>
      </c>
      <c r="S18" s="257" t="s">
        <v>572</v>
      </c>
      <c r="T18" s="256">
        <v>44483</v>
      </c>
      <c r="U18" s="496">
        <v>200</v>
      </c>
      <c r="V18" s="257">
        <v>0.15</v>
      </c>
      <c r="W18" s="1215">
        <v>0.16</v>
      </c>
      <c r="X18" s="837">
        <f t="shared" si="0"/>
        <v>5.7735026918962632E-3</v>
      </c>
      <c r="Y18" s="1203">
        <v>0.1</v>
      </c>
      <c r="Z18" s="265">
        <v>8000</v>
      </c>
      <c r="AA18" s="257">
        <v>30</v>
      </c>
      <c r="AB18" s="1204">
        <f t="shared" si="8"/>
        <v>0.88409364639058408</v>
      </c>
      <c r="AC18" s="502" t="s">
        <v>236</v>
      </c>
    </row>
    <row r="19" spans="1:29" s="142" customFormat="1" ht="30" customHeight="1" thickBot="1" x14ac:dyDescent="0.3">
      <c r="B19" s="901" t="s">
        <v>138</v>
      </c>
      <c r="C19" s="926">
        <f t="shared" si="1"/>
        <v>0</v>
      </c>
      <c r="D19" s="1238">
        <f t="shared" si="2"/>
        <v>0</v>
      </c>
      <c r="E19" s="926">
        <f t="shared" si="3"/>
        <v>0</v>
      </c>
      <c r="F19" s="926">
        <f t="shared" si="4"/>
        <v>0</v>
      </c>
      <c r="G19" s="921">
        <f t="shared" si="5"/>
        <v>0</v>
      </c>
      <c r="H19" s="909"/>
      <c r="I19" s="902">
        <f t="shared" si="6"/>
        <v>0</v>
      </c>
      <c r="J19" s="910">
        <f t="shared" si="7"/>
        <v>0</v>
      </c>
      <c r="M19" s="1586"/>
      <c r="N19" s="367" t="s">
        <v>260</v>
      </c>
      <c r="O19" s="496" t="s">
        <v>233</v>
      </c>
      <c r="P19" s="496" t="s">
        <v>234</v>
      </c>
      <c r="Q19" s="496">
        <v>27129360</v>
      </c>
      <c r="R19" s="496" t="s">
        <v>261</v>
      </c>
      <c r="S19" s="257" t="s">
        <v>572</v>
      </c>
      <c r="T19" s="256">
        <v>44483</v>
      </c>
      <c r="U19" s="496">
        <v>500</v>
      </c>
      <c r="V19" s="257">
        <v>0.33</v>
      </c>
      <c r="W19" s="1215">
        <v>0.34</v>
      </c>
      <c r="X19" s="837">
        <f t="shared" si="0"/>
        <v>5.7735026918962632E-3</v>
      </c>
      <c r="Y19" s="1215">
        <v>0.25</v>
      </c>
      <c r="Z19" s="265">
        <v>8000</v>
      </c>
      <c r="AA19" s="257">
        <v>30</v>
      </c>
      <c r="AB19" s="1204">
        <f t="shared" si="8"/>
        <v>0.88409364639058408</v>
      </c>
      <c r="AC19" s="502" t="s">
        <v>236</v>
      </c>
    </row>
    <row r="20" spans="1:29" s="142" customFormat="1" ht="30" customHeight="1" x14ac:dyDescent="0.25">
      <c r="A20" s="393"/>
      <c r="B20" s="1160" t="s">
        <v>262</v>
      </c>
      <c r="C20" s="918">
        <f t="shared" si="1"/>
        <v>0</v>
      </c>
      <c r="D20" s="1237">
        <f t="shared" si="2"/>
        <v>0</v>
      </c>
      <c r="E20" s="918">
        <f t="shared" si="3"/>
        <v>0</v>
      </c>
      <c r="F20" s="918">
        <f t="shared" si="4"/>
        <v>0</v>
      </c>
      <c r="G20" s="919">
        <f t="shared" si="5"/>
        <v>0</v>
      </c>
      <c r="H20" s="899"/>
      <c r="I20" s="900">
        <f t="shared" si="6"/>
        <v>0</v>
      </c>
      <c r="J20" s="908">
        <f t="shared" si="7"/>
        <v>0</v>
      </c>
      <c r="M20" s="1586"/>
      <c r="N20" s="367" t="s">
        <v>263</v>
      </c>
      <c r="O20" s="496" t="s">
        <v>233</v>
      </c>
      <c r="P20" s="496" t="s">
        <v>234</v>
      </c>
      <c r="Q20" s="496">
        <v>27129360</v>
      </c>
      <c r="R20" s="496" t="s">
        <v>264</v>
      </c>
      <c r="S20" s="257" t="s">
        <v>572</v>
      </c>
      <c r="T20" s="256">
        <v>44483</v>
      </c>
      <c r="U20" s="496">
        <v>1000</v>
      </c>
      <c r="V20" s="257">
        <v>0.7</v>
      </c>
      <c r="W20" s="1215">
        <v>0.7</v>
      </c>
      <c r="X20" s="837">
        <f t="shared" si="0"/>
        <v>0</v>
      </c>
      <c r="Y20" s="1215">
        <v>0.5</v>
      </c>
      <c r="Z20" s="265">
        <v>8000</v>
      </c>
      <c r="AA20" s="257">
        <v>30</v>
      </c>
      <c r="AB20" s="1204">
        <f t="shared" si="8"/>
        <v>0.88409364639058408</v>
      </c>
      <c r="AC20" s="502" t="s">
        <v>236</v>
      </c>
    </row>
    <row r="21" spans="1:29" s="142" customFormat="1" ht="30" customHeight="1" x14ac:dyDescent="0.25">
      <c r="B21" s="280" t="s">
        <v>265</v>
      </c>
      <c r="C21" s="918">
        <f t="shared" si="1"/>
        <v>0</v>
      </c>
      <c r="D21" s="1237">
        <f t="shared" si="2"/>
        <v>0</v>
      </c>
      <c r="E21" s="918">
        <f t="shared" si="3"/>
        <v>0</v>
      </c>
      <c r="F21" s="918">
        <f t="shared" si="4"/>
        <v>0</v>
      </c>
      <c r="G21" s="920">
        <f t="shared" si="5"/>
        <v>0</v>
      </c>
      <c r="H21" s="284"/>
      <c r="I21" s="285">
        <f t="shared" si="6"/>
        <v>0</v>
      </c>
      <c r="J21" s="907">
        <f t="shared" si="7"/>
        <v>0</v>
      </c>
      <c r="M21" s="1586"/>
      <c r="N21" s="367" t="s">
        <v>266</v>
      </c>
      <c r="O21" s="496" t="s">
        <v>233</v>
      </c>
      <c r="P21" s="496" t="s">
        <v>234</v>
      </c>
      <c r="Q21" s="496">
        <v>27129360</v>
      </c>
      <c r="R21" s="496" t="s">
        <v>267</v>
      </c>
      <c r="S21" s="257" t="s">
        <v>572</v>
      </c>
      <c r="T21" s="256">
        <v>44483</v>
      </c>
      <c r="U21" s="496">
        <v>2000</v>
      </c>
      <c r="V21" s="257">
        <v>1.1000000000000001</v>
      </c>
      <c r="W21" s="1215">
        <v>1.1000000000000001</v>
      </c>
      <c r="X21" s="837">
        <f t="shared" si="0"/>
        <v>0</v>
      </c>
      <c r="Y21" s="1216">
        <v>1</v>
      </c>
      <c r="Z21" s="265">
        <v>8000</v>
      </c>
      <c r="AA21" s="257">
        <v>30</v>
      </c>
      <c r="AB21" s="1204">
        <f t="shared" si="8"/>
        <v>0.88409364639058408</v>
      </c>
      <c r="AC21" s="502" t="s">
        <v>236</v>
      </c>
    </row>
    <row r="22" spans="1:29" s="142" customFormat="1" ht="30" customHeight="1" x14ac:dyDescent="0.25">
      <c r="B22" s="280" t="s">
        <v>268</v>
      </c>
      <c r="C22" s="918">
        <f t="shared" si="1"/>
        <v>0</v>
      </c>
      <c r="D22" s="1237">
        <f t="shared" si="2"/>
        <v>0</v>
      </c>
      <c r="E22" s="918">
        <f t="shared" si="3"/>
        <v>0</v>
      </c>
      <c r="F22" s="918">
        <f t="shared" si="4"/>
        <v>0</v>
      </c>
      <c r="G22" s="920">
        <f t="shared" si="5"/>
        <v>0</v>
      </c>
      <c r="H22" s="284"/>
      <c r="I22" s="285">
        <f t="shared" si="6"/>
        <v>0</v>
      </c>
      <c r="J22" s="907">
        <f t="shared" si="7"/>
        <v>0</v>
      </c>
      <c r="M22" s="1586"/>
      <c r="N22" s="367" t="s">
        <v>269</v>
      </c>
      <c r="O22" s="496" t="s">
        <v>233</v>
      </c>
      <c r="P22" s="496" t="s">
        <v>234</v>
      </c>
      <c r="Q22" s="496">
        <v>27129360</v>
      </c>
      <c r="R22" s="496" t="s">
        <v>270</v>
      </c>
      <c r="S22" s="257" t="s">
        <v>572</v>
      </c>
      <c r="T22" s="256">
        <v>44483</v>
      </c>
      <c r="U22" s="496">
        <v>2000</v>
      </c>
      <c r="V22" s="266">
        <v>1</v>
      </c>
      <c r="W22" s="1216">
        <v>1</v>
      </c>
      <c r="X22" s="837">
        <f t="shared" si="0"/>
        <v>0</v>
      </c>
      <c r="Y22" s="1216">
        <v>1</v>
      </c>
      <c r="Z22" s="265">
        <v>8000</v>
      </c>
      <c r="AA22" s="257">
        <v>30</v>
      </c>
      <c r="AB22" s="1204">
        <f t="shared" si="8"/>
        <v>0.88409364639058408</v>
      </c>
      <c r="AC22" s="502" t="s">
        <v>236</v>
      </c>
    </row>
    <row r="23" spans="1:29" s="142" customFormat="1" ht="30" customHeight="1" x14ac:dyDescent="0.25">
      <c r="B23" s="280" t="s">
        <v>271</v>
      </c>
      <c r="C23" s="918">
        <f t="shared" si="1"/>
        <v>0</v>
      </c>
      <c r="D23" s="1237">
        <f t="shared" si="2"/>
        <v>0</v>
      </c>
      <c r="E23" s="918">
        <f t="shared" si="3"/>
        <v>0</v>
      </c>
      <c r="F23" s="918">
        <f t="shared" si="4"/>
        <v>0</v>
      </c>
      <c r="G23" s="920">
        <f t="shared" si="5"/>
        <v>0</v>
      </c>
      <c r="H23" s="284"/>
      <c r="I23" s="285">
        <f t="shared" si="6"/>
        <v>0</v>
      </c>
      <c r="J23" s="907">
        <f t="shared" si="7"/>
        <v>0</v>
      </c>
      <c r="M23" s="1586"/>
      <c r="N23" s="367" t="s">
        <v>272</v>
      </c>
      <c r="O23" s="496" t="s">
        <v>233</v>
      </c>
      <c r="P23" s="496" t="s">
        <v>234</v>
      </c>
      <c r="Q23" s="496">
        <v>27129360</v>
      </c>
      <c r="R23" s="496" t="s">
        <v>273</v>
      </c>
      <c r="S23" s="257" t="s">
        <v>572</v>
      </c>
      <c r="T23" s="256">
        <v>44483</v>
      </c>
      <c r="U23" s="496">
        <v>5000</v>
      </c>
      <c r="V23" s="257">
        <v>3.5</v>
      </c>
      <c r="W23" s="1215">
        <v>3.5</v>
      </c>
      <c r="X23" s="837">
        <f t="shared" si="0"/>
        <v>0</v>
      </c>
      <c r="Y23" s="1215">
        <v>2.5</v>
      </c>
      <c r="Z23" s="265">
        <v>8000</v>
      </c>
      <c r="AA23" s="257">
        <v>30</v>
      </c>
      <c r="AB23" s="1204">
        <f t="shared" si="8"/>
        <v>0.88409364639058408</v>
      </c>
      <c r="AC23" s="502" t="s">
        <v>236</v>
      </c>
    </row>
    <row r="24" spans="1:29" s="142" customFormat="1" ht="30" customHeight="1" thickBot="1" x14ac:dyDescent="0.3">
      <c r="B24" s="280" t="s">
        <v>274</v>
      </c>
      <c r="C24" s="918">
        <f t="shared" si="1"/>
        <v>0</v>
      </c>
      <c r="D24" s="1237">
        <f t="shared" si="2"/>
        <v>0</v>
      </c>
      <c r="E24" s="918">
        <f t="shared" si="3"/>
        <v>0</v>
      </c>
      <c r="F24" s="918">
        <f t="shared" si="4"/>
        <v>0</v>
      </c>
      <c r="G24" s="920">
        <f t="shared" si="5"/>
        <v>0</v>
      </c>
      <c r="H24" s="284"/>
      <c r="I24" s="285">
        <f t="shared" si="6"/>
        <v>0</v>
      </c>
      <c r="J24" s="907">
        <f t="shared" si="7"/>
        <v>0</v>
      </c>
      <c r="M24" s="1587"/>
      <c r="N24" s="371" t="s">
        <v>275</v>
      </c>
      <c r="O24" s="831" t="s">
        <v>233</v>
      </c>
      <c r="P24" s="831" t="s">
        <v>234</v>
      </c>
      <c r="Q24" s="831">
        <v>27129360</v>
      </c>
      <c r="R24" s="831" t="s">
        <v>276</v>
      </c>
      <c r="S24" s="516" t="s">
        <v>572</v>
      </c>
      <c r="T24" s="545">
        <v>44483</v>
      </c>
      <c r="U24" s="831">
        <v>10000</v>
      </c>
      <c r="V24" s="516">
        <v>8.1999999999999993</v>
      </c>
      <c r="W24" s="1217">
        <v>8.4</v>
      </c>
      <c r="X24" s="839">
        <f t="shared" si="0"/>
        <v>0.11547005383792577</v>
      </c>
      <c r="Y24" s="1232">
        <v>5</v>
      </c>
      <c r="Z24" s="832">
        <v>8000</v>
      </c>
      <c r="AA24" s="516">
        <v>30</v>
      </c>
      <c r="AB24" s="1205">
        <f t="shared" si="8"/>
        <v>0.88409364639058408</v>
      </c>
      <c r="AC24" s="833" t="s">
        <v>236</v>
      </c>
    </row>
    <row r="25" spans="1:29" s="142" customFormat="1" ht="30" customHeight="1" thickBot="1" x14ac:dyDescent="0.3">
      <c r="B25" s="286" t="s">
        <v>277</v>
      </c>
      <c r="C25" s="918">
        <f t="shared" si="1"/>
        <v>0</v>
      </c>
      <c r="D25" s="1237">
        <f t="shared" si="2"/>
        <v>0</v>
      </c>
      <c r="E25" s="918">
        <f t="shared" si="3"/>
        <v>0</v>
      </c>
      <c r="F25" s="918">
        <f t="shared" si="4"/>
        <v>0</v>
      </c>
      <c r="G25" s="920">
        <f t="shared" si="5"/>
        <v>0</v>
      </c>
      <c r="H25" s="284"/>
      <c r="I25" s="285">
        <f t="shared" si="6"/>
        <v>0</v>
      </c>
      <c r="J25" s="907">
        <f t="shared" si="7"/>
        <v>0</v>
      </c>
      <c r="M25" s="834"/>
      <c r="N25" s="498" t="s">
        <v>278</v>
      </c>
      <c r="O25" s="894" t="s">
        <v>279</v>
      </c>
      <c r="P25" s="894" t="s">
        <v>280</v>
      </c>
      <c r="Q25" s="894">
        <v>11119467</v>
      </c>
      <c r="R25" s="894">
        <v>10</v>
      </c>
      <c r="S25" s="895" t="s">
        <v>573</v>
      </c>
      <c r="T25" s="896">
        <v>44347</v>
      </c>
      <c r="U25" s="497">
        <v>10000</v>
      </c>
      <c r="V25" s="895">
        <v>7</v>
      </c>
      <c r="W25" s="1218">
        <v>7</v>
      </c>
      <c r="X25" s="862">
        <f t="shared" si="0"/>
        <v>0</v>
      </c>
      <c r="Y25" s="1218">
        <v>16</v>
      </c>
      <c r="Z25" s="897">
        <v>7950</v>
      </c>
      <c r="AA25" s="895">
        <v>140</v>
      </c>
      <c r="AB25" s="1207">
        <f>(0.34848*((753.6+754.6)/2)-0.009*((54.8+55)/2)*EXP(0.0612*((21.6+21.7)/2)))/(273.15+((21.6+21.7)/2))</f>
        <v>0.88510824081966932</v>
      </c>
      <c r="AC25" s="898" t="s">
        <v>281</v>
      </c>
    </row>
    <row r="26" spans="1:29" s="142" customFormat="1" ht="30" customHeight="1" thickBot="1" x14ac:dyDescent="0.3">
      <c r="B26" s="287" t="s">
        <v>282</v>
      </c>
      <c r="C26" s="918">
        <f t="shared" si="1"/>
        <v>0</v>
      </c>
      <c r="D26" s="1237">
        <f t="shared" si="2"/>
        <v>0</v>
      </c>
      <c r="E26" s="918">
        <f t="shared" si="3"/>
        <v>0</v>
      </c>
      <c r="F26" s="918">
        <f t="shared" si="4"/>
        <v>0</v>
      </c>
      <c r="G26" s="920">
        <f t="shared" si="5"/>
        <v>0</v>
      </c>
      <c r="H26" s="284"/>
      <c r="I26" s="285">
        <f t="shared" si="6"/>
        <v>0</v>
      </c>
      <c r="J26" s="907">
        <f t="shared" si="7"/>
        <v>0</v>
      </c>
      <c r="M26" s="829"/>
      <c r="N26" s="853" t="s">
        <v>283</v>
      </c>
      <c r="O26" s="854" t="s">
        <v>279</v>
      </c>
      <c r="P26" s="854" t="s">
        <v>280</v>
      </c>
      <c r="Q26" s="854">
        <v>11119468</v>
      </c>
      <c r="R26" s="854">
        <v>20</v>
      </c>
      <c r="S26" s="855" t="s">
        <v>574</v>
      </c>
      <c r="T26" s="856">
        <v>44476</v>
      </c>
      <c r="U26" s="854">
        <v>20000</v>
      </c>
      <c r="V26" s="855">
        <v>-4</v>
      </c>
      <c r="W26" s="1219">
        <v>-6</v>
      </c>
      <c r="X26" s="857">
        <f t="shared" si="0"/>
        <v>1.1547005383792517</v>
      </c>
      <c r="Y26" s="1223">
        <v>30</v>
      </c>
      <c r="Z26" s="858">
        <v>7950</v>
      </c>
      <c r="AA26" s="855">
        <v>140</v>
      </c>
      <c r="AB26" s="1208">
        <f>(0.34848*((749.2+749.3)/2)-0.009*((48.9+49.3)/2)*EXP(0.0612*((21.1+21.2)/2)))/(273.15+((21.1+21.2)/2))</f>
        <v>0.88170664241106156</v>
      </c>
      <c r="AC26" s="859" t="s">
        <v>284</v>
      </c>
    </row>
    <row r="27" spans="1:29" s="142" customFormat="1" ht="30" customHeight="1" x14ac:dyDescent="0.25">
      <c r="B27" s="286" t="s">
        <v>285</v>
      </c>
      <c r="C27" s="918">
        <f t="shared" si="1"/>
        <v>0</v>
      </c>
      <c r="D27" s="1237">
        <f t="shared" si="2"/>
        <v>0</v>
      </c>
      <c r="E27" s="918">
        <f t="shared" si="3"/>
        <v>0</v>
      </c>
      <c r="F27" s="918">
        <f t="shared" si="4"/>
        <v>0</v>
      </c>
      <c r="G27" s="920">
        <f t="shared" si="5"/>
        <v>0</v>
      </c>
      <c r="H27" s="284"/>
      <c r="I27" s="285">
        <f t="shared" si="6"/>
        <v>0</v>
      </c>
      <c r="J27" s="907">
        <f t="shared" si="7"/>
        <v>0</v>
      </c>
      <c r="M27" s="1588"/>
      <c r="N27" s="366" t="s">
        <v>286</v>
      </c>
      <c r="O27" s="368" t="s">
        <v>279</v>
      </c>
      <c r="P27" s="368" t="s">
        <v>280</v>
      </c>
      <c r="Q27" s="368">
        <v>11119515</v>
      </c>
      <c r="R27" s="368">
        <v>1</v>
      </c>
      <c r="S27" s="248" t="s">
        <v>575</v>
      </c>
      <c r="T27" s="267">
        <v>44559</v>
      </c>
      <c r="U27" s="368">
        <v>1</v>
      </c>
      <c r="V27" s="248">
        <v>0.04</v>
      </c>
      <c r="W27" s="1201">
        <v>0.04</v>
      </c>
      <c r="X27" s="841">
        <f t="shared" si="0"/>
        <v>0</v>
      </c>
      <c r="Y27" s="892">
        <v>0.03</v>
      </c>
      <c r="Z27" s="268">
        <v>7950</v>
      </c>
      <c r="AA27" s="248">
        <v>140</v>
      </c>
      <c r="AB27" s="1209">
        <f>(0.34848*((750.7+753.7)/2)-0.009*((50.2+54.2)/2)*EXP(0.0612*((21.9+23.1)/2)))/(273.15+((21.9+23.1)/2))</f>
        <v>0.88031402349675059</v>
      </c>
      <c r="AC27" s="374" t="s">
        <v>287</v>
      </c>
    </row>
    <row r="28" spans="1:29" s="142" customFormat="1" ht="30" customHeight="1" x14ac:dyDescent="0.25">
      <c r="B28" s="286" t="s">
        <v>288</v>
      </c>
      <c r="C28" s="918">
        <f t="shared" si="1"/>
        <v>0</v>
      </c>
      <c r="D28" s="1237">
        <f t="shared" si="2"/>
        <v>0</v>
      </c>
      <c r="E28" s="918">
        <f t="shared" si="3"/>
        <v>0</v>
      </c>
      <c r="F28" s="918">
        <f t="shared" si="4"/>
        <v>0</v>
      </c>
      <c r="G28" s="920">
        <f t="shared" si="5"/>
        <v>0</v>
      </c>
      <c r="H28" s="284"/>
      <c r="I28" s="285">
        <f t="shared" si="6"/>
        <v>0</v>
      </c>
      <c r="J28" s="907">
        <f t="shared" si="7"/>
        <v>0</v>
      </c>
      <c r="M28" s="1589"/>
      <c r="N28" s="367" t="s">
        <v>289</v>
      </c>
      <c r="O28" s="365" t="s">
        <v>279</v>
      </c>
      <c r="P28" s="365" t="s">
        <v>280</v>
      </c>
      <c r="Q28" s="365">
        <v>11119515</v>
      </c>
      <c r="R28" s="365">
        <v>2</v>
      </c>
      <c r="S28" s="255" t="s">
        <v>575</v>
      </c>
      <c r="T28" s="269">
        <v>44559</v>
      </c>
      <c r="U28" s="365">
        <v>2</v>
      </c>
      <c r="V28" s="255">
        <v>0.04</v>
      </c>
      <c r="W28" s="1203">
        <v>0.05</v>
      </c>
      <c r="X28" s="842">
        <f t="shared" si="0"/>
        <v>5.7735026918962588E-3</v>
      </c>
      <c r="Y28" s="891">
        <v>0.04</v>
      </c>
      <c r="Z28" s="270">
        <v>7950</v>
      </c>
      <c r="AA28" s="255">
        <v>140</v>
      </c>
      <c r="AB28" s="1210">
        <f t="shared" ref="AB28:AB42" si="9">(0.34848*((750.7+753.7)/2)-0.009*((50.2+54.2)/2)*EXP(0.0612*((21.9+23.1)/2)))/(273.15+((21.9+23.1)/2))</f>
        <v>0.88031402349675059</v>
      </c>
      <c r="AC28" s="378" t="s">
        <v>287</v>
      </c>
    </row>
    <row r="29" spans="1:29" s="142" customFormat="1" ht="30" customHeight="1" x14ac:dyDescent="0.25">
      <c r="B29" s="286" t="s">
        <v>290</v>
      </c>
      <c r="C29" s="918">
        <f t="shared" si="1"/>
        <v>0</v>
      </c>
      <c r="D29" s="1237">
        <f t="shared" si="2"/>
        <v>0</v>
      </c>
      <c r="E29" s="918">
        <f t="shared" si="3"/>
        <v>0</v>
      </c>
      <c r="F29" s="918">
        <f t="shared" si="4"/>
        <v>0</v>
      </c>
      <c r="G29" s="920">
        <f t="shared" si="5"/>
        <v>0</v>
      </c>
      <c r="H29" s="284"/>
      <c r="I29" s="285">
        <f t="shared" si="6"/>
        <v>0</v>
      </c>
      <c r="J29" s="907">
        <f t="shared" si="7"/>
        <v>0</v>
      </c>
      <c r="M29" s="1589"/>
      <c r="N29" s="367" t="s">
        <v>291</v>
      </c>
      <c r="O29" s="365" t="s">
        <v>279</v>
      </c>
      <c r="P29" s="365" t="s">
        <v>280</v>
      </c>
      <c r="Q29" s="365">
        <v>11119515</v>
      </c>
      <c r="R29" s="365" t="s">
        <v>292</v>
      </c>
      <c r="S29" s="255" t="s">
        <v>575</v>
      </c>
      <c r="T29" s="269">
        <v>44559</v>
      </c>
      <c r="U29" s="365">
        <v>2</v>
      </c>
      <c r="V29" s="255">
        <v>0.06</v>
      </c>
      <c r="W29" s="1203">
        <v>0.06</v>
      </c>
      <c r="X29" s="842">
        <f t="shared" si="0"/>
        <v>0</v>
      </c>
      <c r="Y29" s="891">
        <v>0.04</v>
      </c>
      <c r="Z29" s="270">
        <v>7950</v>
      </c>
      <c r="AA29" s="255">
        <v>140</v>
      </c>
      <c r="AB29" s="1210">
        <f t="shared" si="9"/>
        <v>0.88031402349675059</v>
      </c>
      <c r="AC29" s="378" t="str">
        <f>AC28</f>
        <v>M-002</v>
      </c>
    </row>
    <row r="30" spans="1:29" ht="30" customHeight="1" x14ac:dyDescent="0.25">
      <c r="A30" s="128"/>
      <c r="B30" s="287" t="s">
        <v>293</v>
      </c>
      <c r="C30" s="918">
        <f t="shared" si="1"/>
        <v>0</v>
      </c>
      <c r="D30" s="1237">
        <f t="shared" si="2"/>
        <v>0</v>
      </c>
      <c r="E30" s="918">
        <f t="shared" si="3"/>
        <v>0</v>
      </c>
      <c r="F30" s="918">
        <f t="shared" si="4"/>
        <v>0</v>
      </c>
      <c r="G30" s="920">
        <f t="shared" si="5"/>
        <v>0</v>
      </c>
      <c r="H30" s="284"/>
      <c r="I30" s="285">
        <f t="shared" si="6"/>
        <v>0</v>
      </c>
      <c r="J30" s="907">
        <f t="shared" si="7"/>
        <v>0</v>
      </c>
      <c r="K30" s="288"/>
      <c r="L30" s="288"/>
      <c r="M30" s="1589"/>
      <c r="N30" s="367" t="s">
        <v>294</v>
      </c>
      <c r="O30" s="365" t="s">
        <v>279</v>
      </c>
      <c r="P30" s="365" t="s">
        <v>280</v>
      </c>
      <c r="Q30" s="365">
        <v>11119515</v>
      </c>
      <c r="R30" s="365">
        <v>5</v>
      </c>
      <c r="S30" s="255" t="s">
        <v>575</v>
      </c>
      <c r="T30" s="269">
        <v>44559</v>
      </c>
      <c r="U30" s="365">
        <v>5</v>
      </c>
      <c r="V30" s="271">
        <v>0.01</v>
      </c>
      <c r="W30" s="1202">
        <v>0</v>
      </c>
      <c r="X30" s="842">
        <f t="shared" si="0"/>
        <v>5.773502691896258E-3</v>
      </c>
      <c r="Y30" s="891">
        <v>0.05</v>
      </c>
      <c r="Z30" s="270">
        <v>7950</v>
      </c>
      <c r="AA30" s="255">
        <v>140</v>
      </c>
      <c r="AB30" s="1210">
        <f t="shared" si="9"/>
        <v>0.88031402349675059</v>
      </c>
      <c r="AC30" s="378" t="s">
        <v>287</v>
      </c>
    </row>
    <row r="31" spans="1:29" ht="30" customHeight="1" x14ac:dyDescent="0.25">
      <c r="B31" s="286" t="s">
        <v>295</v>
      </c>
      <c r="C31" s="918">
        <f t="shared" si="1"/>
        <v>0</v>
      </c>
      <c r="D31" s="1237">
        <f t="shared" si="2"/>
        <v>0</v>
      </c>
      <c r="E31" s="918">
        <f t="shared" si="3"/>
        <v>0</v>
      </c>
      <c r="F31" s="918">
        <f t="shared" si="4"/>
        <v>0</v>
      </c>
      <c r="G31" s="920">
        <f t="shared" si="5"/>
        <v>0</v>
      </c>
      <c r="H31" s="284"/>
      <c r="I31" s="285">
        <f t="shared" si="6"/>
        <v>0</v>
      </c>
      <c r="J31" s="907">
        <f t="shared" si="7"/>
        <v>0</v>
      </c>
      <c r="K31" s="288"/>
      <c r="M31" s="1589"/>
      <c r="N31" s="367" t="s">
        <v>296</v>
      </c>
      <c r="O31" s="365" t="s">
        <v>279</v>
      </c>
      <c r="P31" s="365" t="s">
        <v>280</v>
      </c>
      <c r="Q31" s="365">
        <v>11119515</v>
      </c>
      <c r="R31" s="365">
        <v>10</v>
      </c>
      <c r="S31" s="255" t="s">
        <v>575</v>
      </c>
      <c r="T31" s="269">
        <v>44559</v>
      </c>
      <c r="U31" s="365">
        <v>10</v>
      </c>
      <c r="V31" s="255">
        <v>7.0000000000000007E-2</v>
      </c>
      <c r="W31" s="1202">
        <v>7.0000000000000007E-2</v>
      </c>
      <c r="X31" s="842">
        <f t="shared" si="0"/>
        <v>0</v>
      </c>
      <c r="Y31" s="891">
        <v>0.06</v>
      </c>
      <c r="Z31" s="270">
        <v>7950</v>
      </c>
      <c r="AA31" s="255">
        <v>140</v>
      </c>
      <c r="AB31" s="1210">
        <f t="shared" si="9"/>
        <v>0.88031402349675059</v>
      </c>
      <c r="AC31" s="378" t="s">
        <v>287</v>
      </c>
    </row>
    <row r="32" spans="1:29" ht="30" customHeight="1" x14ac:dyDescent="0.25">
      <c r="B32" s="289" t="s">
        <v>297</v>
      </c>
      <c r="C32" s="918">
        <f t="shared" si="1"/>
        <v>0</v>
      </c>
      <c r="D32" s="1237">
        <f t="shared" si="2"/>
        <v>0</v>
      </c>
      <c r="E32" s="918">
        <f t="shared" si="3"/>
        <v>0</v>
      </c>
      <c r="F32" s="918">
        <f t="shared" si="4"/>
        <v>0</v>
      </c>
      <c r="G32" s="920">
        <f t="shared" si="5"/>
        <v>0</v>
      </c>
      <c r="H32" s="284"/>
      <c r="I32" s="285">
        <f t="shared" si="6"/>
        <v>0</v>
      </c>
      <c r="J32" s="907">
        <f t="shared" si="7"/>
        <v>0</v>
      </c>
      <c r="M32" s="1589"/>
      <c r="N32" s="367" t="s">
        <v>298</v>
      </c>
      <c r="O32" s="365" t="s">
        <v>279</v>
      </c>
      <c r="P32" s="365" t="s">
        <v>280</v>
      </c>
      <c r="Q32" s="365">
        <v>11119515</v>
      </c>
      <c r="R32" s="365">
        <v>20</v>
      </c>
      <c r="S32" s="255" t="s">
        <v>575</v>
      </c>
      <c r="T32" s="269">
        <v>44559</v>
      </c>
      <c r="U32" s="365">
        <v>20</v>
      </c>
      <c r="V32" s="255">
        <v>0.08</v>
      </c>
      <c r="W32" s="1202">
        <v>0.09</v>
      </c>
      <c r="X32" s="842">
        <f t="shared" si="0"/>
        <v>5.7735026918962554E-3</v>
      </c>
      <c r="Y32" s="891">
        <v>0.08</v>
      </c>
      <c r="Z32" s="270">
        <v>7950</v>
      </c>
      <c r="AA32" s="255">
        <v>140</v>
      </c>
      <c r="AB32" s="1210">
        <f t="shared" si="9"/>
        <v>0.88031402349675059</v>
      </c>
      <c r="AC32" s="378" t="str">
        <f>AC31</f>
        <v>M-002</v>
      </c>
    </row>
    <row r="33" spans="1:29" ht="30" customHeight="1" x14ac:dyDescent="0.25">
      <c r="B33" s="290" t="s">
        <v>299</v>
      </c>
      <c r="C33" s="918">
        <f t="shared" si="1"/>
        <v>0</v>
      </c>
      <c r="D33" s="1237">
        <f t="shared" si="2"/>
        <v>0</v>
      </c>
      <c r="E33" s="918">
        <f t="shared" si="3"/>
        <v>0</v>
      </c>
      <c r="F33" s="918">
        <f t="shared" si="4"/>
        <v>0</v>
      </c>
      <c r="G33" s="920">
        <f t="shared" si="5"/>
        <v>0</v>
      </c>
      <c r="H33" s="284"/>
      <c r="I33" s="285">
        <f t="shared" si="6"/>
        <v>0</v>
      </c>
      <c r="J33" s="907">
        <f t="shared" si="7"/>
        <v>0</v>
      </c>
      <c r="M33" s="1589"/>
      <c r="N33" s="367" t="s">
        <v>300</v>
      </c>
      <c r="O33" s="365" t="s">
        <v>279</v>
      </c>
      <c r="P33" s="365" t="s">
        <v>280</v>
      </c>
      <c r="Q33" s="365">
        <v>11119515</v>
      </c>
      <c r="R33" s="365" t="s">
        <v>301</v>
      </c>
      <c r="S33" s="255" t="s">
        <v>575</v>
      </c>
      <c r="T33" s="269">
        <v>44559</v>
      </c>
      <c r="U33" s="365">
        <v>20</v>
      </c>
      <c r="V33" s="255">
        <v>7.0000000000000007E-2</v>
      </c>
      <c r="W33" s="1202">
        <v>7.0000000000000007E-2</v>
      </c>
      <c r="X33" s="842">
        <f t="shared" si="0"/>
        <v>0</v>
      </c>
      <c r="Y33" s="891">
        <v>0.08</v>
      </c>
      <c r="Z33" s="270">
        <v>7950</v>
      </c>
      <c r="AA33" s="255">
        <v>140</v>
      </c>
      <c r="AB33" s="1210">
        <f t="shared" si="9"/>
        <v>0.88031402349675059</v>
      </c>
      <c r="AC33" s="378" t="s">
        <v>287</v>
      </c>
    </row>
    <row r="34" spans="1:29" ht="30" customHeight="1" x14ac:dyDescent="0.25">
      <c r="B34" s="291" t="s">
        <v>302</v>
      </c>
      <c r="C34" s="918">
        <f t="shared" si="1"/>
        <v>0</v>
      </c>
      <c r="D34" s="1237">
        <f t="shared" si="2"/>
        <v>0</v>
      </c>
      <c r="E34" s="918">
        <f t="shared" si="3"/>
        <v>0</v>
      </c>
      <c r="F34" s="918">
        <f t="shared" si="4"/>
        <v>0</v>
      </c>
      <c r="G34" s="920">
        <f t="shared" si="5"/>
        <v>0</v>
      </c>
      <c r="H34" s="284"/>
      <c r="I34" s="285">
        <f t="shared" si="6"/>
        <v>0</v>
      </c>
      <c r="J34" s="907">
        <f t="shared" si="7"/>
        <v>0</v>
      </c>
      <c r="M34" s="1589"/>
      <c r="N34" s="367" t="s">
        <v>303</v>
      </c>
      <c r="O34" s="365" t="s">
        <v>279</v>
      </c>
      <c r="P34" s="365" t="s">
        <v>280</v>
      </c>
      <c r="Q34" s="365">
        <v>11119515</v>
      </c>
      <c r="R34" s="365">
        <v>50</v>
      </c>
      <c r="S34" s="255" t="s">
        <v>575</v>
      </c>
      <c r="T34" s="269">
        <v>44559</v>
      </c>
      <c r="U34" s="365">
        <v>50</v>
      </c>
      <c r="V34" s="255">
        <v>0.13</v>
      </c>
      <c r="W34" s="891">
        <v>0.13</v>
      </c>
      <c r="X34" s="842">
        <f t="shared" si="0"/>
        <v>0</v>
      </c>
      <c r="Y34" s="1202">
        <v>0.1</v>
      </c>
      <c r="Z34" s="270">
        <v>7950</v>
      </c>
      <c r="AA34" s="255">
        <v>140</v>
      </c>
      <c r="AB34" s="1210">
        <f t="shared" si="9"/>
        <v>0.88031402349675059</v>
      </c>
      <c r="AC34" s="378" t="s">
        <v>287</v>
      </c>
    </row>
    <row r="35" spans="1:29" ht="30" customHeight="1" x14ac:dyDescent="0.25">
      <c r="B35" s="292" t="s">
        <v>304</v>
      </c>
      <c r="C35" s="918">
        <f t="shared" si="1"/>
        <v>0</v>
      </c>
      <c r="D35" s="1237">
        <f t="shared" si="2"/>
        <v>0</v>
      </c>
      <c r="E35" s="918">
        <f t="shared" si="3"/>
        <v>0</v>
      </c>
      <c r="F35" s="918">
        <f t="shared" si="4"/>
        <v>0</v>
      </c>
      <c r="G35" s="920">
        <f t="shared" si="5"/>
        <v>0</v>
      </c>
      <c r="H35" s="284"/>
      <c r="I35" s="285">
        <f t="shared" si="6"/>
        <v>0</v>
      </c>
      <c r="J35" s="907">
        <f t="shared" si="7"/>
        <v>0</v>
      </c>
      <c r="K35" s="1621"/>
      <c r="M35" s="1589"/>
      <c r="N35" s="367" t="s">
        <v>305</v>
      </c>
      <c r="O35" s="365" t="s">
        <v>279</v>
      </c>
      <c r="P35" s="365" t="s">
        <v>280</v>
      </c>
      <c r="Q35" s="365">
        <v>11119515</v>
      </c>
      <c r="R35" s="365">
        <v>100</v>
      </c>
      <c r="S35" s="255" t="s">
        <v>575</v>
      </c>
      <c r="T35" s="269">
        <v>44559</v>
      </c>
      <c r="U35" s="365">
        <v>100</v>
      </c>
      <c r="V35" s="255">
        <v>0.14000000000000001</v>
      </c>
      <c r="W35" s="891">
        <v>0.14000000000000001</v>
      </c>
      <c r="X35" s="842">
        <f t="shared" si="0"/>
        <v>0</v>
      </c>
      <c r="Y35" s="891">
        <v>0.16</v>
      </c>
      <c r="Z35" s="270">
        <v>7950</v>
      </c>
      <c r="AA35" s="255">
        <v>140</v>
      </c>
      <c r="AB35" s="1210">
        <f t="shared" si="9"/>
        <v>0.88031402349675059</v>
      </c>
      <c r="AC35" s="378" t="str">
        <f>AC34</f>
        <v>M-002</v>
      </c>
    </row>
    <row r="36" spans="1:29" ht="30" customHeight="1" x14ac:dyDescent="0.25">
      <c r="B36" s="293" t="s">
        <v>306</v>
      </c>
      <c r="C36" s="918">
        <f t="shared" si="1"/>
        <v>0</v>
      </c>
      <c r="D36" s="1237">
        <f t="shared" si="2"/>
        <v>0</v>
      </c>
      <c r="E36" s="918">
        <f t="shared" si="3"/>
        <v>0</v>
      </c>
      <c r="F36" s="918">
        <f t="shared" si="4"/>
        <v>0</v>
      </c>
      <c r="G36" s="920">
        <f t="shared" si="5"/>
        <v>0</v>
      </c>
      <c r="H36" s="284"/>
      <c r="I36" s="285">
        <f t="shared" si="6"/>
        <v>0</v>
      </c>
      <c r="J36" s="907">
        <f t="shared" si="7"/>
        <v>0</v>
      </c>
      <c r="K36" s="1621"/>
      <c r="M36" s="1589"/>
      <c r="N36" s="367" t="s">
        <v>307</v>
      </c>
      <c r="O36" s="365" t="s">
        <v>279</v>
      </c>
      <c r="P36" s="365" t="s">
        <v>280</v>
      </c>
      <c r="Q36" s="365">
        <v>11119515</v>
      </c>
      <c r="R36" s="365">
        <v>200</v>
      </c>
      <c r="S36" s="255" t="s">
        <v>575</v>
      </c>
      <c r="T36" s="269">
        <v>44559</v>
      </c>
      <c r="U36" s="365">
        <v>200</v>
      </c>
      <c r="V36" s="255">
        <v>0.3</v>
      </c>
      <c r="W36" s="891">
        <v>0.3</v>
      </c>
      <c r="X36" s="842">
        <f t="shared" si="0"/>
        <v>0</v>
      </c>
      <c r="Y36" s="891">
        <v>0.3</v>
      </c>
      <c r="Z36" s="270">
        <v>7950</v>
      </c>
      <c r="AA36" s="255">
        <v>140</v>
      </c>
      <c r="AB36" s="1210">
        <f t="shared" si="9"/>
        <v>0.88031402349675059</v>
      </c>
      <c r="AC36" s="378" t="s">
        <v>287</v>
      </c>
    </row>
    <row r="37" spans="1:29" ht="30" customHeight="1" x14ac:dyDescent="0.25">
      <c r="B37" s="1161" t="s">
        <v>308</v>
      </c>
      <c r="C37" s="918">
        <f t="shared" si="1"/>
        <v>0</v>
      </c>
      <c r="D37" s="1237">
        <f t="shared" si="2"/>
        <v>0</v>
      </c>
      <c r="E37" s="918">
        <f t="shared" si="3"/>
        <v>0</v>
      </c>
      <c r="F37" s="918">
        <f t="shared" si="4"/>
        <v>0</v>
      </c>
      <c r="G37" s="920">
        <f t="shared" si="5"/>
        <v>0</v>
      </c>
      <c r="H37" s="284"/>
      <c r="I37" s="285">
        <f t="shared" si="6"/>
        <v>0</v>
      </c>
      <c r="J37" s="907">
        <f t="shared" si="7"/>
        <v>0</v>
      </c>
      <c r="K37" s="130"/>
      <c r="M37" s="1589"/>
      <c r="N37" s="367" t="s">
        <v>309</v>
      </c>
      <c r="O37" s="365" t="s">
        <v>279</v>
      </c>
      <c r="P37" s="365" t="s">
        <v>280</v>
      </c>
      <c r="Q37" s="365">
        <v>11119515</v>
      </c>
      <c r="R37" s="365" t="s">
        <v>310</v>
      </c>
      <c r="S37" s="255" t="s">
        <v>575</v>
      </c>
      <c r="T37" s="269">
        <v>44559</v>
      </c>
      <c r="U37" s="365">
        <v>200</v>
      </c>
      <c r="V37" s="255">
        <v>0.2</v>
      </c>
      <c r="W37" s="891">
        <v>0.2</v>
      </c>
      <c r="X37" s="842">
        <f t="shared" si="0"/>
        <v>0</v>
      </c>
      <c r="Y37" s="891">
        <v>0.3</v>
      </c>
      <c r="Z37" s="270">
        <v>7950</v>
      </c>
      <c r="AA37" s="255">
        <v>140</v>
      </c>
      <c r="AB37" s="1210">
        <f t="shared" si="9"/>
        <v>0.88031402349675059</v>
      </c>
      <c r="AC37" s="378" t="s">
        <v>287</v>
      </c>
    </row>
    <row r="38" spans="1:29" ht="30" customHeight="1" x14ac:dyDescent="0.25">
      <c r="B38" s="1162" t="s">
        <v>311</v>
      </c>
      <c r="C38" s="918">
        <f t="shared" si="1"/>
        <v>0</v>
      </c>
      <c r="D38" s="1237">
        <f t="shared" si="2"/>
        <v>0</v>
      </c>
      <c r="E38" s="918">
        <f t="shared" si="3"/>
        <v>0</v>
      </c>
      <c r="F38" s="918">
        <f t="shared" si="4"/>
        <v>0</v>
      </c>
      <c r="G38" s="920">
        <f t="shared" si="5"/>
        <v>0</v>
      </c>
      <c r="H38" s="284"/>
      <c r="I38" s="285">
        <f t="shared" si="6"/>
        <v>0</v>
      </c>
      <c r="J38" s="907">
        <f t="shared" si="7"/>
        <v>0</v>
      </c>
      <c r="K38" s="294"/>
      <c r="M38" s="1589"/>
      <c r="N38" s="367" t="s">
        <v>312</v>
      </c>
      <c r="O38" s="365" t="s">
        <v>279</v>
      </c>
      <c r="P38" s="365" t="s">
        <v>280</v>
      </c>
      <c r="Q38" s="365">
        <v>11119515</v>
      </c>
      <c r="R38" s="365">
        <v>500</v>
      </c>
      <c r="S38" s="255" t="s">
        <v>575</v>
      </c>
      <c r="T38" s="269">
        <v>44559</v>
      </c>
      <c r="U38" s="365">
        <v>500</v>
      </c>
      <c r="V38" s="255">
        <v>0.8</v>
      </c>
      <c r="W38" s="891">
        <v>0.8</v>
      </c>
      <c r="X38" s="842">
        <f t="shared" si="0"/>
        <v>0</v>
      </c>
      <c r="Y38" s="891">
        <v>0.8</v>
      </c>
      <c r="Z38" s="270">
        <v>7950</v>
      </c>
      <c r="AA38" s="255">
        <v>140</v>
      </c>
      <c r="AB38" s="1210">
        <f t="shared" si="9"/>
        <v>0.88031402349675059</v>
      </c>
      <c r="AC38" s="378" t="str">
        <f>AC37</f>
        <v>M-002</v>
      </c>
    </row>
    <row r="39" spans="1:29" ht="30" customHeight="1" thickBot="1" x14ac:dyDescent="0.3">
      <c r="B39" s="1163" t="s">
        <v>313</v>
      </c>
      <c r="C39" s="926">
        <f t="shared" si="1"/>
        <v>0</v>
      </c>
      <c r="D39" s="1238">
        <f t="shared" si="2"/>
        <v>0</v>
      </c>
      <c r="E39" s="926">
        <f t="shared" si="3"/>
        <v>0</v>
      </c>
      <c r="F39" s="926">
        <f t="shared" si="4"/>
        <v>0</v>
      </c>
      <c r="G39" s="921">
        <f t="shared" si="5"/>
        <v>0</v>
      </c>
      <c r="H39" s="904"/>
      <c r="I39" s="902">
        <f t="shared" si="6"/>
        <v>0</v>
      </c>
      <c r="J39" s="910">
        <f t="shared" si="7"/>
        <v>0</v>
      </c>
      <c r="K39" s="130"/>
      <c r="M39" s="1589"/>
      <c r="N39" s="367" t="s">
        <v>314</v>
      </c>
      <c r="O39" s="365" t="s">
        <v>279</v>
      </c>
      <c r="P39" s="365" t="s">
        <v>280</v>
      </c>
      <c r="Q39" s="365">
        <v>11119515</v>
      </c>
      <c r="R39" s="365">
        <v>1</v>
      </c>
      <c r="S39" s="255" t="s">
        <v>575</v>
      </c>
      <c r="T39" s="269">
        <v>44559</v>
      </c>
      <c r="U39" s="377">
        <v>1000</v>
      </c>
      <c r="V39" s="255">
        <v>1.9</v>
      </c>
      <c r="W39" s="891">
        <v>1.9</v>
      </c>
      <c r="X39" s="842">
        <f t="shared" si="0"/>
        <v>0</v>
      </c>
      <c r="Y39" s="891">
        <v>1.6</v>
      </c>
      <c r="Z39" s="270">
        <v>7950</v>
      </c>
      <c r="AA39" s="255">
        <v>140</v>
      </c>
      <c r="AB39" s="1210">
        <f t="shared" si="9"/>
        <v>0.88031402349675059</v>
      </c>
      <c r="AC39" s="378" t="s">
        <v>287</v>
      </c>
    </row>
    <row r="40" spans="1:29" ht="30" customHeight="1" x14ac:dyDescent="0.25">
      <c r="K40" s="130"/>
      <c r="M40" s="1589"/>
      <c r="N40" s="367" t="s">
        <v>315</v>
      </c>
      <c r="O40" s="365" t="s">
        <v>279</v>
      </c>
      <c r="P40" s="365" t="s">
        <v>280</v>
      </c>
      <c r="Q40" s="365">
        <v>11119515</v>
      </c>
      <c r="R40" s="365">
        <v>2</v>
      </c>
      <c r="S40" s="255" t="s">
        <v>575</v>
      </c>
      <c r="T40" s="269">
        <v>44559</v>
      </c>
      <c r="U40" s="377">
        <v>2000</v>
      </c>
      <c r="V40" s="258">
        <v>1.9</v>
      </c>
      <c r="W40" s="891">
        <v>1.9</v>
      </c>
      <c r="X40" s="842">
        <f t="shared" si="0"/>
        <v>0</v>
      </c>
      <c r="Y40" s="1221">
        <v>3</v>
      </c>
      <c r="Z40" s="270">
        <v>7950</v>
      </c>
      <c r="AA40" s="255">
        <v>140</v>
      </c>
      <c r="AB40" s="1210">
        <f t="shared" si="9"/>
        <v>0.88031402349675059</v>
      </c>
      <c r="AC40" s="378" t="s">
        <v>287</v>
      </c>
    </row>
    <row r="41" spans="1:29" ht="30" customHeight="1" x14ac:dyDescent="0.25">
      <c r="K41" s="130"/>
      <c r="M41" s="1589"/>
      <c r="N41" s="367" t="s">
        <v>316</v>
      </c>
      <c r="O41" s="365" t="s">
        <v>279</v>
      </c>
      <c r="P41" s="365" t="s">
        <v>280</v>
      </c>
      <c r="Q41" s="365">
        <v>11119515</v>
      </c>
      <c r="R41" s="365" t="s">
        <v>292</v>
      </c>
      <c r="S41" s="255" t="s">
        <v>575</v>
      </c>
      <c r="T41" s="269">
        <v>44559</v>
      </c>
      <c r="U41" s="377">
        <v>2000</v>
      </c>
      <c r="V41" s="258">
        <v>2.1</v>
      </c>
      <c r="W41" s="891">
        <v>2.1</v>
      </c>
      <c r="X41" s="842">
        <f t="shared" si="0"/>
        <v>0</v>
      </c>
      <c r="Y41" s="1221">
        <v>3</v>
      </c>
      <c r="Z41" s="270">
        <v>7950</v>
      </c>
      <c r="AA41" s="255">
        <v>140</v>
      </c>
      <c r="AB41" s="1210">
        <f t="shared" si="9"/>
        <v>0.88031402349675059</v>
      </c>
      <c r="AC41" s="378" t="str">
        <f>AC40</f>
        <v>M-002</v>
      </c>
    </row>
    <row r="42" spans="1:29" ht="30" customHeight="1" thickBot="1" x14ac:dyDescent="0.3">
      <c r="A42" s="165"/>
      <c r="K42" s="130"/>
      <c r="M42" s="1590"/>
      <c r="N42" s="371" t="s">
        <v>317</v>
      </c>
      <c r="O42" s="365" t="s">
        <v>279</v>
      </c>
      <c r="P42" s="372" t="s">
        <v>280</v>
      </c>
      <c r="Q42" s="372">
        <v>11119515</v>
      </c>
      <c r="R42" s="372">
        <v>5</v>
      </c>
      <c r="S42" s="327" t="s">
        <v>575</v>
      </c>
      <c r="T42" s="503">
        <v>44559</v>
      </c>
      <c r="U42" s="828">
        <v>5000</v>
      </c>
      <c r="V42" s="344">
        <v>5.8</v>
      </c>
      <c r="W42" s="890">
        <v>5.9</v>
      </c>
      <c r="X42" s="843">
        <f t="shared" si="0"/>
        <v>5.7735026918962887E-2</v>
      </c>
      <c r="Y42" s="1222">
        <v>8</v>
      </c>
      <c r="Z42" s="504">
        <v>7950</v>
      </c>
      <c r="AA42" s="327">
        <v>140</v>
      </c>
      <c r="AB42" s="1211">
        <f t="shared" si="9"/>
        <v>0.88031402349675059</v>
      </c>
      <c r="AC42" s="373" t="s">
        <v>287</v>
      </c>
    </row>
    <row r="43" spans="1:29" ht="30" customHeight="1" x14ac:dyDescent="0.25">
      <c r="A43" s="165"/>
      <c r="B43" s="1600" t="s">
        <v>318</v>
      </c>
      <c r="C43" s="1601"/>
      <c r="D43" s="1601"/>
      <c r="E43" s="1601"/>
      <c r="F43" s="1601"/>
      <c r="G43" s="1601"/>
      <c r="H43" s="1601"/>
      <c r="I43" s="1601"/>
      <c r="J43" s="1602"/>
      <c r="K43" s="130"/>
      <c r="M43" s="1582"/>
      <c r="N43" s="498" t="s">
        <v>319</v>
      </c>
      <c r="O43" s="365" t="s">
        <v>279</v>
      </c>
      <c r="P43" s="497" t="s">
        <v>320</v>
      </c>
      <c r="Q43" s="497">
        <v>1913613</v>
      </c>
      <c r="R43" s="497">
        <v>1</v>
      </c>
      <c r="S43" s="273" t="s">
        <v>576</v>
      </c>
      <c r="T43" s="274">
        <v>44594</v>
      </c>
      <c r="U43" s="860">
        <v>1</v>
      </c>
      <c r="V43" s="861">
        <v>3.3000000000000002E-2</v>
      </c>
      <c r="W43" s="1220">
        <v>0.04</v>
      </c>
      <c r="X43" s="862">
        <f t="shared" si="0"/>
        <v>4.0414518843273801E-3</v>
      </c>
      <c r="Y43" s="1220">
        <v>3.3000000000000002E-2</v>
      </c>
      <c r="Z43" s="379">
        <v>7900</v>
      </c>
      <c r="AA43" s="273">
        <v>140</v>
      </c>
      <c r="AB43" s="1212">
        <f>(0.34848*((749.5+753.3)/2)-0.009*((44.2+49.2)/2)*EXP(0.0612*((22.3+23.2)/2)))/(273.15+((22.3+23.2)/2))</f>
        <v>0.8792042748922686</v>
      </c>
      <c r="AC43" s="863" t="s">
        <v>321</v>
      </c>
    </row>
    <row r="44" spans="1:29" ht="30" customHeight="1" thickBot="1" x14ac:dyDescent="0.3">
      <c r="A44" s="165"/>
      <c r="B44" s="1603"/>
      <c r="C44" s="1604"/>
      <c r="D44" s="1604"/>
      <c r="E44" s="1604"/>
      <c r="F44" s="1604"/>
      <c r="G44" s="1604"/>
      <c r="H44" s="1604"/>
      <c r="I44" s="1604"/>
      <c r="J44" s="1605"/>
      <c r="K44" s="130"/>
      <c r="M44" s="1583"/>
      <c r="N44" s="367" t="s">
        <v>322</v>
      </c>
      <c r="O44" s="365" t="s">
        <v>279</v>
      </c>
      <c r="P44" s="365" t="s">
        <v>320</v>
      </c>
      <c r="Q44" s="365">
        <v>1913613</v>
      </c>
      <c r="R44" s="365">
        <v>2</v>
      </c>
      <c r="S44" s="255" t="s">
        <v>576</v>
      </c>
      <c r="T44" s="269">
        <v>44594</v>
      </c>
      <c r="U44" s="376">
        <v>2</v>
      </c>
      <c r="V44" s="259">
        <v>2.1000000000000001E-2</v>
      </c>
      <c r="W44" s="1202">
        <v>0.02</v>
      </c>
      <c r="X44" s="842">
        <f t="shared" si="0"/>
        <v>5.7735026918962634E-4</v>
      </c>
      <c r="Y44" s="1202">
        <v>0.04</v>
      </c>
      <c r="Z44" s="270">
        <v>7900</v>
      </c>
      <c r="AA44" s="255">
        <v>140</v>
      </c>
      <c r="AB44" s="1212">
        <f t="shared" ref="AB44:AB58" si="10">(0.34848*((749.5+753.3)/2)-0.009*((44.2+49.2)/2)*EXP(0.0612*((22.3+23.2)/2)))/(273.15+((22.3+23.2)/2))</f>
        <v>0.8792042748922686</v>
      </c>
      <c r="AC44" s="378" t="s">
        <v>321</v>
      </c>
    </row>
    <row r="45" spans="1:29" ht="30" customHeight="1" x14ac:dyDescent="0.25">
      <c r="A45" s="165"/>
      <c r="B45" s="1622" t="s">
        <v>185</v>
      </c>
      <c r="C45" s="1575" t="s">
        <v>11</v>
      </c>
      <c r="D45" s="1575" t="s">
        <v>12</v>
      </c>
      <c r="E45" s="1575" t="s">
        <v>13</v>
      </c>
      <c r="F45" s="1575" t="s">
        <v>323</v>
      </c>
      <c r="G45" s="1575" t="s">
        <v>324</v>
      </c>
      <c r="H45" s="1575" t="s">
        <v>325</v>
      </c>
      <c r="I45" s="1575" t="s">
        <v>326</v>
      </c>
      <c r="J45" s="1619" t="s">
        <v>327</v>
      </c>
      <c r="K45" s="130"/>
      <c r="M45" s="1583"/>
      <c r="N45" s="367" t="s">
        <v>328</v>
      </c>
      <c r="O45" s="365" t="s">
        <v>279</v>
      </c>
      <c r="P45" s="365" t="s">
        <v>320</v>
      </c>
      <c r="Q45" s="365">
        <v>1913613</v>
      </c>
      <c r="R45" s="365" t="s">
        <v>329</v>
      </c>
      <c r="S45" s="255" t="s">
        <v>576</v>
      </c>
      <c r="T45" s="269">
        <v>44594</v>
      </c>
      <c r="U45" s="376">
        <v>2</v>
      </c>
      <c r="V45" s="259">
        <v>5.7000000000000002E-2</v>
      </c>
      <c r="W45" s="1202">
        <v>0.06</v>
      </c>
      <c r="X45" s="842">
        <f t="shared" si="0"/>
        <v>1.732050807568875E-3</v>
      </c>
      <c r="Y45" s="1202">
        <v>0.04</v>
      </c>
      <c r="Z45" s="270">
        <v>7900</v>
      </c>
      <c r="AA45" s="255">
        <v>140</v>
      </c>
      <c r="AB45" s="1212">
        <f t="shared" si="10"/>
        <v>0.8792042748922686</v>
      </c>
      <c r="AC45" s="378" t="s">
        <v>321</v>
      </c>
    </row>
    <row r="46" spans="1:29" ht="30" customHeight="1" thickBot="1" x14ac:dyDescent="0.3">
      <c r="A46" s="165"/>
      <c r="B46" s="1623"/>
      <c r="C46" s="1576"/>
      <c r="D46" s="1576"/>
      <c r="E46" s="1576"/>
      <c r="F46" s="1576"/>
      <c r="G46" s="1576"/>
      <c r="H46" s="1576"/>
      <c r="I46" s="1576"/>
      <c r="J46" s="1620"/>
      <c r="K46" s="130"/>
      <c r="M46" s="1583"/>
      <c r="N46" s="367" t="s">
        <v>330</v>
      </c>
      <c r="O46" s="365" t="s">
        <v>279</v>
      </c>
      <c r="P46" s="365" t="s">
        <v>320</v>
      </c>
      <c r="Q46" s="365">
        <v>1913613</v>
      </c>
      <c r="R46" s="365">
        <v>5</v>
      </c>
      <c r="S46" s="255" t="s">
        <v>576</v>
      </c>
      <c r="T46" s="269">
        <v>44594</v>
      </c>
      <c r="U46" s="376">
        <v>5</v>
      </c>
      <c r="V46" s="259">
        <v>1.2E-2</v>
      </c>
      <c r="W46" s="1202">
        <v>0</v>
      </c>
      <c r="X46" s="842">
        <f t="shared" si="0"/>
        <v>6.9282032302755096E-3</v>
      </c>
      <c r="Y46" s="1202">
        <v>5.2999999999999999E-2</v>
      </c>
      <c r="Z46" s="270">
        <v>7900</v>
      </c>
      <c r="AA46" s="255">
        <v>140</v>
      </c>
      <c r="AB46" s="1212">
        <f t="shared" si="10"/>
        <v>0.8792042748922686</v>
      </c>
      <c r="AC46" s="378" t="s">
        <v>321</v>
      </c>
    </row>
    <row r="47" spans="1:29" ht="30" customHeight="1" thickBot="1" x14ac:dyDescent="0.3">
      <c r="A47" s="165"/>
      <c r="K47" s="130"/>
      <c r="M47" s="1583"/>
      <c r="N47" s="367" t="s">
        <v>331</v>
      </c>
      <c r="O47" s="365" t="s">
        <v>279</v>
      </c>
      <c r="P47" s="365" t="s">
        <v>320</v>
      </c>
      <c r="Q47" s="365">
        <v>1913613</v>
      </c>
      <c r="R47" s="365">
        <v>10</v>
      </c>
      <c r="S47" s="255" t="s">
        <v>576</v>
      </c>
      <c r="T47" s="269">
        <v>44594</v>
      </c>
      <c r="U47" s="376">
        <v>10</v>
      </c>
      <c r="V47" s="259">
        <v>5.6000000000000001E-2</v>
      </c>
      <c r="W47" s="1202">
        <v>0.05</v>
      </c>
      <c r="X47" s="842">
        <f t="shared" si="0"/>
        <v>3.4641016151377539E-3</v>
      </c>
      <c r="Y47" s="1202">
        <v>0.06</v>
      </c>
      <c r="Z47" s="270">
        <v>7900</v>
      </c>
      <c r="AA47" s="255">
        <v>140</v>
      </c>
      <c r="AB47" s="1212">
        <f t="shared" si="10"/>
        <v>0.8792042748922686</v>
      </c>
      <c r="AC47" s="378" t="s">
        <v>321</v>
      </c>
    </row>
    <row r="48" spans="1:29" ht="30" customHeight="1" thickBot="1" x14ac:dyDescent="0.3">
      <c r="A48" s="165"/>
      <c r="B48" s="927" t="s">
        <v>113</v>
      </c>
      <c r="C48" s="928"/>
      <c r="D48" s="929"/>
      <c r="E48" s="930"/>
      <c r="F48" s="958" t="s">
        <v>351</v>
      </c>
      <c r="G48" s="931">
        <v>1</v>
      </c>
      <c r="H48" s="930"/>
      <c r="I48" s="930"/>
      <c r="J48" s="1164">
        <f>I8</f>
        <v>0</v>
      </c>
      <c r="K48" s="130"/>
      <c r="M48" s="1583"/>
      <c r="N48" s="367" t="s">
        <v>332</v>
      </c>
      <c r="O48" s="365" t="s">
        <v>279</v>
      </c>
      <c r="P48" s="365" t="s">
        <v>320</v>
      </c>
      <c r="Q48" s="365">
        <v>1913613</v>
      </c>
      <c r="R48" s="365">
        <v>20</v>
      </c>
      <c r="S48" s="255" t="s">
        <v>576</v>
      </c>
      <c r="T48" s="269">
        <v>44594</v>
      </c>
      <c r="U48" s="376">
        <v>20</v>
      </c>
      <c r="V48" s="271">
        <v>0</v>
      </c>
      <c r="W48" s="1202">
        <v>-0.01</v>
      </c>
      <c r="X48" s="842">
        <f t="shared" si="0"/>
        <v>5.773502691896258E-3</v>
      </c>
      <c r="Y48" s="1202">
        <v>8.3000000000000004E-2</v>
      </c>
      <c r="Z48" s="270">
        <v>7900</v>
      </c>
      <c r="AA48" s="255">
        <v>140</v>
      </c>
      <c r="AB48" s="1212">
        <f t="shared" si="10"/>
        <v>0.8792042748922686</v>
      </c>
      <c r="AC48" s="378" t="s">
        <v>321</v>
      </c>
    </row>
    <row r="49" spans="1:29" ht="30" customHeight="1" x14ac:dyDescent="0.25">
      <c r="A49" s="1599"/>
      <c r="B49" s="279" t="s">
        <v>130</v>
      </c>
      <c r="C49" s="935">
        <f>$C$48</f>
        <v>0</v>
      </c>
      <c r="D49" s="936">
        <f>$D$48</f>
        <v>0</v>
      </c>
      <c r="E49" s="936">
        <f>$E$48</f>
        <v>0</v>
      </c>
      <c r="F49" s="959" t="s">
        <v>355</v>
      </c>
      <c r="G49" s="933">
        <v>2</v>
      </c>
      <c r="H49" s="941">
        <f>$H$48</f>
        <v>0</v>
      </c>
      <c r="I49" s="893">
        <f>$I$48</f>
        <v>0</v>
      </c>
      <c r="J49" s="925">
        <f>$J$48</f>
        <v>0</v>
      </c>
      <c r="K49" s="130"/>
      <c r="M49" s="1583"/>
      <c r="N49" s="367" t="s">
        <v>333</v>
      </c>
      <c r="O49" s="365" t="s">
        <v>279</v>
      </c>
      <c r="P49" s="365" t="s">
        <v>320</v>
      </c>
      <c r="Q49" s="365">
        <v>1913613</v>
      </c>
      <c r="R49" s="365" t="s">
        <v>334</v>
      </c>
      <c r="S49" s="255" t="s">
        <v>576</v>
      </c>
      <c r="T49" s="269">
        <v>44594</v>
      </c>
      <c r="U49" s="376">
        <v>20</v>
      </c>
      <c r="V49" s="259">
        <v>0.108</v>
      </c>
      <c r="W49" s="1202">
        <v>0.08</v>
      </c>
      <c r="X49" s="842">
        <f t="shared" si="0"/>
        <v>1.6165807537309521E-2</v>
      </c>
      <c r="Y49" s="1202">
        <v>8.3000000000000004E-2</v>
      </c>
      <c r="Z49" s="270">
        <v>7900</v>
      </c>
      <c r="AA49" s="255">
        <v>140</v>
      </c>
      <c r="AB49" s="1212">
        <f t="shared" si="10"/>
        <v>0.8792042748922686</v>
      </c>
      <c r="AC49" s="378" t="s">
        <v>321</v>
      </c>
    </row>
    <row r="50" spans="1:29" ht="30" customHeight="1" x14ac:dyDescent="0.25">
      <c r="A50" s="1599"/>
      <c r="B50" s="280" t="s">
        <v>239</v>
      </c>
      <c r="C50" s="937">
        <f t="shared" ref="C50:C79" si="11">$C$48</f>
        <v>0</v>
      </c>
      <c r="D50" s="938">
        <f t="shared" ref="D50:D79" si="12">$D$48</f>
        <v>0</v>
      </c>
      <c r="E50" s="938">
        <f t="shared" ref="E50:E79" si="13">$E$48</f>
        <v>0</v>
      </c>
      <c r="F50" s="960" t="s">
        <v>292</v>
      </c>
      <c r="G50" s="932">
        <v>2</v>
      </c>
      <c r="H50" s="942">
        <f t="shared" ref="H50:H79" si="14">$H$48</f>
        <v>0</v>
      </c>
      <c r="I50" s="296">
        <f t="shared" ref="I50:I79" si="15">$I$48</f>
        <v>0</v>
      </c>
      <c r="J50" s="907">
        <f t="shared" ref="J50:J79" si="16">$J$48</f>
        <v>0</v>
      </c>
      <c r="K50" s="130"/>
      <c r="M50" s="1583"/>
      <c r="N50" s="367" t="s">
        <v>335</v>
      </c>
      <c r="O50" s="365" t="s">
        <v>279</v>
      </c>
      <c r="P50" s="365" t="s">
        <v>320</v>
      </c>
      <c r="Q50" s="365">
        <v>1913613</v>
      </c>
      <c r="R50" s="365">
        <v>50</v>
      </c>
      <c r="S50" s="255" t="s">
        <v>576</v>
      </c>
      <c r="T50" s="269">
        <v>44594</v>
      </c>
      <c r="U50" s="376">
        <v>50</v>
      </c>
      <c r="V50" s="271">
        <v>0.14000000000000001</v>
      </c>
      <c r="W50" s="1202">
        <v>0.01</v>
      </c>
      <c r="X50" s="842">
        <f t="shared" si="0"/>
        <v>7.5055534994651354E-2</v>
      </c>
      <c r="Y50" s="1202">
        <v>0.1</v>
      </c>
      <c r="Z50" s="270">
        <v>7900</v>
      </c>
      <c r="AA50" s="255">
        <v>140</v>
      </c>
      <c r="AB50" s="1212">
        <f t="shared" si="10"/>
        <v>0.8792042748922686</v>
      </c>
      <c r="AC50" s="378" t="s">
        <v>321</v>
      </c>
    </row>
    <row r="51" spans="1:29" ht="30" customHeight="1" x14ac:dyDescent="0.25">
      <c r="A51" s="1599"/>
      <c r="B51" s="280" t="s">
        <v>136</v>
      </c>
      <c r="C51" s="937">
        <f t="shared" si="11"/>
        <v>0</v>
      </c>
      <c r="D51" s="938">
        <f t="shared" si="12"/>
        <v>0</v>
      </c>
      <c r="E51" s="938">
        <f t="shared" si="13"/>
        <v>0</v>
      </c>
      <c r="F51" s="960" t="s">
        <v>555</v>
      </c>
      <c r="G51" s="932">
        <v>5</v>
      </c>
      <c r="H51" s="942">
        <f t="shared" si="14"/>
        <v>0</v>
      </c>
      <c r="I51" s="296">
        <f t="shared" si="15"/>
        <v>0</v>
      </c>
      <c r="J51" s="907">
        <f t="shared" si="16"/>
        <v>0</v>
      </c>
      <c r="K51" s="130"/>
      <c r="M51" s="1583"/>
      <c r="N51" s="367" t="s">
        <v>336</v>
      </c>
      <c r="O51" s="365" t="s">
        <v>279</v>
      </c>
      <c r="P51" s="365" t="s">
        <v>320</v>
      </c>
      <c r="Q51" s="365">
        <v>1913613</v>
      </c>
      <c r="R51" s="365">
        <v>100</v>
      </c>
      <c r="S51" s="255" t="s">
        <v>576</v>
      </c>
      <c r="T51" s="269">
        <v>44594</v>
      </c>
      <c r="U51" s="376">
        <v>100</v>
      </c>
      <c r="V51" s="271">
        <v>0.23</v>
      </c>
      <c r="W51" s="1202">
        <v>0.22</v>
      </c>
      <c r="X51" s="842">
        <f t="shared" si="0"/>
        <v>5.7735026918962632E-3</v>
      </c>
      <c r="Y51" s="1202">
        <v>0.16</v>
      </c>
      <c r="Z51" s="270">
        <v>7900</v>
      </c>
      <c r="AA51" s="255">
        <v>140</v>
      </c>
      <c r="AB51" s="1212">
        <f t="shared" si="10"/>
        <v>0.8792042748922686</v>
      </c>
      <c r="AC51" s="378" t="s">
        <v>321</v>
      </c>
    </row>
    <row r="52" spans="1:29" ht="30" customHeight="1" x14ac:dyDescent="0.25">
      <c r="A52" s="1599"/>
      <c r="B52" s="280" t="s">
        <v>115</v>
      </c>
      <c r="C52" s="937">
        <f t="shared" si="11"/>
        <v>0</v>
      </c>
      <c r="D52" s="938">
        <f t="shared" si="12"/>
        <v>0</v>
      </c>
      <c r="E52" s="938">
        <f t="shared" si="13"/>
        <v>0</v>
      </c>
      <c r="F52" s="960" t="s">
        <v>559</v>
      </c>
      <c r="G52" s="932">
        <v>10</v>
      </c>
      <c r="H52" s="942">
        <f t="shared" si="14"/>
        <v>0</v>
      </c>
      <c r="I52" s="296">
        <f t="shared" si="15"/>
        <v>0</v>
      </c>
      <c r="J52" s="907">
        <f t="shared" si="16"/>
        <v>0</v>
      </c>
      <c r="K52" s="130"/>
      <c r="M52" s="1583"/>
      <c r="N52" s="367" t="s">
        <v>337</v>
      </c>
      <c r="O52" s="365" t="s">
        <v>279</v>
      </c>
      <c r="P52" s="365" t="s">
        <v>320</v>
      </c>
      <c r="Q52" s="365">
        <v>1913613</v>
      </c>
      <c r="R52" s="365">
        <v>200</v>
      </c>
      <c r="S52" s="255" t="s">
        <v>576</v>
      </c>
      <c r="T52" s="269">
        <v>44594</v>
      </c>
      <c r="U52" s="376">
        <v>200</v>
      </c>
      <c r="V52" s="271">
        <v>0.14000000000000001</v>
      </c>
      <c r="W52" s="1221">
        <v>0</v>
      </c>
      <c r="X52" s="842">
        <f t="shared" si="0"/>
        <v>8.0829037686547617E-2</v>
      </c>
      <c r="Y52" s="1221">
        <v>0.3</v>
      </c>
      <c r="Z52" s="270">
        <v>7900</v>
      </c>
      <c r="AA52" s="255">
        <v>140</v>
      </c>
      <c r="AB52" s="1212">
        <f t="shared" si="10"/>
        <v>0.8792042748922686</v>
      </c>
      <c r="AC52" s="378" t="s">
        <v>321</v>
      </c>
    </row>
    <row r="53" spans="1:29" ht="30" customHeight="1" x14ac:dyDescent="0.25">
      <c r="A53" s="165"/>
      <c r="B53" s="280" t="s">
        <v>131</v>
      </c>
      <c r="C53" s="937">
        <f t="shared" si="11"/>
        <v>0</v>
      </c>
      <c r="D53" s="938">
        <f t="shared" si="12"/>
        <v>0</v>
      </c>
      <c r="E53" s="938">
        <f t="shared" si="13"/>
        <v>0</v>
      </c>
      <c r="F53" s="960" t="s">
        <v>560</v>
      </c>
      <c r="G53" s="932">
        <v>20</v>
      </c>
      <c r="H53" s="942">
        <f t="shared" si="14"/>
        <v>0</v>
      </c>
      <c r="I53" s="296">
        <f t="shared" si="15"/>
        <v>0</v>
      </c>
      <c r="J53" s="907">
        <f t="shared" si="16"/>
        <v>0</v>
      </c>
      <c r="K53" s="130"/>
      <c r="M53" s="1583"/>
      <c r="N53" s="367" t="s">
        <v>338</v>
      </c>
      <c r="O53" s="365" t="s">
        <v>279</v>
      </c>
      <c r="P53" s="365" t="s">
        <v>320</v>
      </c>
      <c r="Q53" s="365">
        <v>1913613</v>
      </c>
      <c r="R53" s="365" t="s">
        <v>339</v>
      </c>
      <c r="S53" s="255" t="s">
        <v>576</v>
      </c>
      <c r="T53" s="269">
        <v>44594</v>
      </c>
      <c r="U53" s="376">
        <v>200</v>
      </c>
      <c r="V53" s="271">
        <v>0.3</v>
      </c>
      <c r="W53" s="1221">
        <v>0.3</v>
      </c>
      <c r="X53" s="842">
        <f t="shared" si="0"/>
        <v>0</v>
      </c>
      <c r="Y53" s="1221">
        <v>0.3</v>
      </c>
      <c r="Z53" s="270">
        <v>7900</v>
      </c>
      <c r="AA53" s="255">
        <v>140</v>
      </c>
      <c r="AB53" s="1212">
        <f t="shared" si="10"/>
        <v>0.8792042748922686</v>
      </c>
      <c r="AC53" s="378" t="s">
        <v>321</v>
      </c>
    </row>
    <row r="54" spans="1:29" ht="30" customHeight="1" x14ac:dyDescent="0.25">
      <c r="A54" s="165"/>
      <c r="B54" s="280" t="s">
        <v>248</v>
      </c>
      <c r="C54" s="937">
        <f t="shared" si="11"/>
        <v>0</v>
      </c>
      <c r="D54" s="938">
        <f t="shared" si="12"/>
        <v>0</v>
      </c>
      <c r="E54" s="938">
        <f t="shared" si="13"/>
        <v>0</v>
      </c>
      <c r="F54" s="960" t="s">
        <v>560</v>
      </c>
      <c r="G54" s="932">
        <v>20</v>
      </c>
      <c r="H54" s="942">
        <f t="shared" si="14"/>
        <v>0</v>
      </c>
      <c r="I54" s="296">
        <f t="shared" si="15"/>
        <v>0</v>
      </c>
      <c r="J54" s="907">
        <f t="shared" si="16"/>
        <v>0</v>
      </c>
      <c r="K54" s="130"/>
      <c r="M54" s="1583"/>
      <c r="N54" s="367" t="s">
        <v>340</v>
      </c>
      <c r="O54" s="365" t="s">
        <v>279</v>
      </c>
      <c r="P54" s="365" t="s">
        <v>320</v>
      </c>
      <c r="Q54" s="365">
        <v>1913613</v>
      </c>
      <c r="R54" s="365">
        <v>500</v>
      </c>
      <c r="S54" s="255" t="s">
        <v>576</v>
      </c>
      <c r="T54" s="269">
        <v>44594</v>
      </c>
      <c r="U54" s="376">
        <v>500</v>
      </c>
      <c r="V54" s="271">
        <v>0.68</v>
      </c>
      <c r="W54" s="1221">
        <v>0.3</v>
      </c>
      <c r="X54" s="842">
        <f t="shared" si="0"/>
        <v>0.21939310229205783</v>
      </c>
      <c r="Y54" s="1202">
        <v>0.8</v>
      </c>
      <c r="Z54" s="270">
        <v>7900</v>
      </c>
      <c r="AA54" s="255">
        <v>140</v>
      </c>
      <c r="AB54" s="1212">
        <f t="shared" si="10"/>
        <v>0.8792042748922686</v>
      </c>
      <c r="AC54" s="378" t="s">
        <v>321</v>
      </c>
    </row>
    <row r="55" spans="1:29" ht="30" customHeight="1" x14ac:dyDescent="0.25">
      <c r="A55" s="165"/>
      <c r="B55" s="280" t="s">
        <v>137</v>
      </c>
      <c r="C55" s="937">
        <f t="shared" si="11"/>
        <v>0</v>
      </c>
      <c r="D55" s="938">
        <f t="shared" si="12"/>
        <v>0</v>
      </c>
      <c r="E55" s="938">
        <f t="shared" si="13"/>
        <v>0</v>
      </c>
      <c r="F55" s="960" t="s">
        <v>561</v>
      </c>
      <c r="G55" s="932">
        <v>50</v>
      </c>
      <c r="H55" s="942">
        <f t="shared" si="14"/>
        <v>0</v>
      </c>
      <c r="I55" s="296">
        <f t="shared" si="15"/>
        <v>0</v>
      </c>
      <c r="J55" s="907">
        <f t="shared" si="16"/>
        <v>0</v>
      </c>
      <c r="K55" s="130"/>
      <c r="M55" s="1583"/>
      <c r="N55" s="367" t="s">
        <v>341</v>
      </c>
      <c r="O55" s="365" t="s">
        <v>279</v>
      </c>
      <c r="P55" s="365" t="s">
        <v>320</v>
      </c>
      <c r="Q55" s="365">
        <v>1913613</v>
      </c>
      <c r="R55" s="365">
        <v>1</v>
      </c>
      <c r="S55" s="255" t="s">
        <v>576</v>
      </c>
      <c r="T55" s="269">
        <v>44594</v>
      </c>
      <c r="U55" s="375">
        <v>1000</v>
      </c>
      <c r="V55" s="258">
        <v>1.6</v>
      </c>
      <c r="W55" s="1221">
        <v>1.7</v>
      </c>
      <c r="X55" s="871">
        <f t="shared" si="0"/>
        <v>5.7735026918962505E-2</v>
      </c>
      <c r="Y55" s="1221">
        <v>1.6</v>
      </c>
      <c r="Z55" s="270">
        <v>7900</v>
      </c>
      <c r="AA55" s="255">
        <v>140</v>
      </c>
      <c r="AB55" s="1212">
        <f t="shared" si="10"/>
        <v>0.8792042748922686</v>
      </c>
      <c r="AC55" s="378" t="s">
        <v>321</v>
      </c>
    </row>
    <row r="56" spans="1:29" ht="30" customHeight="1" x14ac:dyDescent="0.25">
      <c r="A56" s="165"/>
      <c r="B56" s="280" t="s">
        <v>116</v>
      </c>
      <c r="C56" s="937">
        <f t="shared" si="11"/>
        <v>0</v>
      </c>
      <c r="D56" s="938">
        <f t="shared" si="12"/>
        <v>0</v>
      </c>
      <c r="E56" s="938">
        <f t="shared" si="13"/>
        <v>0</v>
      </c>
      <c r="F56" s="960" t="s">
        <v>556</v>
      </c>
      <c r="G56" s="932">
        <v>100</v>
      </c>
      <c r="H56" s="942">
        <f t="shared" si="14"/>
        <v>0</v>
      </c>
      <c r="I56" s="296">
        <f t="shared" si="15"/>
        <v>0</v>
      </c>
      <c r="J56" s="907">
        <f t="shared" si="16"/>
        <v>0</v>
      </c>
      <c r="K56" s="130"/>
      <c r="M56" s="1583"/>
      <c r="N56" s="367" t="s">
        <v>342</v>
      </c>
      <c r="O56" s="365" t="s">
        <v>279</v>
      </c>
      <c r="P56" s="365" t="s">
        <v>320</v>
      </c>
      <c r="Q56" s="365">
        <v>1913613</v>
      </c>
      <c r="R56" s="365">
        <v>2</v>
      </c>
      <c r="S56" s="255" t="s">
        <v>576</v>
      </c>
      <c r="T56" s="269">
        <v>44594</v>
      </c>
      <c r="U56" s="375">
        <v>2000</v>
      </c>
      <c r="V56" s="258">
        <v>4</v>
      </c>
      <c r="W56" s="1221">
        <v>2.9</v>
      </c>
      <c r="X56" s="871">
        <f t="shared" si="0"/>
        <v>0.63508529610858844</v>
      </c>
      <c r="Y56" s="1221">
        <v>3</v>
      </c>
      <c r="Z56" s="270">
        <v>7900</v>
      </c>
      <c r="AA56" s="255">
        <v>140</v>
      </c>
      <c r="AB56" s="1212">
        <f t="shared" si="10"/>
        <v>0.8792042748922686</v>
      </c>
      <c r="AC56" s="378" t="s">
        <v>321</v>
      </c>
    </row>
    <row r="57" spans="1:29" ht="30" customHeight="1" x14ac:dyDescent="0.25">
      <c r="A57" s="165"/>
      <c r="B57" s="280" t="s">
        <v>132</v>
      </c>
      <c r="C57" s="937">
        <f t="shared" si="11"/>
        <v>0</v>
      </c>
      <c r="D57" s="938">
        <f t="shared" si="12"/>
        <v>0</v>
      </c>
      <c r="E57" s="938">
        <f t="shared" si="13"/>
        <v>0</v>
      </c>
      <c r="F57" s="960" t="s">
        <v>557</v>
      </c>
      <c r="G57" s="932">
        <v>200</v>
      </c>
      <c r="H57" s="942">
        <f t="shared" si="14"/>
        <v>0</v>
      </c>
      <c r="I57" s="296">
        <f t="shared" si="15"/>
        <v>0</v>
      </c>
      <c r="J57" s="907">
        <f t="shared" si="16"/>
        <v>0</v>
      </c>
      <c r="K57" s="130"/>
      <c r="M57" s="1583"/>
      <c r="N57" s="367" t="s">
        <v>343</v>
      </c>
      <c r="O57" s="365" t="s">
        <v>279</v>
      </c>
      <c r="P57" s="365" t="s">
        <v>320</v>
      </c>
      <c r="Q57" s="365">
        <v>1913613</v>
      </c>
      <c r="R57" s="365" t="s">
        <v>329</v>
      </c>
      <c r="S57" s="255" t="s">
        <v>576</v>
      </c>
      <c r="T57" s="269">
        <v>44594</v>
      </c>
      <c r="U57" s="375">
        <v>2000</v>
      </c>
      <c r="V57" s="258">
        <v>1.4</v>
      </c>
      <c r="W57" s="1221">
        <v>2.2999999999999998</v>
      </c>
      <c r="X57" s="871">
        <f t="shared" si="0"/>
        <v>0.51961524227066314</v>
      </c>
      <c r="Y57" s="1221">
        <v>3</v>
      </c>
      <c r="Z57" s="270">
        <v>7900</v>
      </c>
      <c r="AA57" s="255">
        <v>140</v>
      </c>
      <c r="AB57" s="1212">
        <f t="shared" si="10"/>
        <v>0.8792042748922686</v>
      </c>
      <c r="AC57" s="378" t="s">
        <v>321</v>
      </c>
    </row>
    <row r="58" spans="1:29" ht="30" customHeight="1" thickBot="1" x14ac:dyDescent="0.3">
      <c r="B58" s="280" t="s">
        <v>257</v>
      </c>
      <c r="C58" s="937">
        <f t="shared" si="11"/>
        <v>0</v>
      </c>
      <c r="D58" s="938">
        <f t="shared" si="12"/>
        <v>0</v>
      </c>
      <c r="E58" s="938">
        <f t="shared" si="13"/>
        <v>0</v>
      </c>
      <c r="F58" s="960" t="s">
        <v>310</v>
      </c>
      <c r="G58" s="932">
        <v>200</v>
      </c>
      <c r="H58" s="942">
        <f t="shared" si="14"/>
        <v>0</v>
      </c>
      <c r="I58" s="296">
        <f t="shared" si="15"/>
        <v>0</v>
      </c>
      <c r="J58" s="907">
        <f t="shared" si="16"/>
        <v>0</v>
      </c>
      <c r="K58" s="295"/>
      <c r="M58" s="1584"/>
      <c r="N58" s="371" t="s">
        <v>344</v>
      </c>
      <c r="O58" s="365" t="s">
        <v>279</v>
      </c>
      <c r="P58" s="372" t="s">
        <v>320</v>
      </c>
      <c r="Q58" s="372">
        <v>1913613</v>
      </c>
      <c r="R58" s="372">
        <v>5</v>
      </c>
      <c r="S58" s="255" t="s">
        <v>576</v>
      </c>
      <c r="T58" s="269">
        <v>44594</v>
      </c>
      <c r="U58" s="828">
        <v>5000</v>
      </c>
      <c r="V58" s="344">
        <v>-0.9</v>
      </c>
      <c r="W58" s="1222">
        <v>16.399999999999999</v>
      </c>
      <c r="X58" s="870">
        <f t="shared" si="0"/>
        <v>9.9881596569805247</v>
      </c>
      <c r="Y58" s="1222">
        <v>8</v>
      </c>
      <c r="Z58" s="270">
        <v>7900</v>
      </c>
      <c r="AA58" s="327">
        <v>140</v>
      </c>
      <c r="AB58" s="1212">
        <f t="shared" si="10"/>
        <v>0.8792042748922686</v>
      </c>
      <c r="AC58" s="373" t="s">
        <v>321</v>
      </c>
    </row>
    <row r="59" spans="1:29" ht="30" customHeight="1" x14ac:dyDescent="0.25">
      <c r="B59" s="280" t="s">
        <v>138</v>
      </c>
      <c r="C59" s="937">
        <f t="shared" si="11"/>
        <v>0</v>
      </c>
      <c r="D59" s="938">
        <f t="shared" si="12"/>
        <v>0</v>
      </c>
      <c r="E59" s="938">
        <f t="shared" si="13"/>
        <v>0</v>
      </c>
      <c r="F59" s="960" t="s">
        <v>558</v>
      </c>
      <c r="G59" s="932">
        <v>500</v>
      </c>
      <c r="H59" s="942">
        <f t="shared" si="14"/>
        <v>0</v>
      </c>
      <c r="I59" s="296">
        <f t="shared" si="15"/>
        <v>0</v>
      </c>
      <c r="J59" s="907">
        <f t="shared" si="16"/>
        <v>0</v>
      </c>
      <c r="K59" s="130"/>
      <c r="M59" s="1577"/>
      <c r="N59" s="366" t="s">
        <v>345</v>
      </c>
      <c r="O59" s="368" t="s">
        <v>346</v>
      </c>
      <c r="P59" s="368" t="s">
        <v>347</v>
      </c>
      <c r="Q59" s="368" t="s">
        <v>348</v>
      </c>
      <c r="R59" s="368" t="s">
        <v>349</v>
      </c>
      <c r="S59" s="248" t="s">
        <v>577</v>
      </c>
      <c r="T59" s="267">
        <v>44441</v>
      </c>
      <c r="U59" s="827">
        <v>20000</v>
      </c>
      <c r="V59" s="272">
        <v>9</v>
      </c>
      <c r="W59" s="892">
        <v>2</v>
      </c>
      <c r="X59" s="841">
        <f t="shared" si="0"/>
        <v>4.0414518843273806</v>
      </c>
      <c r="Y59" s="1225">
        <v>10</v>
      </c>
      <c r="Z59" s="268">
        <v>7950</v>
      </c>
      <c r="AA59" s="248">
        <v>140</v>
      </c>
      <c r="AB59" s="1209">
        <f>(0.34848*((754.5+754.8)/2)-0.009*((50.9+51.1)/2)*EXP(0.0612*((20.8+20.9)/2)))/(273.15+((20.8+20.9)/2))</f>
        <v>0.88889840721616875</v>
      </c>
      <c r="AC59" s="374" t="s">
        <v>350</v>
      </c>
    </row>
    <row r="60" spans="1:29" ht="30" customHeight="1" x14ac:dyDescent="0.25">
      <c r="A60" s="414"/>
      <c r="B60" s="1165" t="s">
        <v>262</v>
      </c>
      <c r="C60" s="937">
        <f t="shared" si="11"/>
        <v>0</v>
      </c>
      <c r="D60" s="938">
        <f t="shared" si="12"/>
        <v>0</v>
      </c>
      <c r="E60" s="938">
        <f t="shared" si="13"/>
        <v>0</v>
      </c>
      <c r="F60" s="960" t="s">
        <v>351</v>
      </c>
      <c r="G60" s="932">
        <v>1</v>
      </c>
      <c r="H60" s="942">
        <f t="shared" si="14"/>
        <v>0</v>
      </c>
      <c r="I60" s="296">
        <f t="shared" si="15"/>
        <v>0</v>
      </c>
      <c r="J60" s="907">
        <f t="shared" si="16"/>
        <v>0</v>
      </c>
      <c r="M60" s="1578"/>
      <c r="N60" s="367" t="s">
        <v>352</v>
      </c>
      <c r="O60" s="365" t="s">
        <v>279</v>
      </c>
      <c r="P60" s="365" t="s">
        <v>347</v>
      </c>
      <c r="Q60" s="365" t="s">
        <v>353</v>
      </c>
      <c r="R60" s="365">
        <v>20</v>
      </c>
      <c r="S60" s="255" t="s">
        <v>578</v>
      </c>
      <c r="T60" s="269">
        <v>44441</v>
      </c>
      <c r="U60" s="375">
        <v>20000</v>
      </c>
      <c r="V60" s="255">
        <v>31</v>
      </c>
      <c r="W60" s="891">
        <v>39</v>
      </c>
      <c r="X60" s="842">
        <f t="shared" si="0"/>
        <v>4.6188021535170067</v>
      </c>
      <c r="Y60" s="1226">
        <v>30</v>
      </c>
      <c r="Z60" s="270">
        <v>7950</v>
      </c>
      <c r="AA60" s="255">
        <v>140</v>
      </c>
      <c r="AB60" s="1210">
        <f>(0.34848*((752.8+753.2)/2)-0.009*((50.3+50.4)/2)*EXP(0.0612*((20.9+21)/2)))/(273.15+((20.9+21)/2))</f>
        <v>0.88667844666689899</v>
      </c>
      <c r="AC60" s="378" t="s">
        <v>354</v>
      </c>
    </row>
    <row r="61" spans="1:29" ht="30" customHeight="1" x14ac:dyDescent="0.25">
      <c r="B61" s="143" t="s">
        <v>265</v>
      </c>
      <c r="C61" s="937">
        <f t="shared" si="11"/>
        <v>0</v>
      </c>
      <c r="D61" s="938">
        <f t="shared" si="12"/>
        <v>0</v>
      </c>
      <c r="E61" s="938">
        <f t="shared" si="13"/>
        <v>0</v>
      </c>
      <c r="F61" s="960" t="s">
        <v>355</v>
      </c>
      <c r="G61" s="932">
        <v>2</v>
      </c>
      <c r="H61" s="942">
        <f t="shared" si="14"/>
        <v>0</v>
      </c>
      <c r="I61" s="296">
        <f t="shared" si="15"/>
        <v>0</v>
      </c>
      <c r="J61" s="907">
        <f t="shared" si="16"/>
        <v>0</v>
      </c>
      <c r="M61" s="1578"/>
      <c r="N61" s="367" t="s">
        <v>356</v>
      </c>
      <c r="O61" s="365" t="s">
        <v>279</v>
      </c>
      <c r="P61" s="365" t="s">
        <v>347</v>
      </c>
      <c r="Q61" s="365" t="s">
        <v>357</v>
      </c>
      <c r="R61" s="365" t="s">
        <v>358</v>
      </c>
      <c r="S61" s="255" t="s">
        <v>579</v>
      </c>
      <c r="T61" s="269">
        <v>44441</v>
      </c>
      <c r="U61" s="375">
        <v>20000</v>
      </c>
      <c r="V61" s="255">
        <v>3</v>
      </c>
      <c r="W61" s="891">
        <v>5</v>
      </c>
      <c r="X61" s="842">
        <f t="shared" si="0"/>
        <v>1.1547005383792517</v>
      </c>
      <c r="Y61" s="1226">
        <v>30</v>
      </c>
      <c r="Z61" s="270">
        <v>7950</v>
      </c>
      <c r="AA61" s="255">
        <v>140</v>
      </c>
      <c r="AB61" s="1210">
        <f>(0.34848*((753.3+753.8)/2)-0.009*((50.5+50.6)/2)*EXP(0.0612*((20.8+20.9)/2)))/(273.15+((20.8+20.9)/2))</f>
        <v>0.8876439192293275</v>
      </c>
      <c r="AC61" s="378" t="s">
        <v>359</v>
      </c>
    </row>
    <row r="62" spans="1:29" ht="30" customHeight="1" x14ac:dyDescent="0.25">
      <c r="B62" s="143" t="s">
        <v>268</v>
      </c>
      <c r="C62" s="937">
        <f t="shared" si="11"/>
        <v>0</v>
      </c>
      <c r="D62" s="938">
        <f t="shared" si="12"/>
        <v>0</v>
      </c>
      <c r="E62" s="938">
        <f t="shared" si="13"/>
        <v>0</v>
      </c>
      <c r="F62" s="960" t="s">
        <v>292</v>
      </c>
      <c r="G62" s="932">
        <v>2</v>
      </c>
      <c r="H62" s="942">
        <f t="shared" si="14"/>
        <v>0</v>
      </c>
      <c r="I62" s="296">
        <f t="shared" si="15"/>
        <v>0</v>
      </c>
      <c r="J62" s="907">
        <f t="shared" si="16"/>
        <v>0</v>
      </c>
      <c r="M62" s="1578"/>
      <c r="N62" s="367" t="s">
        <v>360</v>
      </c>
      <c r="O62" s="365" t="s">
        <v>279</v>
      </c>
      <c r="P62" s="365" t="s">
        <v>347</v>
      </c>
      <c r="Q62" s="365" t="s">
        <v>361</v>
      </c>
      <c r="R62" s="365" t="s">
        <v>362</v>
      </c>
      <c r="S62" s="255" t="s">
        <v>580</v>
      </c>
      <c r="T62" s="269">
        <v>44441</v>
      </c>
      <c r="U62" s="375">
        <v>20000</v>
      </c>
      <c r="V62" s="255">
        <v>37</v>
      </c>
      <c r="W62" s="891">
        <v>40</v>
      </c>
      <c r="X62" s="842">
        <f t="shared" si="0"/>
        <v>1.7320508075688774</v>
      </c>
      <c r="Y62" s="1226">
        <v>30</v>
      </c>
      <c r="Z62" s="270">
        <v>7950</v>
      </c>
      <c r="AA62" s="255">
        <v>140</v>
      </c>
      <c r="AB62" s="1210">
        <f>(0.34848*((753.9+754.3)/2)-0.009*((50.5+50.6)/2)*EXP(0.0612*((20.8+20.9)/2)))/(273.15+((20.8+20.9)/2))</f>
        <v>0.88829583759667441</v>
      </c>
      <c r="AC62" s="378" t="s">
        <v>363</v>
      </c>
    </row>
    <row r="63" spans="1:29" ht="30" customHeight="1" x14ac:dyDescent="0.25">
      <c r="B63" s="143" t="s">
        <v>271</v>
      </c>
      <c r="C63" s="937">
        <f t="shared" si="11"/>
        <v>0</v>
      </c>
      <c r="D63" s="938">
        <f t="shared" si="12"/>
        <v>0</v>
      </c>
      <c r="E63" s="938">
        <f t="shared" si="13"/>
        <v>0</v>
      </c>
      <c r="F63" s="960" t="s">
        <v>364</v>
      </c>
      <c r="G63" s="932">
        <v>5</v>
      </c>
      <c r="H63" s="942">
        <f t="shared" si="14"/>
        <v>0</v>
      </c>
      <c r="I63" s="296">
        <f t="shared" si="15"/>
        <v>0</v>
      </c>
      <c r="J63" s="907">
        <f t="shared" si="16"/>
        <v>0</v>
      </c>
      <c r="M63" s="1578"/>
      <c r="N63" s="367" t="s">
        <v>365</v>
      </c>
      <c r="O63" s="365" t="s">
        <v>279</v>
      </c>
      <c r="P63" s="365" t="s">
        <v>320</v>
      </c>
      <c r="Q63" s="365">
        <v>1913624</v>
      </c>
      <c r="R63" s="365" t="s">
        <v>366</v>
      </c>
      <c r="S63" s="255" t="s">
        <v>581</v>
      </c>
      <c r="T63" s="269">
        <v>44350</v>
      </c>
      <c r="U63" s="375">
        <v>10000</v>
      </c>
      <c r="V63" s="255">
        <v>13</v>
      </c>
      <c r="W63" s="891">
        <v>-8</v>
      </c>
      <c r="X63" s="842">
        <f t="shared" si="0"/>
        <v>12.124355652982143</v>
      </c>
      <c r="Y63" s="1226">
        <v>16</v>
      </c>
      <c r="Z63" s="270">
        <v>7900</v>
      </c>
      <c r="AA63" s="255">
        <v>140</v>
      </c>
      <c r="AB63" s="1210">
        <f>(0.34848*((752.5+753.7)/2)-0.009*((53.8+54.6)/2)*EXP(0.0612*((21.6+21.7)/2)))/(273.15+((21.6+21.7)/2))</f>
        <v>0.88400654914295929</v>
      </c>
      <c r="AC63" s="378" t="s">
        <v>367</v>
      </c>
    </row>
    <row r="64" spans="1:29" ht="30" customHeight="1" x14ac:dyDescent="0.25">
      <c r="B64" s="143" t="s">
        <v>274</v>
      </c>
      <c r="C64" s="937">
        <f t="shared" si="11"/>
        <v>0</v>
      </c>
      <c r="D64" s="938">
        <f t="shared" si="12"/>
        <v>0</v>
      </c>
      <c r="E64" s="938">
        <f t="shared" si="13"/>
        <v>0</v>
      </c>
      <c r="F64" s="960" t="s">
        <v>274</v>
      </c>
      <c r="G64" s="932">
        <v>10</v>
      </c>
      <c r="H64" s="942">
        <f t="shared" si="14"/>
        <v>0</v>
      </c>
      <c r="I64" s="296">
        <f t="shared" si="15"/>
        <v>0</v>
      </c>
      <c r="J64" s="907">
        <f t="shared" si="16"/>
        <v>0</v>
      </c>
      <c r="M64" s="1578"/>
      <c r="N64" s="367" t="s">
        <v>368</v>
      </c>
      <c r="O64" s="365" t="s">
        <v>279</v>
      </c>
      <c r="P64" s="365" t="s">
        <v>320</v>
      </c>
      <c r="Q64" s="365">
        <v>1913626</v>
      </c>
      <c r="R64" s="365" t="s">
        <v>369</v>
      </c>
      <c r="S64" s="255" t="s">
        <v>582</v>
      </c>
      <c r="T64" s="269">
        <v>44347</v>
      </c>
      <c r="U64" s="375">
        <v>10000</v>
      </c>
      <c r="V64" s="255">
        <v>8</v>
      </c>
      <c r="W64" s="891">
        <v>-9</v>
      </c>
      <c r="X64" s="842">
        <f t="shared" si="0"/>
        <v>9.8149545762236379</v>
      </c>
      <c r="Y64" s="1226">
        <v>16</v>
      </c>
      <c r="Z64" s="270">
        <v>7900</v>
      </c>
      <c r="AA64" s="255">
        <v>140</v>
      </c>
      <c r="AB64" s="1210">
        <f>(0.34848*((753+754.6)/2)-0.009*((53.6+54.8)/2)*EXP(0.0612*((21.6+21.7)/2)))/(273.15+((21.6+21.7)/2))</f>
        <v>0.88483401182952626</v>
      </c>
      <c r="AC64" s="378" t="s">
        <v>370</v>
      </c>
    </row>
    <row r="65" spans="1:29" ht="30" customHeight="1" thickBot="1" x14ac:dyDescent="0.3">
      <c r="B65" s="355" t="s">
        <v>277</v>
      </c>
      <c r="C65" s="937">
        <f t="shared" si="11"/>
        <v>0</v>
      </c>
      <c r="D65" s="938">
        <f t="shared" si="12"/>
        <v>0</v>
      </c>
      <c r="E65" s="938">
        <f t="shared" si="13"/>
        <v>0</v>
      </c>
      <c r="F65" s="960" t="s">
        <v>277</v>
      </c>
      <c r="G65" s="932">
        <v>20</v>
      </c>
      <c r="H65" s="942">
        <f t="shared" si="14"/>
        <v>0</v>
      </c>
      <c r="I65" s="296">
        <f t="shared" si="15"/>
        <v>0</v>
      </c>
      <c r="J65" s="907">
        <f t="shared" si="16"/>
        <v>0</v>
      </c>
      <c r="M65" s="1579"/>
      <c r="N65" s="853" t="s">
        <v>371</v>
      </c>
      <c r="O65" s="854" t="s">
        <v>279</v>
      </c>
      <c r="P65" s="854" t="s">
        <v>320</v>
      </c>
      <c r="Q65" s="854">
        <v>1913622</v>
      </c>
      <c r="R65" s="854" t="s">
        <v>372</v>
      </c>
      <c r="S65" s="855" t="s">
        <v>583</v>
      </c>
      <c r="T65" s="856">
        <v>44355</v>
      </c>
      <c r="U65" s="375">
        <v>5000</v>
      </c>
      <c r="V65" s="855">
        <v>6.6</v>
      </c>
      <c r="W65" s="1223">
        <v>3</v>
      </c>
      <c r="X65" s="857">
        <f t="shared" si="0"/>
        <v>2.0784609690826525</v>
      </c>
      <c r="Y65" s="1227">
        <v>8</v>
      </c>
      <c r="Z65" s="858">
        <v>7900</v>
      </c>
      <c r="AA65" s="855">
        <v>140</v>
      </c>
      <c r="AB65" s="1208">
        <f>(0.34848*((753.8+754.4)/2)-0.009*((52.7+54)/2)*EXP(0.0612*((21.4+21.6)/2)))/(273.15+((21.4+21.6)/2))</f>
        <v>0.88579296619932124</v>
      </c>
      <c r="AC65" s="859" t="s">
        <v>373</v>
      </c>
    </row>
    <row r="66" spans="1:29" ht="30" customHeight="1" x14ac:dyDescent="0.25">
      <c r="B66" s="356" t="s">
        <v>282</v>
      </c>
      <c r="C66" s="937">
        <f t="shared" si="11"/>
        <v>0</v>
      </c>
      <c r="D66" s="938">
        <f t="shared" si="12"/>
        <v>0</v>
      </c>
      <c r="E66" s="938">
        <f t="shared" si="13"/>
        <v>0</v>
      </c>
      <c r="F66" s="960" t="s">
        <v>374</v>
      </c>
      <c r="G66" s="932">
        <v>20</v>
      </c>
      <c r="H66" s="942">
        <f t="shared" si="14"/>
        <v>0</v>
      </c>
      <c r="I66" s="296">
        <f t="shared" si="15"/>
        <v>0</v>
      </c>
      <c r="J66" s="907">
        <f t="shared" si="16"/>
        <v>0</v>
      </c>
      <c r="M66" s="1591"/>
      <c r="N66" s="579" t="s">
        <v>375</v>
      </c>
      <c r="O66" s="368" t="s">
        <v>279</v>
      </c>
      <c r="P66" s="368" t="s">
        <v>376</v>
      </c>
      <c r="Q66" s="368" t="s">
        <v>377</v>
      </c>
      <c r="R66" s="368" t="s">
        <v>349</v>
      </c>
      <c r="S66" s="248" t="s">
        <v>584</v>
      </c>
      <c r="T66" s="267">
        <v>44509</v>
      </c>
      <c r="U66" s="368">
        <v>1</v>
      </c>
      <c r="V66" s="248">
        <v>0.04</v>
      </c>
      <c r="W66" s="892">
        <v>0.04</v>
      </c>
      <c r="X66" s="841">
        <f t="shared" si="0"/>
        <v>0</v>
      </c>
      <c r="Y66" s="1200">
        <v>3.3000000000000002E-2</v>
      </c>
      <c r="Z66" s="268">
        <v>7950</v>
      </c>
      <c r="AA66" s="248">
        <v>140</v>
      </c>
      <c r="AB66" s="1213">
        <f>(0.34848*((750.6+754.1)/2)-0.009*((50.2+52.8)/2)*EXP(0.0612*((21.7+22.6)/2)))/(273.15+((21.7+22.6)/2))</f>
        <v>0.88175078498022075</v>
      </c>
      <c r="AC66" s="374" t="s">
        <v>378</v>
      </c>
    </row>
    <row r="67" spans="1:29" ht="30" customHeight="1" x14ac:dyDescent="0.25">
      <c r="B67" s="355" t="s">
        <v>285</v>
      </c>
      <c r="C67" s="937">
        <f t="shared" si="11"/>
        <v>0</v>
      </c>
      <c r="D67" s="938">
        <f t="shared" si="12"/>
        <v>0</v>
      </c>
      <c r="E67" s="938">
        <f t="shared" si="13"/>
        <v>0</v>
      </c>
      <c r="F67" s="960" t="s">
        <v>285</v>
      </c>
      <c r="G67" s="932">
        <v>50</v>
      </c>
      <c r="H67" s="942">
        <f t="shared" si="14"/>
        <v>0</v>
      </c>
      <c r="I67" s="296">
        <f t="shared" si="15"/>
        <v>0</v>
      </c>
      <c r="J67" s="907">
        <f t="shared" si="16"/>
        <v>0</v>
      </c>
      <c r="M67" s="1592"/>
      <c r="N67" s="499" t="s">
        <v>379</v>
      </c>
      <c r="O67" s="365" t="s">
        <v>279</v>
      </c>
      <c r="P67" s="365" t="s">
        <v>376</v>
      </c>
      <c r="Q67" s="365" t="s">
        <v>377</v>
      </c>
      <c r="R67" s="365" t="s">
        <v>349</v>
      </c>
      <c r="S67" s="255" t="s">
        <v>584</v>
      </c>
      <c r="T67" s="269">
        <v>44509</v>
      </c>
      <c r="U67" s="365">
        <v>2</v>
      </c>
      <c r="V67" s="255">
        <v>0.04</v>
      </c>
      <c r="W67" s="891">
        <v>0.03</v>
      </c>
      <c r="X67" s="842">
        <f t="shared" si="0"/>
        <v>5.7735026918962588E-3</v>
      </c>
      <c r="Y67" s="891">
        <v>0.04</v>
      </c>
      <c r="Z67" s="270">
        <v>7950</v>
      </c>
      <c r="AA67" s="255">
        <v>140</v>
      </c>
      <c r="AB67" s="1210">
        <f>(0.34848*((750.6+754.1)/2)-0.009*((50.2+52.8)/2)*EXP(0.0612*((21.7+22.6)/2)))/(273.15+((21.7+22.6)/2))</f>
        <v>0.88175078498022075</v>
      </c>
      <c r="AC67" s="378" t="s">
        <v>378</v>
      </c>
    </row>
    <row r="68" spans="1:29" ht="30" customHeight="1" x14ac:dyDescent="0.25">
      <c r="B68" s="355" t="s">
        <v>288</v>
      </c>
      <c r="C68" s="937">
        <f t="shared" si="11"/>
        <v>0</v>
      </c>
      <c r="D68" s="938">
        <f t="shared" si="12"/>
        <v>0</v>
      </c>
      <c r="E68" s="938">
        <f t="shared" si="13"/>
        <v>0</v>
      </c>
      <c r="F68" s="960" t="s">
        <v>380</v>
      </c>
      <c r="G68" s="932">
        <v>100</v>
      </c>
      <c r="H68" s="942">
        <f t="shared" si="14"/>
        <v>0</v>
      </c>
      <c r="I68" s="296">
        <f t="shared" si="15"/>
        <v>0</v>
      </c>
      <c r="J68" s="907">
        <f t="shared" si="16"/>
        <v>0</v>
      </c>
      <c r="M68" s="1592"/>
      <c r="N68" s="499" t="s">
        <v>381</v>
      </c>
      <c r="O68" s="365" t="s">
        <v>279</v>
      </c>
      <c r="P68" s="365" t="s">
        <v>376</v>
      </c>
      <c r="Q68" s="365" t="s">
        <v>377</v>
      </c>
      <c r="R68" s="365" t="s">
        <v>382</v>
      </c>
      <c r="S68" s="255" t="s">
        <v>584</v>
      </c>
      <c r="T68" s="269">
        <v>44509</v>
      </c>
      <c r="U68" s="365">
        <v>2</v>
      </c>
      <c r="V68" s="255">
        <v>0.05</v>
      </c>
      <c r="W68" s="891">
        <v>0.05</v>
      </c>
      <c r="X68" s="842">
        <f t="shared" si="0"/>
        <v>0</v>
      </c>
      <c r="Y68" s="891">
        <v>0.04</v>
      </c>
      <c r="Z68" s="270">
        <v>7950</v>
      </c>
      <c r="AA68" s="255">
        <v>140</v>
      </c>
      <c r="AB68" s="1210">
        <f t="shared" ref="AB68:AB81" si="17">(0.34848*((750.6+754.1)/2)-0.009*((50.2+52.8)/2)*EXP(0.0612*((21.7+22.6)/2)))/(273.15+((21.7+22.6)/2))</f>
        <v>0.88175078498022075</v>
      </c>
      <c r="AC68" s="378" t="s">
        <v>378</v>
      </c>
    </row>
    <row r="69" spans="1:29" ht="30" customHeight="1" x14ac:dyDescent="0.25">
      <c r="B69" s="355" t="s">
        <v>290</v>
      </c>
      <c r="C69" s="937">
        <f t="shared" si="11"/>
        <v>0</v>
      </c>
      <c r="D69" s="938">
        <f t="shared" si="12"/>
        <v>0</v>
      </c>
      <c r="E69" s="938">
        <f t="shared" si="13"/>
        <v>0</v>
      </c>
      <c r="F69" s="960" t="s">
        <v>383</v>
      </c>
      <c r="G69" s="932">
        <v>200</v>
      </c>
      <c r="H69" s="942">
        <f t="shared" si="14"/>
        <v>0</v>
      </c>
      <c r="I69" s="296">
        <f t="shared" si="15"/>
        <v>0</v>
      </c>
      <c r="J69" s="907">
        <f t="shared" si="16"/>
        <v>0</v>
      </c>
      <c r="M69" s="1592"/>
      <c r="N69" s="499" t="s">
        <v>384</v>
      </c>
      <c r="O69" s="365" t="s">
        <v>279</v>
      </c>
      <c r="P69" s="365" t="s">
        <v>376</v>
      </c>
      <c r="Q69" s="365" t="s">
        <v>377</v>
      </c>
      <c r="R69" s="365" t="s">
        <v>349</v>
      </c>
      <c r="S69" s="255" t="s">
        <v>584</v>
      </c>
      <c r="T69" s="269">
        <v>44509</v>
      </c>
      <c r="U69" s="365">
        <v>5</v>
      </c>
      <c r="V69" s="255">
        <v>7.0000000000000007E-2</v>
      </c>
      <c r="W69" s="891">
        <v>7.0000000000000007E-2</v>
      </c>
      <c r="X69" s="842">
        <f t="shared" si="0"/>
        <v>0</v>
      </c>
      <c r="Y69" s="1202">
        <v>5.2999999999999999E-2</v>
      </c>
      <c r="Z69" s="270">
        <v>7840</v>
      </c>
      <c r="AA69" s="255">
        <v>140</v>
      </c>
      <c r="AB69" s="1210">
        <f t="shared" si="17"/>
        <v>0.88175078498022075</v>
      </c>
      <c r="AC69" s="378" t="s">
        <v>378</v>
      </c>
    </row>
    <row r="70" spans="1:29" ht="30" customHeight="1" x14ac:dyDescent="0.25">
      <c r="B70" s="356" t="s">
        <v>293</v>
      </c>
      <c r="C70" s="937">
        <f t="shared" si="11"/>
        <v>0</v>
      </c>
      <c r="D70" s="938">
        <f t="shared" si="12"/>
        <v>0</v>
      </c>
      <c r="E70" s="938">
        <f t="shared" si="13"/>
        <v>0</v>
      </c>
      <c r="F70" s="960" t="s">
        <v>385</v>
      </c>
      <c r="G70" s="932">
        <v>200</v>
      </c>
      <c r="H70" s="942">
        <f t="shared" si="14"/>
        <v>0</v>
      </c>
      <c r="I70" s="296">
        <f t="shared" si="15"/>
        <v>0</v>
      </c>
      <c r="J70" s="907">
        <f t="shared" si="16"/>
        <v>0</v>
      </c>
      <c r="M70" s="1592"/>
      <c r="N70" s="499" t="s">
        <v>386</v>
      </c>
      <c r="O70" s="365" t="s">
        <v>279</v>
      </c>
      <c r="P70" s="365" t="s">
        <v>376</v>
      </c>
      <c r="Q70" s="365" t="s">
        <v>377</v>
      </c>
      <c r="R70" s="365" t="s">
        <v>349</v>
      </c>
      <c r="S70" s="255" t="s">
        <v>584</v>
      </c>
      <c r="T70" s="269">
        <v>44509</v>
      </c>
      <c r="U70" s="365">
        <v>10</v>
      </c>
      <c r="V70" s="255">
        <v>0.09</v>
      </c>
      <c r="W70" s="891">
        <v>0.08</v>
      </c>
      <c r="X70" s="842">
        <f t="shared" si="0"/>
        <v>5.7735026918962554E-3</v>
      </c>
      <c r="Y70" s="891">
        <v>0.06</v>
      </c>
      <c r="Z70" s="270">
        <v>7840</v>
      </c>
      <c r="AA70" s="255">
        <v>140</v>
      </c>
      <c r="AB70" s="1210">
        <f t="shared" si="17"/>
        <v>0.88175078498022075</v>
      </c>
      <c r="AC70" s="378" t="s">
        <v>378</v>
      </c>
    </row>
    <row r="71" spans="1:29" ht="30" customHeight="1" x14ac:dyDescent="0.25">
      <c r="B71" s="355" t="s">
        <v>295</v>
      </c>
      <c r="C71" s="937">
        <f t="shared" si="11"/>
        <v>0</v>
      </c>
      <c r="D71" s="938">
        <f t="shared" si="12"/>
        <v>0</v>
      </c>
      <c r="E71" s="938">
        <f t="shared" si="13"/>
        <v>0</v>
      </c>
      <c r="F71" s="960" t="s">
        <v>387</v>
      </c>
      <c r="G71" s="932">
        <v>500</v>
      </c>
      <c r="H71" s="942">
        <f t="shared" si="14"/>
        <v>0</v>
      </c>
      <c r="I71" s="296">
        <f t="shared" si="15"/>
        <v>0</v>
      </c>
      <c r="J71" s="907">
        <f t="shared" si="16"/>
        <v>0</v>
      </c>
      <c r="M71" s="1592"/>
      <c r="N71" s="499" t="s">
        <v>388</v>
      </c>
      <c r="O71" s="365" t="s">
        <v>279</v>
      </c>
      <c r="P71" s="365" t="s">
        <v>376</v>
      </c>
      <c r="Q71" s="365" t="s">
        <v>377</v>
      </c>
      <c r="R71" s="365" t="s">
        <v>349</v>
      </c>
      <c r="S71" s="255" t="s">
        <v>584</v>
      </c>
      <c r="T71" s="269">
        <v>44509</v>
      </c>
      <c r="U71" s="365">
        <v>20</v>
      </c>
      <c r="V71" s="255">
        <v>0.11</v>
      </c>
      <c r="W71" s="891">
        <v>0.11</v>
      </c>
      <c r="X71" s="842">
        <f t="shared" si="0"/>
        <v>0</v>
      </c>
      <c r="Y71" s="1202">
        <v>8.3000000000000004E-2</v>
      </c>
      <c r="Z71" s="270">
        <v>7840</v>
      </c>
      <c r="AA71" s="255">
        <v>140</v>
      </c>
      <c r="AB71" s="1210">
        <f t="shared" si="17"/>
        <v>0.88175078498022075</v>
      </c>
      <c r="AC71" s="378" t="s">
        <v>378</v>
      </c>
    </row>
    <row r="72" spans="1:29" ht="30" customHeight="1" x14ac:dyDescent="0.25">
      <c r="B72" s="357" t="s">
        <v>297</v>
      </c>
      <c r="C72" s="937">
        <f t="shared" si="11"/>
        <v>0</v>
      </c>
      <c r="D72" s="938">
        <f t="shared" si="12"/>
        <v>0</v>
      </c>
      <c r="E72" s="938">
        <f t="shared" si="13"/>
        <v>0</v>
      </c>
      <c r="F72" s="960" t="s">
        <v>389</v>
      </c>
      <c r="G72" s="932">
        <v>1000</v>
      </c>
      <c r="H72" s="942">
        <f t="shared" si="14"/>
        <v>0</v>
      </c>
      <c r="I72" s="296">
        <f t="shared" si="15"/>
        <v>0</v>
      </c>
      <c r="J72" s="907">
        <f t="shared" si="16"/>
        <v>0</v>
      </c>
      <c r="M72" s="1592"/>
      <c r="N72" s="367" t="s">
        <v>390</v>
      </c>
      <c r="O72" s="365" t="s">
        <v>279</v>
      </c>
      <c r="P72" s="365" t="s">
        <v>376</v>
      </c>
      <c r="Q72" s="365" t="s">
        <v>377</v>
      </c>
      <c r="R72" s="365" t="s">
        <v>382</v>
      </c>
      <c r="S72" s="255" t="s">
        <v>584</v>
      </c>
      <c r="T72" s="269">
        <v>44509</v>
      </c>
      <c r="U72" s="365">
        <v>20</v>
      </c>
      <c r="V72" s="271">
        <v>0.1</v>
      </c>
      <c r="W72" s="1202">
        <v>0.1</v>
      </c>
      <c r="X72" s="842">
        <f t="shared" si="0"/>
        <v>0</v>
      </c>
      <c r="Y72" s="1202">
        <v>8.3000000000000004E-2</v>
      </c>
      <c r="Z72" s="270">
        <v>7840</v>
      </c>
      <c r="AA72" s="255">
        <v>140</v>
      </c>
      <c r="AB72" s="1210">
        <f t="shared" si="17"/>
        <v>0.88175078498022075</v>
      </c>
      <c r="AC72" s="378" t="s">
        <v>378</v>
      </c>
    </row>
    <row r="73" spans="1:29" ht="30" customHeight="1" x14ac:dyDescent="0.25">
      <c r="B73" s="358" t="s">
        <v>299</v>
      </c>
      <c r="C73" s="937">
        <f t="shared" si="11"/>
        <v>0</v>
      </c>
      <c r="D73" s="938">
        <f t="shared" si="12"/>
        <v>0</v>
      </c>
      <c r="E73" s="938">
        <f t="shared" si="13"/>
        <v>0</v>
      </c>
      <c r="F73" s="960" t="s">
        <v>391</v>
      </c>
      <c r="G73" s="932">
        <v>2000</v>
      </c>
      <c r="H73" s="942">
        <f t="shared" si="14"/>
        <v>0</v>
      </c>
      <c r="I73" s="296">
        <f t="shared" si="15"/>
        <v>0</v>
      </c>
      <c r="J73" s="907">
        <f t="shared" si="16"/>
        <v>0</v>
      </c>
      <c r="M73" s="1592"/>
      <c r="N73" s="499" t="s">
        <v>392</v>
      </c>
      <c r="O73" s="365" t="s">
        <v>279</v>
      </c>
      <c r="P73" s="365" t="s">
        <v>376</v>
      </c>
      <c r="Q73" s="365" t="s">
        <v>377</v>
      </c>
      <c r="R73" s="365" t="s">
        <v>349</v>
      </c>
      <c r="S73" s="255" t="s">
        <v>584</v>
      </c>
      <c r="T73" s="269">
        <v>44509</v>
      </c>
      <c r="U73" s="365">
        <v>50</v>
      </c>
      <c r="V73" s="271">
        <v>0.1</v>
      </c>
      <c r="W73" s="891">
        <v>0.08</v>
      </c>
      <c r="X73" s="842">
        <f t="shared" ref="X73:X105" si="18">ABS((W73-V73))/SQRT(3)</f>
        <v>1.1547005383792518E-2</v>
      </c>
      <c r="Y73" s="1202">
        <v>0.1</v>
      </c>
      <c r="Z73" s="270">
        <v>7840</v>
      </c>
      <c r="AA73" s="255">
        <v>140</v>
      </c>
      <c r="AB73" s="1210">
        <f t="shared" si="17"/>
        <v>0.88175078498022075</v>
      </c>
      <c r="AC73" s="378" t="s">
        <v>378</v>
      </c>
    </row>
    <row r="74" spans="1:29" ht="30" customHeight="1" x14ac:dyDescent="0.25">
      <c r="B74" s="359" t="s">
        <v>302</v>
      </c>
      <c r="C74" s="937">
        <f t="shared" si="11"/>
        <v>0</v>
      </c>
      <c r="D74" s="938">
        <f t="shared" si="12"/>
        <v>0</v>
      </c>
      <c r="E74" s="938">
        <f t="shared" si="13"/>
        <v>0</v>
      </c>
      <c r="F74" s="960" t="s">
        <v>393</v>
      </c>
      <c r="G74" s="932">
        <v>2000</v>
      </c>
      <c r="H74" s="942">
        <f t="shared" si="14"/>
        <v>0</v>
      </c>
      <c r="I74" s="296">
        <f t="shared" si="15"/>
        <v>0</v>
      </c>
      <c r="J74" s="907">
        <f t="shared" si="16"/>
        <v>0</v>
      </c>
      <c r="M74" s="1592"/>
      <c r="N74" s="499" t="s">
        <v>394</v>
      </c>
      <c r="O74" s="365" t="s">
        <v>279</v>
      </c>
      <c r="P74" s="365" t="s">
        <v>376</v>
      </c>
      <c r="Q74" s="365" t="s">
        <v>377</v>
      </c>
      <c r="R74" s="365" t="s">
        <v>349</v>
      </c>
      <c r="S74" s="255" t="s">
        <v>584</v>
      </c>
      <c r="T74" s="269">
        <v>44509</v>
      </c>
      <c r="U74" s="365">
        <v>100</v>
      </c>
      <c r="V74" s="255">
        <v>0.12</v>
      </c>
      <c r="W74" s="891">
        <v>0.11</v>
      </c>
      <c r="X74" s="842">
        <f t="shared" si="18"/>
        <v>5.7735026918962554E-3</v>
      </c>
      <c r="Y74" s="891">
        <v>0.16</v>
      </c>
      <c r="Z74" s="270">
        <v>7840</v>
      </c>
      <c r="AA74" s="255">
        <v>140</v>
      </c>
      <c r="AB74" s="1210">
        <f t="shared" si="17"/>
        <v>0.88175078498022075</v>
      </c>
      <c r="AC74" s="378" t="s">
        <v>378</v>
      </c>
    </row>
    <row r="75" spans="1:29" ht="30" customHeight="1" x14ac:dyDescent="0.25">
      <c r="B75" s="360" t="s">
        <v>304</v>
      </c>
      <c r="C75" s="937">
        <f t="shared" si="11"/>
        <v>0</v>
      </c>
      <c r="D75" s="938">
        <f t="shared" si="12"/>
        <v>0</v>
      </c>
      <c r="E75" s="938">
        <f t="shared" si="13"/>
        <v>0</v>
      </c>
      <c r="F75" s="960" t="s">
        <v>395</v>
      </c>
      <c r="G75" s="932">
        <v>5000</v>
      </c>
      <c r="H75" s="942">
        <f t="shared" si="14"/>
        <v>0</v>
      </c>
      <c r="I75" s="296">
        <f t="shared" si="15"/>
        <v>0</v>
      </c>
      <c r="J75" s="907">
        <f t="shared" si="16"/>
        <v>0</v>
      </c>
      <c r="M75" s="1592"/>
      <c r="N75" s="499" t="s">
        <v>396</v>
      </c>
      <c r="O75" s="365" t="s">
        <v>279</v>
      </c>
      <c r="P75" s="365" t="s">
        <v>376</v>
      </c>
      <c r="Q75" s="365" t="s">
        <v>377</v>
      </c>
      <c r="R75" s="365" t="s">
        <v>349</v>
      </c>
      <c r="S75" s="255" t="s">
        <v>584</v>
      </c>
      <c r="T75" s="269">
        <v>44509</v>
      </c>
      <c r="U75" s="365">
        <v>200</v>
      </c>
      <c r="V75" s="255">
        <v>0.3</v>
      </c>
      <c r="W75" s="891">
        <v>0.3</v>
      </c>
      <c r="X75" s="842">
        <f t="shared" si="18"/>
        <v>0</v>
      </c>
      <c r="Y75" s="891">
        <v>0.33</v>
      </c>
      <c r="Z75" s="270">
        <v>7840</v>
      </c>
      <c r="AA75" s="255">
        <v>140</v>
      </c>
      <c r="AB75" s="1210">
        <f t="shared" si="17"/>
        <v>0.88175078498022075</v>
      </c>
      <c r="AC75" s="378" t="s">
        <v>378</v>
      </c>
    </row>
    <row r="76" spans="1:29" ht="30" customHeight="1" x14ac:dyDescent="0.25">
      <c r="B76" s="361" t="s">
        <v>306</v>
      </c>
      <c r="C76" s="937">
        <f t="shared" si="11"/>
        <v>0</v>
      </c>
      <c r="D76" s="938">
        <f t="shared" si="12"/>
        <v>0</v>
      </c>
      <c r="E76" s="938">
        <f t="shared" si="13"/>
        <v>0</v>
      </c>
      <c r="F76" s="960" t="s">
        <v>397</v>
      </c>
      <c r="G76" s="932">
        <v>10000</v>
      </c>
      <c r="H76" s="942">
        <f t="shared" si="14"/>
        <v>0</v>
      </c>
      <c r="I76" s="296">
        <f t="shared" si="15"/>
        <v>0</v>
      </c>
      <c r="J76" s="907">
        <f t="shared" si="16"/>
        <v>0</v>
      </c>
      <c r="M76" s="1592"/>
      <c r="N76" s="367" t="s">
        <v>398</v>
      </c>
      <c r="O76" s="365" t="s">
        <v>279</v>
      </c>
      <c r="P76" s="365" t="s">
        <v>376</v>
      </c>
      <c r="Q76" s="365" t="s">
        <v>377</v>
      </c>
      <c r="R76" s="365" t="s">
        <v>382</v>
      </c>
      <c r="S76" s="255" t="s">
        <v>584</v>
      </c>
      <c r="T76" s="269">
        <v>44509</v>
      </c>
      <c r="U76" s="365">
        <v>200</v>
      </c>
      <c r="V76" s="255">
        <v>0.4</v>
      </c>
      <c r="W76" s="891">
        <v>0.3</v>
      </c>
      <c r="X76" s="842">
        <f t="shared" si="18"/>
        <v>5.7735026918962602E-2</v>
      </c>
      <c r="Y76" s="891">
        <v>0.33</v>
      </c>
      <c r="Z76" s="270">
        <v>7840</v>
      </c>
      <c r="AA76" s="255">
        <v>140</v>
      </c>
      <c r="AB76" s="1210">
        <f t="shared" si="17"/>
        <v>0.88175078498022075</v>
      </c>
      <c r="AC76" s="378" t="s">
        <v>378</v>
      </c>
    </row>
    <row r="77" spans="1:29" ht="30" customHeight="1" x14ac:dyDescent="0.25">
      <c r="A77" s="414"/>
      <c r="B77" s="362" t="s">
        <v>308</v>
      </c>
      <c r="C77" s="937">
        <f t="shared" si="11"/>
        <v>0</v>
      </c>
      <c r="D77" s="938">
        <f t="shared" si="12"/>
        <v>0</v>
      </c>
      <c r="E77" s="938">
        <f t="shared" si="13"/>
        <v>0</v>
      </c>
      <c r="F77" s="960" t="s">
        <v>562</v>
      </c>
      <c r="G77" s="932">
        <v>5000</v>
      </c>
      <c r="H77" s="942">
        <f t="shared" si="14"/>
        <v>0</v>
      </c>
      <c r="I77" s="296">
        <f t="shared" si="15"/>
        <v>0</v>
      </c>
      <c r="J77" s="907">
        <f t="shared" si="16"/>
        <v>0</v>
      </c>
      <c r="M77" s="1592"/>
      <c r="N77" s="499" t="s">
        <v>399</v>
      </c>
      <c r="O77" s="365" t="s">
        <v>279</v>
      </c>
      <c r="P77" s="365" t="s">
        <v>376</v>
      </c>
      <c r="Q77" s="365" t="s">
        <v>377</v>
      </c>
      <c r="R77" s="365" t="s">
        <v>349</v>
      </c>
      <c r="S77" s="255" t="s">
        <v>584</v>
      </c>
      <c r="T77" s="269">
        <v>44509</v>
      </c>
      <c r="U77" s="365">
        <v>500</v>
      </c>
      <c r="V77" s="255">
        <v>0.9</v>
      </c>
      <c r="W77" s="891">
        <v>0.8</v>
      </c>
      <c r="X77" s="842">
        <f t="shared" si="18"/>
        <v>5.7735026918962568E-2</v>
      </c>
      <c r="Y77" s="891">
        <v>0.83</v>
      </c>
      <c r="Z77" s="270">
        <v>7840</v>
      </c>
      <c r="AA77" s="255">
        <v>140</v>
      </c>
      <c r="AB77" s="1210">
        <f t="shared" si="17"/>
        <v>0.88175078498022075</v>
      </c>
      <c r="AC77" s="378" t="s">
        <v>378</v>
      </c>
    </row>
    <row r="78" spans="1:29" ht="30" customHeight="1" x14ac:dyDescent="0.25">
      <c r="B78" s="363" t="s">
        <v>311</v>
      </c>
      <c r="C78" s="937">
        <f t="shared" si="11"/>
        <v>0</v>
      </c>
      <c r="D78" s="938">
        <f t="shared" si="12"/>
        <v>0</v>
      </c>
      <c r="E78" s="938">
        <f t="shared" si="13"/>
        <v>0</v>
      </c>
      <c r="F78" s="960" t="s">
        <v>563</v>
      </c>
      <c r="G78" s="932">
        <v>10000</v>
      </c>
      <c r="H78" s="942">
        <f t="shared" si="14"/>
        <v>0</v>
      </c>
      <c r="I78" s="296">
        <f t="shared" si="15"/>
        <v>0</v>
      </c>
      <c r="J78" s="907">
        <f t="shared" si="16"/>
        <v>0</v>
      </c>
      <c r="M78" s="1592"/>
      <c r="N78" s="499" t="s">
        <v>400</v>
      </c>
      <c r="O78" s="365" t="s">
        <v>279</v>
      </c>
      <c r="P78" s="365" t="s">
        <v>376</v>
      </c>
      <c r="Q78" s="365" t="s">
        <v>377</v>
      </c>
      <c r="R78" s="365" t="s">
        <v>349</v>
      </c>
      <c r="S78" s="255" t="s">
        <v>584</v>
      </c>
      <c r="T78" s="269">
        <v>44509</v>
      </c>
      <c r="U78" s="365">
        <v>1000</v>
      </c>
      <c r="V78" s="255">
        <v>-0.5</v>
      </c>
      <c r="W78" s="891">
        <v>-0.6</v>
      </c>
      <c r="X78" s="842">
        <f t="shared" si="18"/>
        <v>5.7735026918962568E-2</v>
      </c>
      <c r="Y78" s="891">
        <v>1.6</v>
      </c>
      <c r="Z78" s="270">
        <v>7840</v>
      </c>
      <c r="AA78" s="255">
        <v>140</v>
      </c>
      <c r="AB78" s="1210">
        <f t="shared" si="17"/>
        <v>0.88175078498022075</v>
      </c>
      <c r="AC78" s="378" t="s">
        <v>378</v>
      </c>
    </row>
    <row r="79" spans="1:29" ht="30" customHeight="1" thickBot="1" x14ac:dyDescent="0.3">
      <c r="B79" s="364" t="s">
        <v>313</v>
      </c>
      <c r="C79" s="939">
        <f t="shared" si="11"/>
        <v>0</v>
      </c>
      <c r="D79" s="940">
        <f t="shared" si="12"/>
        <v>0</v>
      </c>
      <c r="E79" s="940">
        <f t="shared" si="13"/>
        <v>0</v>
      </c>
      <c r="F79" s="961" t="s">
        <v>564</v>
      </c>
      <c r="G79" s="934">
        <v>20000</v>
      </c>
      <c r="H79" s="943">
        <f t="shared" si="14"/>
        <v>0</v>
      </c>
      <c r="I79" s="944">
        <f t="shared" si="15"/>
        <v>0</v>
      </c>
      <c r="J79" s="910">
        <f t="shared" si="16"/>
        <v>0</v>
      </c>
      <c r="M79" s="1592"/>
      <c r="N79" s="499" t="s">
        <v>401</v>
      </c>
      <c r="O79" s="365" t="s">
        <v>279</v>
      </c>
      <c r="P79" s="365" t="s">
        <v>376</v>
      </c>
      <c r="Q79" s="365" t="s">
        <v>377</v>
      </c>
      <c r="R79" s="365" t="s">
        <v>349</v>
      </c>
      <c r="S79" s="255" t="s">
        <v>584</v>
      </c>
      <c r="T79" s="269">
        <v>44509</v>
      </c>
      <c r="U79" s="365">
        <v>2000</v>
      </c>
      <c r="V79" s="255">
        <v>3.1</v>
      </c>
      <c r="W79" s="891">
        <v>3.1</v>
      </c>
      <c r="X79" s="842">
        <f t="shared" si="18"/>
        <v>0</v>
      </c>
      <c r="Y79" s="1221">
        <v>3</v>
      </c>
      <c r="Z79" s="270">
        <v>7840</v>
      </c>
      <c r="AA79" s="255">
        <v>140</v>
      </c>
      <c r="AB79" s="1210">
        <f t="shared" si="17"/>
        <v>0.88175078498022075</v>
      </c>
      <c r="AC79" s="378" t="s">
        <v>378</v>
      </c>
    </row>
    <row r="80" spans="1:29" ht="72.75" customHeight="1" thickBot="1" x14ac:dyDescent="0.3">
      <c r="B80" s="349" t="s">
        <v>164</v>
      </c>
      <c r="C80" s="297">
        <f>COUNTA(F48:F79)</f>
        <v>32</v>
      </c>
      <c r="F80" s="1235"/>
      <c r="M80" s="1592"/>
      <c r="N80" s="367" t="s">
        <v>402</v>
      </c>
      <c r="O80" s="365" t="s">
        <v>279</v>
      </c>
      <c r="P80" s="365" t="s">
        <v>376</v>
      </c>
      <c r="Q80" s="365" t="s">
        <v>377</v>
      </c>
      <c r="R80" s="365" t="s">
        <v>382</v>
      </c>
      <c r="S80" s="255" t="s">
        <v>584</v>
      </c>
      <c r="T80" s="269">
        <v>44509</v>
      </c>
      <c r="U80" s="365">
        <v>2000</v>
      </c>
      <c r="V80" s="255">
        <v>3.2</v>
      </c>
      <c r="W80" s="891">
        <v>3.2</v>
      </c>
      <c r="X80" s="842">
        <f t="shared" si="18"/>
        <v>0</v>
      </c>
      <c r="Y80" s="1221">
        <v>3</v>
      </c>
      <c r="Z80" s="270">
        <v>7840</v>
      </c>
      <c r="AA80" s="255">
        <v>140</v>
      </c>
      <c r="AB80" s="1210">
        <f t="shared" si="17"/>
        <v>0.88175078498022075</v>
      </c>
      <c r="AC80" s="378" t="s">
        <v>378</v>
      </c>
    </row>
    <row r="81" spans="2:29" ht="30" customHeight="1" thickBot="1" x14ac:dyDescent="0.3">
      <c r="M81" s="1593"/>
      <c r="N81" s="500" t="s">
        <v>403</v>
      </c>
      <c r="O81" s="372" t="s">
        <v>279</v>
      </c>
      <c r="P81" s="372" t="s">
        <v>376</v>
      </c>
      <c r="Q81" s="372" t="s">
        <v>377</v>
      </c>
      <c r="R81" s="372" t="s">
        <v>349</v>
      </c>
      <c r="S81" s="327" t="s">
        <v>584</v>
      </c>
      <c r="T81" s="503">
        <v>44509</v>
      </c>
      <c r="U81" s="372">
        <v>5000</v>
      </c>
      <c r="V81" s="327">
        <v>7.9</v>
      </c>
      <c r="W81" s="890">
        <v>7.8</v>
      </c>
      <c r="X81" s="843">
        <f t="shared" si="18"/>
        <v>5.7735026918962887E-2</v>
      </c>
      <c r="Y81" s="1222">
        <v>8</v>
      </c>
      <c r="Z81" s="327">
        <v>7840</v>
      </c>
      <c r="AA81" s="327">
        <v>140</v>
      </c>
      <c r="AB81" s="1211">
        <f t="shared" si="17"/>
        <v>0.88175078498022075</v>
      </c>
      <c r="AC81" s="373" t="s">
        <v>378</v>
      </c>
    </row>
    <row r="82" spans="2:29" ht="30" customHeight="1" x14ac:dyDescent="0.25">
      <c r="M82" s="1582"/>
      <c r="N82" s="366" t="s">
        <v>404</v>
      </c>
      <c r="O82" s="368" t="s">
        <v>279</v>
      </c>
      <c r="P82" s="368" t="s">
        <v>280</v>
      </c>
      <c r="Q82" s="368">
        <v>11119515</v>
      </c>
      <c r="R82" s="368" t="s">
        <v>349</v>
      </c>
      <c r="S82" s="248" t="s">
        <v>575</v>
      </c>
      <c r="T82" s="267">
        <v>44559</v>
      </c>
      <c r="U82" s="368">
        <v>1</v>
      </c>
      <c r="V82" s="248">
        <v>5.0000000000000001E-3</v>
      </c>
      <c r="W82" s="892">
        <v>5.0000000000000001E-3</v>
      </c>
      <c r="X82" s="841">
        <f t="shared" si="18"/>
        <v>0</v>
      </c>
      <c r="Y82" s="1228">
        <v>6.0000000000000001E-3</v>
      </c>
      <c r="Z82" s="272">
        <v>7950</v>
      </c>
      <c r="AA82" s="248">
        <v>140</v>
      </c>
      <c r="AB82" s="1209">
        <f t="shared" ref="AB82:AB93" si="19">(0.34848*((750.7+753.7)/2)-0.009*((50.2+54.2)/2)*EXP(0.0612*((21.9+23.1)/2)))/(273.15+((21.9+23.1)/2))</f>
        <v>0.88031402349675059</v>
      </c>
      <c r="AC82" s="374" t="s">
        <v>287</v>
      </c>
    </row>
    <row r="83" spans="2:29" ht="30" customHeight="1" x14ac:dyDescent="0.25">
      <c r="M83" s="1583"/>
      <c r="N83" s="367" t="s">
        <v>405</v>
      </c>
      <c r="O83" s="365" t="s">
        <v>279</v>
      </c>
      <c r="P83" s="365" t="s">
        <v>280</v>
      </c>
      <c r="Q83" s="365">
        <v>11119515</v>
      </c>
      <c r="R83" s="365" t="s">
        <v>349</v>
      </c>
      <c r="S83" s="255" t="s">
        <v>575</v>
      </c>
      <c r="T83" s="269">
        <v>44559</v>
      </c>
      <c r="U83" s="365">
        <v>2</v>
      </c>
      <c r="V83" s="255">
        <v>7.0000000000000001E-3</v>
      </c>
      <c r="W83" s="891">
        <v>7.0000000000000001E-3</v>
      </c>
      <c r="X83" s="842">
        <f t="shared" si="18"/>
        <v>0</v>
      </c>
      <c r="Y83" s="1224">
        <v>6.0000000000000001E-3</v>
      </c>
      <c r="Z83" s="263">
        <v>7950</v>
      </c>
      <c r="AA83" s="255">
        <v>140</v>
      </c>
      <c r="AB83" s="1210">
        <f t="shared" si="19"/>
        <v>0.88031402349675059</v>
      </c>
      <c r="AC83" s="378" t="s">
        <v>287</v>
      </c>
    </row>
    <row r="84" spans="2:29" ht="30" customHeight="1" x14ac:dyDescent="0.25">
      <c r="M84" s="1583"/>
      <c r="N84" s="367" t="s">
        <v>406</v>
      </c>
      <c r="O84" s="365" t="s">
        <v>279</v>
      </c>
      <c r="P84" s="365" t="s">
        <v>280</v>
      </c>
      <c r="Q84" s="365">
        <v>11119515</v>
      </c>
      <c r="R84" s="365" t="s">
        <v>407</v>
      </c>
      <c r="S84" s="255" t="s">
        <v>575</v>
      </c>
      <c r="T84" s="269">
        <v>44559</v>
      </c>
      <c r="U84" s="365">
        <v>2</v>
      </c>
      <c r="V84" s="255">
        <v>6.0000000000000001E-3</v>
      </c>
      <c r="W84" s="891">
        <v>6.0000000000000001E-3</v>
      </c>
      <c r="X84" s="842">
        <f t="shared" si="18"/>
        <v>0</v>
      </c>
      <c r="Y84" s="1224">
        <v>6.0000000000000001E-3</v>
      </c>
      <c r="Z84" s="263">
        <v>7950</v>
      </c>
      <c r="AA84" s="255">
        <v>140</v>
      </c>
      <c r="AB84" s="1210">
        <f t="shared" si="19"/>
        <v>0.88031402349675059</v>
      </c>
      <c r="AC84" s="378" t="s">
        <v>287</v>
      </c>
    </row>
    <row r="85" spans="2:29" ht="30" customHeight="1" x14ac:dyDescent="0.25">
      <c r="M85" s="1583"/>
      <c r="N85" s="367" t="s">
        <v>408</v>
      </c>
      <c r="O85" s="365" t="s">
        <v>279</v>
      </c>
      <c r="P85" s="365" t="s">
        <v>280</v>
      </c>
      <c r="Q85" s="365">
        <v>11119515</v>
      </c>
      <c r="R85" s="365" t="s">
        <v>349</v>
      </c>
      <c r="S85" s="255" t="s">
        <v>575</v>
      </c>
      <c r="T85" s="269">
        <v>44559</v>
      </c>
      <c r="U85" s="365">
        <v>5</v>
      </c>
      <c r="V85" s="255">
        <v>3.0000000000000001E-3</v>
      </c>
      <c r="W85" s="891">
        <v>3.0000000000000001E-3</v>
      </c>
      <c r="X85" s="842">
        <f t="shared" si="18"/>
        <v>0</v>
      </c>
      <c r="Y85" s="1224">
        <v>6.0000000000000001E-3</v>
      </c>
      <c r="Z85" s="263">
        <v>7950</v>
      </c>
      <c r="AA85" s="255">
        <v>140</v>
      </c>
      <c r="AB85" s="1210">
        <f t="shared" si="19"/>
        <v>0.88031402349675059</v>
      </c>
      <c r="AC85" s="378" t="s">
        <v>287</v>
      </c>
    </row>
    <row r="86" spans="2:29" ht="30" customHeight="1" x14ac:dyDescent="0.25">
      <c r="M86" s="1583"/>
      <c r="N86" s="367" t="s">
        <v>409</v>
      </c>
      <c r="O86" s="365" t="s">
        <v>279</v>
      </c>
      <c r="P86" s="365" t="s">
        <v>280</v>
      </c>
      <c r="Q86" s="365">
        <v>11119515</v>
      </c>
      <c r="R86" s="365" t="s">
        <v>349</v>
      </c>
      <c r="S86" s="255" t="s">
        <v>575</v>
      </c>
      <c r="T86" s="269">
        <v>44559</v>
      </c>
      <c r="U86" s="365">
        <v>10</v>
      </c>
      <c r="V86" s="255">
        <v>4.0000000000000001E-3</v>
      </c>
      <c r="W86" s="891">
        <v>4.0000000000000001E-3</v>
      </c>
      <c r="X86" s="842">
        <f t="shared" si="18"/>
        <v>0</v>
      </c>
      <c r="Y86" s="1224">
        <v>8.0000000000000002E-3</v>
      </c>
      <c r="Z86" s="263">
        <v>7950</v>
      </c>
      <c r="AA86" s="255">
        <v>140</v>
      </c>
      <c r="AB86" s="1210">
        <f t="shared" si="19"/>
        <v>0.88031402349675059</v>
      </c>
      <c r="AC86" s="378" t="s">
        <v>287</v>
      </c>
    </row>
    <row r="87" spans="2:29" ht="30" customHeight="1" thickBot="1" x14ac:dyDescent="0.3">
      <c r="M87" s="1583"/>
      <c r="N87" s="367" t="s">
        <v>410</v>
      </c>
      <c r="O87" s="365" t="s">
        <v>279</v>
      </c>
      <c r="P87" s="365" t="s">
        <v>280</v>
      </c>
      <c r="Q87" s="365">
        <v>11119515</v>
      </c>
      <c r="R87" s="365" t="s">
        <v>349</v>
      </c>
      <c r="S87" s="255" t="s">
        <v>575</v>
      </c>
      <c r="T87" s="269">
        <v>44559</v>
      </c>
      <c r="U87" s="365">
        <v>20</v>
      </c>
      <c r="V87" s="255">
        <v>8.9999999999999993E-3</v>
      </c>
      <c r="W87" s="891">
        <v>8.9999999999999993E-3</v>
      </c>
      <c r="X87" s="842">
        <f t="shared" si="18"/>
        <v>0</v>
      </c>
      <c r="Y87" s="1224">
        <v>0.01</v>
      </c>
      <c r="Z87" s="263">
        <v>7950</v>
      </c>
      <c r="AA87" s="255">
        <v>140</v>
      </c>
      <c r="AB87" s="1210">
        <f t="shared" si="19"/>
        <v>0.88031402349675059</v>
      </c>
      <c r="AC87" s="378" t="s">
        <v>287</v>
      </c>
    </row>
    <row r="88" spans="2:29" ht="30" customHeight="1" x14ac:dyDescent="0.25">
      <c r="B88" s="1606" t="s">
        <v>411</v>
      </c>
      <c r="C88" s="1607"/>
      <c r="D88" s="1608"/>
      <c r="E88" s="1606" t="s">
        <v>411</v>
      </c>
      <c r="F88" s="1607"/>
      <c r="G88" s="1608"/>
      <c r="M88" s="1583"/>
      <c r="N88" s="367" t="s">
        <v>412</v>
      </c>
      <c r="O88" s="365" t="s">
        <v>279</v>
      </c>
      <c r="P88" s="365" t="s">
        <v>280</v>
      </c>
      <c r="Q88" s="365">
        <v>11119515</v>
      </c>
      <c r="R88" s="365" t="s">
        <v>407</v>
      </c>
      <c r="S88" s="255" t="s">
        <v>575</v>
      </c>
      <c r="T88" s="269">
        <v>44559</v>
      </c>
      <c r="U88" s="365">
        <v>20</v>
      </c>
      <c r="V88" s="255">
        <v>8.9999999999999993E-3</v>
      </c>
      <c r="W88" s="891">
        <v>8.9999999999999993E-3</v>
      </c>
      <c r="X88" s="842">
        <f t="shared" si="18"/>
        <v>0</v>
      </c>
      <c r="Y88" s="1224">
        <v>0.01</v>
      </c>
      <c r="Z88" s="263">
        <v>7950</v>
      </c>
      <c r="AA88" s="255">
        <v>140</v>
      </c>
      <c r="AB88" s="1210">
        <f t="shared" si="19"/>
        <v>0.88031402349675059</v>
      </c>
      <c r="AC88" s="378" t="s">
        <v>287</v>
      </c>
    </row>
    <row r="89" spans="2:29" ht="30" customHeight="1" thickBot="1" x14ac:dyDescent="0.3">
      <c r="B89" s="1609"/>
      <c r="C89" s="1610"/>
      <c r="D89" s="1611"/>
      <c r="E89" s="1609"/>
      <c r="F89" s="1610"/>
      <c r="G89" s="1611"/>
      <c r="M89" s="1583"/>
      <c r="N89" s="367" t="s">
        <v>413</v>
      </c>
      <c r="O89" s="365" t="s">
        <v>279</v>
      </c>
      <c r="P89" s="365" t="s">
        <v>280</v>
      </c>
      <c r="Q89" s="365">
        <v>11119515</v>
      </c>
      <c r="R89" s="365" t="s">
        <v>349</v>
      </c>
      <c r="S89" s="255" t="s">
        <v>575</v>
      </c>
      <c r="T89" s="269">
        <v>44559</v>
      </c>
      <c r="U89" s="365">
        <v>50</v>
      </c>
      <c r="V89" s="255">
        <v>1.2999999999999999E-2</v>
      </c>
      <c r="W89" s="891">
        <v>1.4E-2</v>
      </c>
      <c r="X89" s="842">
        <f t="shared" si="18"/>
        <v>5.7735026918962634E-4</v>
      </c>
      <c r="Y89" s="1224">
        <v>1.2E-2</v>
      </c>
      <c r="Z89" s="263">
        <v>7950</v>
      </c>
      <c r="AA89" s="255">
        <v>140</v>
      </c>
      <c r="AB89" s="1210">
        <f t="shared" si="19"/>
        <v>0.88031402349675059</v>
      </c>
      <c r="AC89" s="378" t="s">
        <v>287</v>
      </c>
    </row>
    <row r="90" spans="2:29" ht="30" customHeight="1" thickBot="1" x14ac:dyDescent="0.3">
      <c r="B90" s="1612" t="s">
        <v>414</v>
      </c>
      <c r="C90" s="1613"/>
      <c r="D90" s="1614"/>
      <c r="E90" s="1612" t="s">
        <v>415</v>
      </c>
      <c r="F90" s="1613"/>
      <c r="G90" s="1614"/>
      <c r="M90" s="1583"/>
      <c r="N90" s="367" t="s">
        <v>416</v>
      </c>
      <c r="O90" s="365" t="s">
        <v>279</v>
      </c>
      <c r="P90" s="365" t="s">
        <v>280</v>
      </c>
      <c r="Q90" s="365">
        <v>11119515</v>
      </c>
      <c r="R90" s="365" t="s">
        <v>349</v>
      </c>
      <c r="S90" s="255" t="s">
        <v>575</v>
      </c>
      <c r="T90" s="269">
        <v>44559</v>
      </c>
      <c r="U90" s="365">
        <v>100</v>
      </c>
      <c r="V90" s="255">
        <v>-1E-3</v>
      </c>
      <c r="W90" s="891">
        <v>-1E-3</v>
      </c>
      <c r="X90" s="842">
        <f t="shared" si="18"/>
        <v>0</v>
      </c>
      <c r="Y90" s="1224">
        <v>1.6E-2</v>
      </c>
      <c r="Z90" s="263">
        <v>7950</v>
      </c>
      <c r="AA90" s="255">
        <v>140</v>
      </c>
      <c r="AB90" s="1210">
        <f t="shared" si="19"/>
        <v>0.88031402349675059</v>
      </c>
      <c r="AC90" s="378" t="s">
        <v>287</v>
      </c>
    </row>
    <row r="91" spans="2:29" ht="30" customHeight="1" thickBot="1" x14ac:dyDescent="0.3">
      <c r="B91" s="322"/>
      <c r="C91" s="323"/>
      <c r="D91" s="324"/>
      <c r="E91" s="322"/>
      <c r="F91" s="323"/>
      <c r="G91" s="324"/>
      <c r="M91" s="1583"/>
      <c r="N91" s="367" t="s">
        <v>417</v>
      </c>
      <c r="O91" s="365" t="s">
        <v>279</v>
      </c>
      <c r="P91" s="365" t="s">
        <v>280</v>
      </c>
      <c r="Q91" s="365">
        <v>11119515</v>
      </c>
      <c r="R91" s="365" t="s">
        <v>349</v>
      </c>
      <c r="S91" s="255" t="s">
        <v>575</v>
      </c>
      <c r="T91" s="269">
        <v>44559</v>
      </c>
      <c r="U91" s="365">
        <v>200</v>
      </c>
      <c r="V91" s="255">
        <v>-6.0000000000000001E-3</v>
      </c>
      <c r="W91" s="891">
        <v>-6.0000000000000001E-3</v>
      </c>
      <c r="X91" s="842">
        <f t="shared" si="18"/>
        <v>0</v>
      </c>
      <c r="Y91" s="1224">
        <v>0.02</v>
      </c>
      <c r="Z91" s="263">
        <v>7950</v>
      </c>
      <c r="AA91" s="255">
        <v>140</v>
      </c>
      <c r="AB91" s="1210">
        <f t="shared" si="19"/>
        <v>0.88031402349675059</v>
      </c>
      <c r="AC91" s="378" t="s">
        <v>287</v>
      </c>
    </row>
    <row r="92" spans="2:29" ht="30" customHeight="1" thickBot="1" x14ac:dyDescent="0.3">
      <c r="B92" s="195" t="s">
        <v>418</v>
      </c>
      <c r="C92" s="196" t="s">
        <v>419</v>
      </c>
      <c r="D92" s="197" t="s">
        <v>420</v>
      </c>
      <c r="E92" s="195" t="s">
        <v>418</v>
      </c>
      <c r="F92" s="196" t="s">
        <v>419</v>
      </c>
      <c r="G92" s="197" t="s">
        <v>420</v>
      </c>
      <c r="M92" s="1583"/>
      <c r="N92" s="367" t="s">
        <v>421</v>
      </c>
      <c r="O92" s="365" t="s">
        <v>279</v>
      </c>
      <c r="P92" s="365" t="s">
        <v>280</v>
      </c>
      <c r="Q92" s="365">
        <v>11119515</v>
      </c>
      <c r="R92" s="365" t="s">
        <v>407</v>
      </c>
      <c r="S92" s="255" t="s">
        <v>575</v>
      </c>
      <c r="T92" s="269">
        <v>44559</v>
      </c>
      <c r="U92" s="365">
        <v>200</v>
      </c>
      <c r="V92" s="255">
        <v>1.2999999999999999E-2</v>
      </c>
      <c r="W92" s="891">
        <v>2.1000000000000001E-2</v>
      </c>
      <c r="X92" s="842">
        <f t="shared" si="18"/>
        <v>4.6188021535170072E-3</v>
      </c>
      <c r="Y92" s="1224">
        <v>0.02</v>
      </c>
      <c r="Z92" s="263">
        <v>7950</v>
      </c>
      <c r="AA92" s="255">
        <v>140</v>
      </c>
      <c r="AB92" s="1210">
        <f t="shared" si="19"/>
        <v>0.88031402349675059</v>
      </c>
      <c r="AC92" s="378" t="s">
        <v>287</v>
      </c>
    </row>
    <row r="93" spans="2:29" ht="30" customHeight="1" thickBot="1" x14ac:dyDescent="0.3">
      <c r="B93" s="198">
        <v>1</v>
      </c>
      <c r="C93" s="238">
        <v>0.33</v>
      </c>
      <c r="D93" s="382">
        <v>1</v>
      </c>
      <c r="E93" s="386" t="s">
        <v>113</v>
      </c>
      <c r="F93" s="480">
        <v>6.7000000000000004E-2</v>
      </c>
      <c r="G93" s="401">
        <v>0.2</v>
      </c>
      <c r="M93" s="1584"/>
      <c r="N93" s="371" t="s">
        <v>422</v>
      </c>
      <c r="O93" s="372" t="s">
        <v>279</v>
      </c>
      <c r="P93" s="372" t="s">
        <v>280</v>
      </c>
      <c r="Q93" s="372">
        <v>11119515</v>
      </c>
      <c r="R93" s="372" t="s">
        <v>349</v>
      </c>
      <c r="S93" s="327" t="s">
        <v>575</v>
      </c>
      <c r="T93" s="503">
        <v>44559</v>
      </c>
      <c r="U93" s="372">
        <v>500</v>
      </c>
      <c r="V93" s="327">
        <v>1.7999999999999999E-2</v>
      </c>
      <c r="W93" s="890">
        <v>2.1999999999999999E-2</v>
      </c>
      <c r="X93" s="843">
        <f t="shared" si="18"/>
        <v>2.3094010767585032E-3</v>
      </c>
      <c r="Y93" s="1229">
        <v>2.5000000000000001E-2</v>
      </c>
      <c r="Z93" s="485">
        <v>7950</v>
      </c>
      <c r="AA93" s="327">
        <v>140</v>
      </c>
      <c r="AB93" s="1211">
        <f t="shared" si="19"/>
        <v>0.88031402349675059</v>
      </c>
      <c r="AC93" s="373" t="s">
        <v>287</v>
      </c>
    </row>
    <row r="94" spans="2:29" ht="30" customHeight="1" x14ac:dyDescent="0.25">
      <c r="B94" s="187">
        <v>2</v>
      </c>
      <c r="C94" s="239">
        <v>0.4</v>
      </c>
      <c r="D94" s="385">
        <v>1.2</v>
      </c>
      <c r="E94" s="387" t="s">
        <v>130</v>
      </c>
      <c r="F94" s="481">
        <v>6.7000000000000004E-2</v>
      </c>
      <c r="G94" s="401">
        <v>0.2</v>
      </c>
      <c r="M94" s="1583"/>
      <c r="N94" s="366" t="s">
        <v>423</v>
      </c>
      <c r="O94" s="368" t="s">
        <v>279</v>
      </c>
      <c r="P94" s="368" t="s">
        <v>320</v>
      </c>
      <c r="Q94" s="368">
        <v>1913610</v>
      </c>
      <c r="R94" s="368" t="s">
        <v>349</v>
      </c>
      <c r="S94" s="248" t="s">
        <v>585</v>
      </c>
      <c r="T94" s="267">
        <v>44516</v>
      </c>
      <c r="U94" s="368">
        <v>1</v>
      </c>
      <c r="V94" s="248">
        <v>4.8999999999999998E-3</v>
      </c>
      <c r="W94" s="892">
        <v>5.0000000000000001E-3</v>
      </c>
      <c r="X94" s="841">
        <f t="shared" si="18"/>
        <v>5.7735026918962734E-5</v>
      </c>
      <c r="Y94" s="1209">
        <v>6.7000000000000002E-3</v>
      </c>
      <c r="Z94" s="272">
        <v>7950</v>
      </c>
      <c r="AA94" s="248">
        <v>140</v>
      </c>
      <c r="AB94" s="1213">
        <f>(0.34848*((750.9+752.8)/2)-0.009*((54.2+55.1)/2)*EXP(0.0612*((21.8+22.9)/2)))/(273.15+(21.8+22.9)/2)</f>
        <v>0.88011269298571049</v>
      </c>
      <c r="AC94" s="374" t="s">
        <v>424</v>
      </c>
    </row>
    <row r="95" spans="2:29" ht="30" customHeight="1" x14ac:dyDescent="0.25">
      <c r="B95" s="187">
        <v>2</v>
      </c>
      <c r="C95" s="239">
        <v>0.4</v>
      </c>
      <c r="D95" s="383">
        <v>1.2</v>
      </c>
      <c r="E95" s="387" t="s">
        <v>425</v>
      </c>
      <c r="F95" s="481">
        <v>6.7000000000000004E-2</v>
      </c>
      <c r="G95" s="401">
        <v>0.2</v>
      </c>
      <c r="M95" s="1583"/>
      <c r="N95" s="367" t="s">
        <v>426</v>
      </c>
      <c r="O95" s="365" t="s">
        <v>279</v>
      </c>
      <c r="P95" s="365" t="s">
        <v>320</v>
      </c>
      <c r="Q95" s="365">
        <v>1913610</v>
      </c>
      <c r="R95" s="365" t="s">
        <v>349</v>
      </c>
      <c r="S95" s="255" t="s">
        <v>585</v>
      </c>
      <c r="T95" s="269">
        <v>44516</v>
      </c>
      <c r="U95" s="365">
        <v>2</v>
      </c>
      <c r="V95" s="255">
        <v>4.7999999999999996E-3</v>
      </c>
      <c r="W95" s="891">
        <v>3.0000000000000001E-3</v>
      </c>
      <c r="X95" s="842">
        <f t="shared" si="18"/>
        <v>1.0392304845413263E-3</v>
      </c>
      <c r="Y95" s="1210">
        <v>6.7000000000000002E-3</v>
      </c>
      <c r="Z95" s="263">
        <v>7950</v>
      </c>
      <c r="AA95" s="255">
        <v>140</v>
      </c>
      <c r="AB95" s="1210">
        <f>(0.34848*((750.9+752.8)/2)-0.009*((54.2+55.1)/2)*EXP(0.0612*((21.8+22.9)/2)))/(273.15+(21.8+22.9)/2)</f>
        <v>0.88011269298571049</v>
      </c>
      <c r="AC95" s="378" t="s">
        <v>424</v>
      </c>
    </row>
    <row r="96" spans="2:29" ht="30" customHeight="1" x14ac:dyDescent="0.25">
      <c r="B96" s="187">
        <v>5</v>
      </c>
      <c r="C96" s="239">
        <v>0.53</v>
      </c>
      <c r="D96" s="383">
        <v>1.6</v>
      </c>
      <c r="E96" s="387" t="s">
        <v>136</v>
      </c>
      <c r="F96" s="481">
        <v>6.7000000000000004E-2</v>
      </c>
      <c r="G96" s="401">
        <v>0.2</v>
      </c>
      <c r="M96" s="1583"/>
      <c r="N96" s="367" t="s">
        <v>427</v>
      </c>
      <c r="O96" s="365" t="s">
        <v>279</v>
      </c>
      <c r="P96" s="365" t="s">
        <v>320</v>
      </c>
      <c r="Q96" s="365">
        <v>1913610</v>
      </c>
      <c r="R96" s="365" t="s">
        <v>407</v>
      </c>
      <c r="S96" s="255" t="s">
        <v>585</v>
      </c>
      <c r="T96" s="269">
        <v>44516</v>
      </c>
      <c r="U96" s="365">
        <v>2</v>
      </c>
      <c r="V96" s="255">
        <v>2.3E-3</v>
      </c>
      <c r="W96" s="1224">
        <v>0</v>
      </c>
      <c r="X96" s="842">
        <f t="shared" si="18"/>
        <v>1.3279056191361394E-3</v>
      </c>
      <c r="Y96" s="1210">
        <v>6.7000000000000002E-3</v>
      </c>
      <c r="Z96" s="263">
        <v>7950</v>
      </c>
      <c r="AA96" s="255">
        <v>140</v>
      </c>
      <c r="AB96" s="1210">
        <v>0.88011269298571049</v>
      </c>
      <c r="AC96" s="378" t="s">
        <v>424</v>
      </c>
    </row>
    <row r="97" spans="2:29" ht="30" customHeight="1" x14ac:dyDescent="0.25">
      <c r="B97" s="187">
        <v>10</v>
      </c>
      <c r="C97" s="239">
        <v>0.67</v>
      </c>
      <c r="D97" s="383">
        <v>2</v>
      </c>
      <c r="E97" s="387" t="s">
        <v>115</v>
      </c>
      <c r="F97" s="481">
        <v>8.3000000000000004E-2</v>
      </c>
      <c r="G97" s="401">
        <v>0.25</v>
      </c>
      <c r="M97" s="1583"/>
      <c r="N97" s="367" t="s">
        <v>428</v>
      </c>
      <c r="O97" s="365" t="s">
        <v>279</v>
      </c>
      <c r="P97" s="365" t="s">
        <v>320</v>
      </c>
      <c r="Q97" s="365">
        <v>1913610</v>
      </c>
      <c r="R97" s="365" t="s">
        <v>349</v>
      </c>
      <c r="S97" s="255" t="s">
        <v>585</v>
      </c>
      <c r="T97" s="269">
        <v>44516</v>
      </c>
      <c r="U97" s="365">
        <v>5</v>
      </c>
      <c r="V97" s="255">
        <v>1.1000000000000001E-3</v>
      </c>
      <c r="W97" s="891">
        <v>-3.0000000000000001E-3</v>
      </c>
      <c r="X97" s="842">
        <f t="shared" si="18"/>
        <v>2.3671361036774661E-3</v>
      </c>
      <c r="Y97" s="1210">
        <v>6.7000000000000002E-3</v>
      </c>
      <c r="Z97" s="263">
        <v>7950</v>
      </c>
      <c r="AA97" s="255">
        <v>140</v>
      </c>
      <c r="AB97" s="1210">
        <v>0.88011269298571049</v>
      </c>
      <c r="AC97" s="378" t="s">
        <v>424</v>
      </c>
    </row>
    <row r="98" spans="2:29" ht="30" customHeight="1" x14ac:dyDescent="0.25">
      <c r="B98" s="187">
        <v>20</v>
      </c>
      <c r="C98" s="239">
        <v>0.83</v>
      </c>
      <c r="D98" s="383">
        <v>2.5</v>
      </c>
      <c r="E98" s="387" t="s">
        <v>429</v>
      </c>
      <c r="F98" s="403">
        <v>0.1</v>
      </c>
      <c r="G98" s="401">
        <v>0.3</v>
      </c>
      <c r="M98" s="1583"/>
      <c r="N98" s="367" t="s">
        <v>430</v>
      </c>
      <c r="O98" s="365" t="s">
        <v>279</v>
      </c>
      <c r="P98" s="365" t="s">
        <v>320</v>
      </c>
      <c r="Q98" s="365">
        <v>1913610</v>
      </c>
      <c r="R98" s="365" t="s">
        <v>349</v>
      </c>
      <c r="S98" s="255" t="s">
        <v>585</v>
      </c>
      <c r="T98" s="269">
        <v>44516</v>
      </c>
      <c r="U98" s="365">
        <v>10</v>
      </c>
      <c r="V98" s="255">
        <v>-4.8999999999999998E-3</v>
      </c>
      <c r="W98" s="891">
        <v>-3.0000000000000001E-3</v>
      </c>
      <c r="X98" s="842">
        <f t="shared" si="18"/>
        <v>1.0969655114602889E-3</v>
      </c>
      <c r="Y98" s="1210">
        <v>8.3000000000000001E-3</v>
      </c>
      <c r="Z98" s="263">
        <v>7950</v>
      </c>
      <c r="AA98" s="255">
        <v>140</v>
      </c>
      <c r="AB98" s="1210">
        <v>0.88011269298571049</v>
      </c>
      <c r="AC98" s="378" t="s">
        <v>424</v>
      </c>
    </row>
    <row r="99" spans="2:29" ht="30" customHeight="1" x14ac:dyDescent="0.25">
      <c r="B99" s="187">
        <v>20</v>
      </c>
      <c r="C99" s="239">
        <v>0.83</v>
      </c>
      <c r="D99" s="383">
        <v>2.5</v>
      </c>
      <c r="E99" s="387" t="s">
        <v>131</v>
      </c>
      <c r="F99" s="403">
        <v>0.1</v>
      </c>
      <c r="G99" s="401">
        <v>0.3</v>
      </c>
      <c r="M99" s="1583"/>
      <c r="N99" s="367" t="s">
        <v>431</v>
      </c>
      <c r="O99" s="365" t="s">
        <v>279</v>
      </c>
      <c r="P99" s="365" t="s">
        <v>320</v>
      </c>
      <c r="Q99" s="365">
        <v>1913610</v>
      </c>
      <c r="R99" s="365" t="s">
        <v>349</v>
      </c>
      <c r="S99" s="255" t="s">
        <v>585</v>
      </c>
      <c r="T99" s="269">
        <v>44516</v>
      </c>
      <c r="U99" s="365">
        <v>20</v>
      </c>
      <c r="V99" s="255">
        <v>-6.0000000000000001E-3</v>
      </c>
      <c r="W99" s="891">
        <v>-5.0000000000000001E-3</v>
      </c>
      <c r="X99" s="842">
        <f t="shared" si="18"/>
        <v>5.773502691896258E-4</v>
      </c>
      <c r="Y99" s="1224">
        <v>0.01</v>
      </c>
      <c r="Z99" s="263">
        <v>7950</v>
      </c>
      <c r="AA99" s="255">
        <v>140</v>
      </c>
      <c r="AB99" s="1210">
        <v>0.88011269298571049</v>
      </c>
      <c r="AC99" s="378" t="s">
        <v>424</v>
      </c>
    </row>
    <row r="100" spans="2:29" ht="30" customHeight="1" x14ac:dyDescent="0.25">
      <c r="B100" s="187">
        <v>50</v>
      </c>
      <c r="C100" s="188">
        <v>1</v>
      </c>
      <c r="D100" s="383">
        <v>3</v>
      </c>
      <c r="E100" s="387" t="s">
        <v>137</v>
      </c>
      <c r="F100" s="403">
        <v>0.13</v>
      </c>
      <c r="G100" s="402">
        <v>0.4</v>
      </c>
      <c r="M100" s="1583"/>
      <c r="N100" s="367" t="s">
        <v>432</v>
      </c>
      <c r="O100" s="365" t="s">
        <v>279</v>
      </c>
      <c r="P100" s="365" t="s">
        <v>320</v>
      </c>
      <c r="Q100" s="365">
        <v>1913610</v>
      </c>
      <c r="R100" s="365" t="s">
        <v>407</v>
      </c>
      <c r="S100" s="255" t="s">
        <v>585</v>
      </c>
      <c r="T100" s="269">
        <v>44516</v>
      </c>
      <c r="U100" s="365">
        <v>20</v>
      </c>
      <c r="V100" s="255">
        <v>-2E-3</v>
      </c>
      <c r="W100" s="891">
        <v>-3.0000000000000001E-3</v>
      </c>
      <c r="X100" s="842">
        <f t="shared" si="18"/>
        <v>5.773502691896258E-4</v>
      </c>
      <c r="Y100" s="1224">
        <v>0.01</v>
      </c>
      <c r="Z100" s="263">
        <v>7950</v>
      </c>
      <c r="AA100" s="255">
        <v>140</v>
      </c>
      <c r="AB100" s="1210">
        <v>0.88011269298571049</v>
      </c>
      <c r="AC100" s="352" t="s">
        <v>424</v>
      </c>
    </row>
    <row r="101" spans="2:29" ht="30" customHeight="1" x14ac:dyDescent="0.25">
      <c r="B101" s="187">
        <v>100</v>
      </c>
      <c r="C101" s="188">
        <v>1.7</v>
      </c>
      <c r="D101" s="383">
        <v>5</v>
      </c>
      <c r="E101" s="387" t="s">
        <v>116</v>
      </c>
      <c r="F101" s="403">
        <v>0.17</v>
      </c>
      <c r="G101" s="402">
        <v>0.5</v>
      </c>
      <c r="M101" s="1583"/>
      <c r="N101" s="367" t="s">
        <v>433</v>
      </c>
      <c r="O101" s="365" t="s">
        <v>279</v>
      </c>
      <c r="P101" s="365" t="s">
        <v>320</v>
      </c>
      <c r="Q101" s="365">
        <v>1913610</v>
      </c>
      <c r="R101" s="365" t="s">
        <v>349</v>
      </c>
      <c r="S101" s="255" t="s">
        <v>585</v>
      </c>
      <c r="T101" s="269">
        <v>44516</v>
      </c>
      <c r="U101" s="365">
        <v>50</v>
      </c>
      <c r="V101" s="255">
        <v>-4.0000000000000001E-3</v>
      </c>
      <c r="W101" s="891">
        <v>-4.0000000000000001E-3</v>
      </c>
      <c r="X101" s="842">
        <f t="shared" si="18"/>
        <v>0</v>
      </c>
      <c r="Y101" s="1224">
        <v>1.2999999999999999E-2</v>
      </c>
      <c r="Z101" s="263">
        <v>7950</v>
      </c>
      <c r="AA101" s="255">
        <v>140</v>
      </c>
      <c r="AB101" s="1210">
        <v>0.88011269298571049</v>
      </c>
      <c r="AC101" s="352" t="s">
        <v>424</v>
      </c>
    </row>
    <row r="102" spans="2:29" ht="30" customHeight="1" x14ac:dyDescent="0.25">
      <c r="B102" s="187">
        <v>200</v>
      </c>
      <c r="C102" s="188">
        <v>3.3</v>
      </c>
      <c r="D102" s="384">
        <v>10</v>
      </c>
      <c r="E102" s="387" t="s">
        <v>132</v>
      </c>
      <c r="F102" s="403">
        <v>0.2</v>
      </c>
      <c r="G102" s="402">
        <v>0.6</v>
      </c>
      <c r="M102" s="1583"/>
      <c r="N102" s="367" t="s">
        <v>434</v>
      </c>
      <c r="O102" s="365" t="s">
        <v>279</v>
      </c>
      <c r="P102" s="365" t="s">
        <v>320</v>
      </c>
      <c r="Q102" s="365">
        <v>1913610</v>
      </c>
      <c r="R102" s="365" t="s">
        <v>349</v>
      </c>
      <c r="S102" s="255" t="s">
        <v>585</v>
      </c>
      <c r="T102" s="269">
        <v>44516</v>
      </c>
      <c r="U102" s="365">
        <v>100</v>
      </c>
      <c r="V102" s="255">
        <v>-1E-3</v>
      </c>
      <c r="W102" s="1224">
        <v>0</v>
      </c>
      <c r="X102" s="842">
        <f t="shared" si="18"/>
        <v>5.773502691896258E-4</v>
      </c>
      <c r="Y102" s="1224">
        <v>1.7000000000000001E-2</v>
      </c>
      <c r="Z102" s="263">
        <v>7950</v>
      </c>
      <c r="AA102" s="255">
        <v>140</v>
      </c>
      <c r="AB102" s="1210">
        <v>0.88011269298571049</v>
      </c>
      <c r="AC102" s="352" t="s">
        <v>424</v>
      </c>
    </row>
    <row r="103" spans="2:29" ht="30" customHeight="1" x14ac:dyDescent="0.25">
      <c r="B103" s="187">
        <v>200</v>
      </c>
      <c r="C103" s="188">
        <v>3.3</v>
      </c>
      <c r="D103" s="384">
        <v>10</v>
      </c>
      <c r="E103" s="387" t="s">
        <v>435</v>
      </c>
      <c r="F103" s="403">
        <v>0.2</v>
      </c>
      <c r="G103" s="402">
        <v>0.6</v>
      </c>
      <c r="M103" s="1583"/>
      <c r="N103" s="367" t="s">
        <v>436</v>
      </c>
      <c r="O103" s="365" t="s">
        <v>279</v>
      </c>
      <c r="P103" s="365" t="s">
        <v>320</v>
      </c>
      <c r="Q103" s="365">
        <v>1913610</v>
      </c>
      <c r="R103" s="365" t="s">
        <v>349</v>
      </c>
      <c r="S103" s="255" t="s">
        <v>585</v>
      </c>
      <c r="T103" s="269">
        <v>44516</v>
      </c>
      <c r="U103" s="365">
        <v>200</v>
      </c>
      <c r="V103" s="255">
        <v>1.0999999999999999E-2</v>
      </c>
      <c r="W103" s="891">
        <v>1.4999999999999999E-2</v>
      </c>
      <c r="X103" s="842">
        <f t="shared" si="18"/>
        <v>2.3094010767585032E-3</v>
      </c>
      <c r="Y103" s="1224">
        <v>0.02</v>
      </c>
      <c r="Z103" s="263">
        <v>7950</v>
      </c>
      <c r="AA103" s="255">
        <v>140</v>
      </c>
      <c r="AB103" s="1210">
        <v>0.88011269298571049</v>
      </c>
      <c r="AC103" s="352" t="s">
        <v>424</v>
      </c>
    </row>
    <row r="104" spans="2:29" ht="30" customHeight="1" thickBot="1" x14ac:dyDescent="0.3">
      <c r="B104" s="187">
        <v>500</v>
      </c>
      <c r="C104" s="188">
        <v>8.3000000000000007</v>
      </c>
      <c r="D104" s="384">
        <v>25</v>
      </c>
      <c r="E104" s="388" t="s">
        <v>138</v>
      </c>
      <c r="F104" s="404">
        <v>0.27</v>
      </c>
      <c r="G104" s="578">
        <v>0.8</v>
      </c>
      <c r="M104" s="1583"/>
      <c r="N104" s="367" t="s">
        <v>437</v>
      </c>
      <c r="O104" s="365" t="s">
        <v>279</v>
      </c>
      <c r="P104" s="365" t="s">
        <v>320</v>
      </c>
      <c r="Q104" s="365">
        <v>1913610</v>
      </c>
      <c r="R104" s="365" t="s">
        <v>407</v>
      </c>
      <c r="S104" s="255" t="s">
        <v>585</v>
      </c>
      <c r="T104" s="269">
        <v>44516</v>
      </c>
      <c r="U104" s="365">
        <v>200</v>
      </c>
      <c r="V104" s="255">
        <v>-1E-3</v>
      </c>
      <c r="W104" s="891">
        <v>-1E-3</v>
      </c>
      <c r="X104" s="842">
        <f t="shared" si="18"/>
        <v>0</v>
      </c>
      <c r="Y104" s="1224">
        <v>0.02</v>
      </c>
      <c r="Z104" s="263">
        <v>7950</v>
      </c>
      <c r="AA104" s="255">
        <v>140</v>
      </c>
      <c r="AB104" s="1210">
        <v>0.88011269298571049</v>
      </c>
      <c r="AC104" s="352" t="s">
        <v>424</v>
      </c>
    </row>
    <row r="105" spans="2:29" ht="30" customHeight="1" thickBot="1" x14ac:dyDescent="0.3">
      <c r="B105" s="190" t="s">
        <v>297</v>
      </c>
      <c r="C105" s="191">
        <v>17</v>
      </c>
      <c r="D105" s="189">
        <v>50</v>
      </c>
      <c r="M105" s="1584"/>
      <c r="N105" s="371" t="s">
        <v>438</v>
      </c>
      <c r="O105" s="372" t="s">
        <v>279</v>
      </c>
      <c r="P105" s="372" t="s">
        <v>320</v>
      </c>
      <c r="Q105" s="372">
        <v>1913610</v>
      </c>
      <c r="R105" s="372" t="s">
        <v>349</v>
      </c>
      <c r="S105" s="327" t="s">
        <v>585</v>
      </c>
      <c r="T105" s="503">
        <v>44516</v>
      </c>
      <c r="U105" s="372">
        <v>500</v>
      </c>
      <c r="V105" s="486">
        <v>0.01</v>
      </c>
      <c r="W105" s="890">
        <v>1.7999999999999999E-2</v>
      </c>
      <c r="X105" s="843">
        <f t="shared" si="18"/>
        <v>4.6188021535170055E-3</v>
      </c>
      <c r="Y105" s="1229">
        <v>2.7E-2</v>
      </c>
      <c r="Z105" s="485">
        <v>7950</v>
      </c>
      <c r="AA105" s="327">
        <v>140</v>
      </c>
      <c r="AB105" s="1211">
        <v>0.88011269298571049</v>
      </c>
      <c r="AC105" s="354" t="s">
        <v>424</v>
      </c>
    </row>
    <row r="106" spans="2:29" ht="30" customHeight="1" x14ac:dyDescent="0.25">
      <c r="B106" s="190" t="s">
        <v>299</v>
      </c>
      <c r="C106" s="191">
        <v>33</v>
      </c>
      <c r="D106" s="189">
        <v>100</v>
      </c>
      <c r="N106" s="498"/>
      <c r="O106" s="497"/>
      <c r="P106" s="497"/>
      <c r="Q106" s="497"/>
      <c r="R106" s="497"/>
      <c r="S106" s="273"/>
      <c r="T106" s="274"/>
      <c r="U106" s="501"/>
      <c r="V106" s="273"/>
      <c r="W106" s="273"/>
      <c r="X106" s="497"/>
      <c r="Y106" s="505"/>
      <c r="Z106" s="379"/>
      <c r="AA106" s="273"/>
      <c r="AB106" s="1233"/>
      <c r="AC106" s="407"/>
    </row>
    <row r="107" spans="2:29" ht="30" customHeight="1" x14ac:dyDescent="0.25">
      <c r="B107" s="190" t="s">
        <v>299</v>
      </c>
      <c r="C107" s="191">
        <v>33</v>
      </c>
      <c r="D107" s="189">
        <v>100</v>
      </c>
      <c r="N107" s="367"/>
      <c r="O107" s="365"/>
      <c r="P107" s="365"/>
      <c r="Q107" s="365"/>
      <c r="R107" s="365"/>
      <c r="S107" s="255"/>
      <c r="T107" s="269"/>
      <c r="U107" s="377"/>
      <c r="V107" s="255"/>
      <c r="W107" s="255"/>
      <c r="X107" s="365"/>
      <c r="Y107" s="258"/>
      <c r="Z107" s="270"/>
      <c r="AA107" s="255"/>
      <c r="AB107" s="1234"/>
      <c r="AC107" s="352"/>
    </row>
    <row r="108" spans="2:29" ht="30" customHeight="1" x14ac:dyDescent="0.25">
      <c r="B108" s="190" t="s">
        <v>304</v>
      </c>
      <c r="C108" s="191">
        <v>83</v>
      </c>
      <c r="D108" s="189">
        <v>250</v>
      </c>
      <c r="N108" s="367"/>
      <c r="O108" s="365"/>
      <c r="P108" s="365"/>
      <c r="Q108" s="365"/>
      <c r="R108" s="365"/>
      <c r="S108" s="255"/>
      <c r="T108" s="269"/>
      <c r="U108" s="377"/>
      <c r="V108" s="255"/>
      <c r="W108" s="255"/>
      <c r="X108" s="365"/>
      <c r="Y108" s="258"/>
      <c r="Z108" s="270"/>
      <c r="AA108" s="255"/>
      <c r="AB108" s="1234"/>
      <c r="AC108" s="352"/>
    </row>
    <row r="109" spans="2:29" ht="30" customHeight="1" x14ac:dyDescent="0.25">
      <c r="B109" s="190" t="s">
        <v>306</v>
      </c>
      <c r="C109" s="192">
        <v>0.17</v>
      </c>
      <c r="D109" s="222">
        <v>0.5</v>
      </c>
      <c r="N109" s="367"/>
      <c r="O109" s="365"/>
      <c r="P109" s="365"/>
      <c r="Q109" s="365"/>
      <c r="R109" s="365"/>
      <c r="S109" s="255"/>
      <c r="T109" s="269"/>
      <c r="U109" s="377"/>
      <c r="V109" s="255"/>
      <c r="W109" s="255"/>
      <c r="X109" s="365"/>
      <c r="Y109" s="258"/>
      <c r="Z109" s="270"/>
      <c r="AA109" s="255"/>
      <c r="AB109" s="1234"/>
      <c r="AC109" s="352"/>
    </row>
    <row r="110" spans="2:29" ht="30" customHeight="1" thickBot="1" x14ac:dyDescent="0.3">
      <c r="B110" s="193" t="s">
        <v>439</v>
      </c>
      <c r="C110" s="194">
        <v>0.33</v>
      </c>
      <c r="D110" s="230">
        <v>1</v>
      </c>
      <c r="N110" s="367"/>
      <c r="O110" s="365"/>
      <c r="P110" s="365"/>
      <c r="Q110" s="365"/>
      <c r="R110" s="365"/>
      <c r="S110" s="255"/>
      <c r="T110" s="269"/>
      <c r="U110" s="377"/>
      <c r="V110" s="255"/>
      <c r="W110" s="255"/>
      <c r="X110" s="365"/>
      <c r="Y110" s="258"/>
      <c r="Z110" s="270"/>
      <c r="AA110" s="255"/>
      <c r="AB110" s="1234"/>
      <c r="AC110" s="352"/>
    </row>
    <row r="111" spans="2:29" ht="30" customHeight="1" x14ac:dyDescent="0.25">
      <c r="N111" s="367"/>
      <c r="O111" s="365"/>
      <c r="P111" s="365"/>
      <c r="Q111" s="365"/>
      <c r="R111" s="365"/>
      <c r="S111" s="255"/>
      <c r="T111" s="269"/>
      <c r="U111" s="377"/>
      <c r="V111" s="255"/>
      <c r="W111" s="255"/>
      <c r="X111" s="365"/>
      <c r="Y111" s="258"/>
      <c r="Z111" s="270"/>
      <c r="AA111" s="255"/>
      <c r="AB111" s="1234"/>
      <c r="AC111" s="352"/>
    </row>
    <row r="112" spans="2:29" ht="30" customHeight="1" x14ac:dyDescent="0.25">
      <c r="N112" s="367"/>
      <c r="O112" s="365"/>
      <c r="P112" s="365"/>
      <c r="Q112" s="365"/>
      <c r="R112" s="365"/>
      <c r="S112" s="255"/>
      <c r="T112" s="269"/>
      <c r="U112" s="377"/>
      <c r="V112" s="255"/>
      <c r="W112" s="255"/>
      <c r="X112" s="365"/>
      <c r="Y112" s="258"/>
      <c r="Z112" s="270"/>
      <c r="AA112" s="255"/>
      <c r="AB112" s="1234"/>
      <c r="AC112" s="352"/>
    </row>
    <row r="113" spans="2:29" ht="30" customHeight="1" thickBot="1" x14ac:dyDescent="0.3">
      <c r="N113" s="367"/>
      <c r="O113" s="365"/>
      <c r="P113" s="365"/>
      <c r="Q113" s="365"/>
      <c r="R113" s="365"/>
      <c r="S113" s="255"/>
      <c r="T113" s="269"/>
      <c r="U113" s="351"/>
      <c r="V113" s="255"/>
      <c r="W113" s="255"/>
      <c r="X113" s="365"/>
      <c r="Y113" s="258"/>
      <c r="Z113" s="270"/>
      <c r="AA113" s="255"/>
      <c r="AB113" s="1234"/>
      <c r="AC113" s="352"/>
    </row>
    <row r="114" spans="2:29" ht="30" customHeight="1" thickBot="1" x14ac:dyDescent="0.3">
      <c r="B114" s="1606" t="s">
        <v>440</v>
      </c>
      <c r="C114" s="1607"/>
      <c r="D114" s="1607"/>
      <c r="E114" s="1607"/>
      <c r="F114" s="1608"/>
      <c r="I114" s="1626" t="s">
        <v>587</v>
      </c>
      <c r="J114" s="1627"/>
      <c r="K114" s="1627"/>
      <c r="L114" s="1628"/>
      <c r="N114" s="367"/>
      <c r="O114" s="365"/>
      <c r="P114" s="365"/>
      <c r="Q114" s="365"/>
      <c r="R114" s="365"/>
      <c r="S114" s="255"/>
      <c r="T114" s="269"/>
      <c r="U114" s="351"/>
      <c r="V114" s="255"/>
      <c r="W114" s="255"/>
      <c r="X114" s="365"/>
      <c r="Y114" s="258"/>
      <c r="Z114" s="270"/>
      <c r="AA114" s="255"/>
      <c r="AB114" s="1234"/>
      <c r="AC114" s="352"/>
    </row>
    <row r="115" spans="2:29" ht="30" customHeight="1" thickBot="1" x14ac:dyDescent="0.3">
      <c r="B115" s="1609"/>
      <c r="C115" s="1610"/>
      <c r="D115" s="1610"/>
      <c r="E115" s="1610"/>
      <c r="F115" s="1611"/>
      <c r="I115" s="1248" t="s">
        <v>567</v>
      </c>
      <c r="J115" s="1629" t="s">
        <v>594</v>
      </c>
      <c r="K115" s="1630"/>
      <c r="L115" s="1631"/>
      <c r="N115" s="367"/>
      <c r="O115" s="365"/>
      <c r="P115" s="365"/>
      <c r="Q115" s="365"/>
      <c r="R115" s="365"/>
      <c r="S115" s="255"/>
      <c r="T115" s="269"/>
      <c r="U115" s="351"/>
      <c r="V115" s="255"/>
      <c r="W115" s="255"/>
      <c r="X115" s="365"/>
      <c r="Y115" s="258"/>
      <c r="Z115" s="270"/>
      <c r="AA115" s="255"/>
      <c r="AB115" s="1234"/>
      <c r="AC115" s="352"/>
    </row>
    <row r="116" spans="2:29" ht="30" customHeight="1" x14ac:dyDescent="0.25">
      <c r="B116" s="1622" t="s">
        <v>185</v>
      </c>
      <c r="C116" s="1624" t="s">
        <v>12</v>
      </c>
      <c r="D116" s="1624" t="s">
        <v>13</v>
      </c>
      <c r="E116" s="1575" t="s">
        <v>441</v>
      </c>
      <c r="F116" s="1580" t="s">
        <v>31</v>
      </c>
      <c r="I116" s="891" t="s">
        <v>590</v>
      </c>
      <c r="J116" s="1596" t="s">
        <v>595</v>
      </c>
      <c r="K116" s="1597"/>
      <c r="L116" s="1598"/>
      <c r="N116" s="367"/>
      <c r="O116" s="365"/>
      <c r="P116" s="365"/>
      <c r="Q116" s="365"/>
      <c r="R116" s="365"/>
      <c r="S116" s="255"/>
      <c r="T116" s="269"/>
      <c r="U116" s="351"/>
      <c r="V116" s="255"/>
      <c r="W116" s="255"/>
      <c r="X116" s="365"/>
      <c r="Y116" s="258"/>
      <c r="Z116" s="270"/>
      <c r="AA116" s="255"/>
      <c r="AB116" s="1234"/>
      <c r="AC116" s="352"/>
    </row>
    <row r="117" spans="2:29" ht="30" customHeight="1" thickBot="1" x14ac:dyDescent="0.3">
      <c r="B117" s="1623"/>
      <c r="C117" s="1625"/>
      <c r="D117" s="1625"/>
      <c r="E117" s="1576"/>
      <c r="F117" s="1581"/>
      <c r="I117" s="891" t="s">
        <v>589</v>
      </c>
      <c r="J117" s="1596" t="s">
        <v>588</v>
      </c>
      <c r="K117" s="1597"/>
      <c r="L117" s="1598"/>
      <c r="N117" s="367"/>
      <c r="O117" s="365"/>
      <c r="P117" s="365"/>
      <c r="Q117" s="365"/>
      <c r="R117" s="365"/>
      <c r="S117" s="255"/>
      <c r="T117" s="269"/>
      <c r="U117" s="351"/>
      <c r="V117" s="255"/>
      <c r="W117" s="255"/>
      <c r="X117" s="365"/>
      <c r="Y117" s="258"/>
      <c r="Z117" s="270"/>
      <c r="AA117" s="255"/>
      <c r="AB117" s="1234"/>
      <c r="AC117" s="352"/>
    </row>
    <row r="118" spans="2:29" ht="30" customHeight="1" x14ac:dyDescent="0.25">
      <c r="B118" s="132"/>
      <c r="C118" s="133"/>
      <c r="D118" s="133"/>
      <c r="E118" s="133"/>
      <c r="F118" s="134"/>
      <c r="N118" s="367"/>
      <c r="O118" s="365"/>
      <c r="P118" s="365"/>
      <c r="Q118" s="365"/>
      <c r="R118" s="365"/>
      <c r="S118" s="255"/>
      <c r="T118" s="269"/>
      <c r="U118" s="351"/>
      <c r="V118" s="255"/>
      <c r="W118" s="255"/>
      <c r="X118" s="365"/>
      <c r="Y118" s="258"/>
      <c r="Z118" s="270"/>
      <c r="AA118" s="255"/>
      <c r="AB118" s="1234"/>
      <c r="AC118" s="352"/>
    </row>
    <row r="119" spans="2:29" ht="30" customHeight="1" x14ac:dyDescent="0.25">
      <c r="B119" s="143">
        <v>1</v>
      </c>
      <c r="C119" s="136" t="s">
        <v>234</v>
      </c>
      <c r="D119" s="136">
        <v>31301284</v>
      </c>
      <c r="E119" s="136">
        <v>1E-3</v>
      </c>
      <c r="F119" s="157" t="s">
        <v>442</v>
      </c>
      <c r="N119" s="367"/>
      <c r="O119" s="365"/>
      <c r="P119" s="365"/>
      <c r="Q119" s="365"/>
      <c r="R119" s="365"/>
      <c r="S119" s="255"/>
      <c r="T119" s="269"/>
      <c r="U119" s="351"/>
      <c r="V119" s="255"/>
      <c r="W119" s="255"/>
      <c r="X119" s="365"/>
      <c r="Y119" s="258"/>
      <c r="Z119" s="270"/>
      <c r="AA119" s="255"/>
      <c r="AB119" s="1234"/>
      <c r="AC119" s="352"/>
    </row>
    <row r="120" spans="2:29" ht="30" customHeight="1" x14ac:dyDescent="0.25">
      <c r="B120" s="143">
        <v>2</v>
      </c>
      <c r="C120" s="136" t="s">
        <v>280</v>
      </c>
      <c r="D120" s="136" t="s">
        <v>443</v>
      </c>
      <c r="E120" s="136">
        <v>1.0000000000000001E-5</v>
      </c>
      <c r="F120" s="157" t="s">
        <v>444</v>
      </c>
      <c r="N120" s="367"/>
      <c r="O120" s="365"/>
      <c r="P120" s="365"/>
      <c r="Q120" s="365"/>
      <c r="R120" s="365"/>
      <c r="S120" s="255"/>
      <c r="T120" s="269"/>
      <c r="U120" s="351"/>
      <c r="V120" s="255"/>
      <c r="W120" s="255"/>
      <c r="X120" s="365"/>
      <c r="Y120" s="258"/>
      <c r="Z120" s="270"/>
      <c r="AA120" s="255"/>
      <c r="AB120" s="1234"/>
      <c r="AC120" s="352"/>
    </row>
    <row r="121" spans="2:29" ht="30" customHeight="1" x14ac:dyDescent="0.25">
      <c r="B121" s="143">
        <v>3</v>
      </c>
      <c r="C121" s="136" t="s">
        <v>234</v>
      </c>
      <c r="D121" s="136">
        <v>31301283</v>
      </c>
      <c r="E121" s="137">
        <v>1E-3</v>
      </c>
      <c r="F121" s="157" t="s">
        <v>445</v>
      </c>
      <c r="N121" s="367"/>
      <c r="O121" s="365"/>
      <c r="P121" s="365"/>
      <c r="Q121" s="365"/>
      <c r="R121" s="365"/>
      <c r="S121" s="255"/>
      <c r="T121" s="269"/>
      <c r="U121" s="351"/>
      <c r="V121" s="255"/>
      <c r="W121" s="255"/>
      <c r="X121" s="365"/>
      <c r="Y121" s="258"/>
      <c r="Z121" s="270"/>
      <c r="AA121" s="255"/>
      <c r="AB121" s="1234"/>
      <c r="AC121" s="352"/>
    </row>
    <row r="122" spans="2:29" ht="30" customHeight="1" x14ac:dyDescent="0.25">
      <c r="B122" s="143">
        <v>4</v>
      </c>
      <c r="C122" s="136" t="s">
        <v>234</v>
      </c>
      <c r="D122" s="136">
        <v>34508523</v>
      </c>
      <c r="E122" s="136">
        <v>0.01</v>
      </c>
      <c r="F122" s="157" t="s">
        <v>446</v>
      </c>
      <c r="N122" s="367"/>
      <c r="O122" s="365"/>
      <c r="P122" s="365"/>
      <c r="Q122" s="365"/>
      <c r="R122" s="365"/>
      <c r="S122" s="255"/>
      <c r="T122" s="269"/>
      <c r="U122" s="351"/>
      <c r="V122" s="255"/>
      <c r="W122" s="255"/>
      <c r="X122" s="365"/>
      <c r="Y122" s="258"/>
      <c r="Z122" s="270"/>
      <c r="AA122" s="255"/>
      <c r="AB122" s="1234"/>
      <c r="AC122" s="352"/>
    </row>
    <row r="123" spans="2:29" ht="30" customHeight="1" x14ac:dyDescent="0.25">
      <c r="B123" s="143">
        <v>5</v>
      </c>
      <c r="C123" s="136" t="s">
        <v>234</v>
      </c>
      <c r="D123" s="136">
        <v>29605076</v>
      </c>
      <c r="E123" s="138">
        <v>0.1</v>
      </c>
      <c r="F123" s="157" t="s">
        <v>447</v>
      </c>
      <c r="N123" s="367"/>
      <c r="O123" s="365"/>
      <c r="P123" s="365"/>
      <c r="Q123" s="365"/>
      <c r="R123" s="365"/>
      <c r="S123" s="255"/>
      <c r="T123" s="269"/>
      <c r="U123" s="351"/>
      <c r="V123" s="255"/>
      <c r="W123" s="255"/>
      <c r="X123" s="365"/>
      <c r="Y123" s="258"/>
      <c r="Z123" s="270"/>
      <c r="AA123" s="255"/>
      <c r="AB123" s="1234"/>
      <c r="AC123" s="352"/>
    </row>
    <row r="124" spans="2:29" ht="30" customHeight="1" thickBot="1" x14ac:dyDescent="0.3">
      <c r="B124" s="277">
        <v>6</v>
      </c>
      <c r="C124" s="139" t="s">
        <v>234</v>
      </c>
      <c r="D124" s="139">
        <v>29605077</v>
      </c>
      <c r="E124" s="139">
        <v>0.1</v>
      </c>
      <c r="F124" s="156" t="s">
        <v>448</v>
      </c>
      <c r="N124" s="367"/>
      <c r="O124" s="365"/>
      <c r="P124" s="365"/>
      <c r="Q124" s="365"/>
      <c r="R124" s="365"/>
      <c r="S124" s="255"/>
      <c r="T124" s="269"/>
      <c r="U124" s="351"/>
      <c r="V124" s="255"/>
      <c r="W124" s="255"/>
      <c r="X124" s="365"/>
      <c r="Y124" s="258"/>
      <c r="Z124" s="270"/>
      <c r="AA124" s="255"/>
      <c r="AB124" s="1234"/>
      <c r="AC124" s="352"/>
    </row>
    <row r="125" spans="2:29" ht="30" customHeight="1" x14ac:dyDescent="0.25">
      <c r="N125" s="367"/>
      <c r="O125" s="365"/>
      <c r="P125" s="365"/>
      <c r="Q125" s="365"/>
      <c r="R125" s="365"/>
      <c r="S125" s="255"/>
      <c r="T125" s="269"/>
      <c r="U125" s="351"/>
      <c r="V125" s="255"/>
      <c r="W125" s="255"/>
      <c r="X125" s="365"/>
      <c r="Y125" s="258"/>
      <c r="Z125" s="270"/>
      <c r="AA125" s="255"/>
      <c r="AB125" s="1234"/>
      <c r="AC125" s="352"/>
    </row>
    <row r="126" spans="2:29" ht="30" customHeight="1" thickBot="1" x14ac:dyDescent="0.3">
      <c r="N126" s="367"/>
      <c r="O126" s="365"/>
      <c r="P126" s="365"/>
      <c r="Q126" s="365"/>
      <c r="R126" s="365"/>
      <c r="S126" s="255"/>
      <c r="T126" s="269"/>
      <c r="U126" s="351"/>
      <c r="V126" s="255"/>
      <c r="W126" s="255"/>
      <c r="X126" s="365"/>
      <c r="Y126" s="258"/>
      <c r="Z126" s="270"/>
      <c r="AA126" s="255"/>
      <c r="AB126" s="1234"/>
      <c r="AC126" s="352"/>
    </row>
    <row r="127" spans="2:29" ht="30" customHeight="1" x14ac:dyDescent="0.25">
      <c r="B127" s="1606" t="s">
        <v>449</v>
      </c>
      <c r="C127" s="1607"/>
      <c r="D127" s="1607"/>
      <c r="E127" s="1607"/>
      <c r="F127" s="1607"/>
      <c r="G127" s="1608"/>
      <c r="J127" s="1285" t="s">
        <v>586</v>
      </c>
      <c r="K127" s="1286"/>
      <c r="L127" s="1287"/>
      <c r="N127" s="367"/>
      <c r="O127" s="365"/>
      <c r="P127" s="365"/>
      <c r="Q127" s="365"/>
      <c r="R127" s="365"/>
      <c r="S127" s="255"/>
      <c r="T127" s="269"/>
      <c r="U127" s="351"/>
      <c r="V127" s="255"/>
      <c r="W127" s="255"/>
      <c r="X127" s="365"/>
      <c r="Y127" s="258"/>
      <c r="Z127" s="270"/>
      <c r="AA127" s="255"/>
      <c r="AB127" s="1234"/>
      <c r="AC127" s="352"/>
    </row>
    <row r="128" spans="2:29" ht="30" customHeight="1" thickBot="1" x14ac:dyDescent="0.3">
      <c r="B128" s="1609"/>
      <c r="C128" s="1610"/>
      <c r="D128" s="1610"/>
      <c r="E128" s="1610"/>
      <c r="F128" s="1610"/>
      <c r="G128" s="1611"/>
      <c r="I128" s="1288"/>
      <c r="J128" s="1289"/>
      <c r="K128" s="1289"/>
      <c r="L128" s="1290"/>
      <c r="N128" s="367"/>
      <c r="O128" s="365"/>
      <c r="P128" s="365"/>
      <c r="Q128" s="365"/>
      <c r="R128" s="365"/>
      <c r="S128" s="255"/>
      <c r="T128" s="269"/>
      <c r="U128" s="351"/>
      <c r="V128" s="255"/>
      <c r="W128" s="255"/>
      <c r="X128" s="365"/>
      <c r="Y128" s="258"/>
      <c r="Z128" s="270"/>
      <c r="AA128" s="255"/>
      <c r="AB128" s="1234"/>
      <c r="AC128" s="352"/>
    </row>
    <row r="129" spans="1:29" ht="30" customHeight="1" x14ac:dyDescent="0.25">
      <c r="B129" s="1636" t="s">
        <v>185</v>
      </c>
      <c r="C129" s="1638" t="s">
        <v>450</v>
      </c>
      <c r="D129" s="1639"/>
      <c r="E129" s="1639"/>
      <c r="F129" s="1639"/>
      <c r="G129" s="1640"/>
      <c r="I129" s="127" t="s">
        <v>592</v>
      </c>
      <c r="J129" s="1291" t="s">
        <v>591</v>
      </c>
      <c r="K129" s="1291"/>
      <c r="L129" s="1291"/>
      <c r="N129" s="367"/>
      <c r="O129" s="365"/>
      <c r="P129" s="365"/>
      <c r="Q129" s="365"/>
      <c r="R129" s="365"/>
      <c r="S129" s="255"/>
      <c r="T129" s="269"/>
      <c r="U129" s="351"/>
      <c r="V129" s="255"/>
      <c r="W129" s="255"/>
      <c r="X129" s="365"/>
      <c r="Y129" s="258"/>
      <c r="Z129" s="270"/>
      <c r="AA129" s="255"/>
      <c r="AB129" s="1234"/>
      <c r="AC129" s="352"/>
    </row>
    <row r="130" spans="1:29" ht="30" customHeight="1" thickBot="1" x14ac:dyDescent="0.3">
      <c r="B130" s="1637"/>
      <c r="C130" s="1641"/>
      <c r="D130" s="1642"/>
      <c r="E130" s="1642"/>
      <c r="F130" s="1642"/>
      <c r="G130" s="1643"/>
      <c r="I130" s="1292"/>
      <c r="J130" s="1292"/>
      <c r="K130" s="1292"/>
      <c r="L130" s="1292"/>
      <c r="N130" s="367"/>
      <c r="O130" s="365"/>
      <c r="P130" s="365"/>
      <c r="Q130" s="365"/>
      <c r="R130" s="365"/>
      <c r="S130" s="255"/>
      <c r="T130" s="269"/>
      <c r="U130" s="351"/>
      <c r="V130" s="255"/>
      <c r="W130" s="255"/>
      <c r="X130" s="365"/>
      <c r="Y130" s="258"/>
      <c r="Z130" s="270"/>
      <c r="AA130" s="255"/>
      <c r="AB130" s="1234"/>
      <c r="AC130" s="352"/>
    </row>
    <row r="131" spans="1:29" ht="30" customHeight="1" thickBot="1" x14ac:dyDescent="0.3">
      <c r="B131" s="143"/>
      <c r="C131" s="1632"/>
      <c r="D131" s="1632"/>
      <c r="E131" s="1633"/>
      <c r="F131" s="1633"/>
      <c r="G131" s="144"/>
      <c r="N131" s="499"/>
      <c r="O131" s="365"/>
      <c r="P131" s="365"/>
      <c r="Q131" s="365"/>
      <c r="R131" s="365"/>
      <c r="S131" s="255"/>
      <c r="T131" s="255"/>
      <c r="U131" s="350"/>
      <c r="V131" s="255"/>
      <c r="W131" s="255"/>
      <c r="X131" s="365"/>
      <c r="Y131" s="255"/>
      <c r="Z131" s="255"/>
      <c r="AA131" s="255"/>
      <c r="AB131" s="255"/>
      <c r="AC131" s="352"/>
    </row>
    <row r="132" spans="1:29" ht="30" customHeight="1" x14ac:dyDescent="0.25">
      <c r="B132" s="140"/>
      <c r="C132" s="1719"/>
      <c r="D132" s="1719"/>
      <c r="E132" s="1720"/>
      <c r="F132" s="1720"/>
      <c r="G132" s="141" t="s">
        <v>210</v>
      </c>
      <c r="N132" s="499"/>
      <c r="O132" s="365"/>
      <c r="P132" s="365"/>
      <c r="Q132" s="365"/>
      <c r="R132" s="365"/>
      <c r="S132" s="255"/>
      <c r="T132" s="255"/>
      <c r="U132" s="350"/>
      <c r="V132" s="255"/>
      <c r="W132" s="255"/>
      <c r="X132" s="365"/>
      <c r="Y132" s="255"/>
      <c r="Z132" s="255"/>
      <c r="AA132" s="255"/>
      <c r="AB132" s="255"/>
      <c r="AC132" s="352"/>
    </row>
    <row r="133" spans="1:29" ht="30" customHeight="1" x14ac:dyDescent="0.25">
      <c r="B133" s="143" t="s">
        <v>451</v>
      </c>
      <c r="C133" s="1632" t="s">
        <v>452</v>
      </c>
      <c r="D133" s="1632"/>
      <c r="E133" s="1633" t="s">
        <v>453</v>
      </c>
      <c r="F133" s="1633"/>
      <c r="G133" s="144" t="s">
        <v>210</v>
      </c>
      <c r="N133" s="499"/>
      <c r="O133" s="365"/>
      <c r="P133" s="365"/>
      <c r="Q133" s="365"/>
      <c r="R133" s="365"/>
      <c r="S133" s="255"/>
      <c r="T133" s="255"/>
      <c r="U133" s="350"/>
      <c r="V133" s="255"/>
      <c r="W133" s="255"/>
      <c r="X133" s="365"/>
      <c r="Y133" s="255"/>
      <c r="Z133" s="255"/>
      <c r="AA133" s="255"/>
      <c r="AB133" s="255"/>
      <c r="AC133" s="352"/>
    </row>
    <row r="134" spans="1:29" ht="30" customHeight="1" x14ac:dyDescent="0.25">
      <c r="B134" s="143" t="s">
        <v>454</v>
      </c>
      <c r="C134" s="1632" t="s">
        <v>455</v>
      </c>
      <c r="D134" s="1632"/>
      <c r="E134" s="1633" t="s">
        <v>456</v>
      </c>
      <c r="F134" s="1633"/>
      <c r="G134" s="144" t="s">
        <v>210</v>
      </c>
      <c r="N134" s="499"/>
      <c r="O134" s="365"/>
      <c r="P134" s="365"/>
      <c r="Q134" s="365"/>
      <c r="R134" s="365"/>
      <c r="S134" s="255"/>
      <c r="T134" s="255"/>
      <c r="U134" s="350"/>
      <c r="V134" s="255"/>
      <c r="W134" s="255"/>
      <c r="X134" s="365"/>
      <c r="Y134" s="255"/>
      <c r="Z134" s="255"/>
      <c r="AA134" s="255"/>
      <c r="AB134" s="255"/>
      <c r="AC134" s="352"/>
    </row>
    <row r="135" spans="1:29" ht="30" customHeight="1" thickBot="1" x14ac:dyDescent="0.3">
      <c r="B135" s="143"/>
      <c r="C135" s="1632"/>
      <c r="D135" s="1632"/>
      <c r="E135" s="1632"/>
      <c r="F135" s="1632"/>
      <c r="G135" s="144"/>
      <c r="N135" s="500"/>
      <c r="O135" s="372"/>
      <c r="P135" s="372"/>
      <c r="Q135" s="372"/>
      <c r="R135" s="372"/>
      <c r="S135" s="327"/>
      <c r="T135" s="327"/>
      <c r="U135" s="353"/>
      <c r="V135" s="327"/>
      <c r="W135" s="327"/>
      <c r="X135" s="372"/>
      <c r="Y135" s="327"/>
      <c r="Z135" s="327"/>
      <c r="AA135" s="327"/>
      <c r="AB135" s="327"/>
      <c r="AC135" s="354"/>
    </row>
    <row r="136" spans="1:29" ht="30" customHeight="1" thickBot="1" x14ac:dyDescent="0.25">
      <c r="D136" s="131"/>
      <c r="E136" s="131"/>
      <c r="F136" s="131"/>
      <c r="G136" s="131"/>
      <c r="H136" s="131"/>
      <c r="I136" s="131"/>
      <c r="J136" s="131"/>
      <c r="K136" s="131"/>
      <c r="L136" s="131"/>
      <c r="M136" s="131"/>
      <c r="N136" s="131"/>
      <c r="O136" s="131"/>
      <c r="P136" s="131"/>
      <c r="Q136" s="131"/>
      <c r="R136" s="131"/>
      <c r="S136" s="131"/>
    </row>
    <row r="137" spans="1:29" ht="30" customHeight="1" x14ac:dyDescent="0.2">
      <c r="A137" s="1606" t="s">
        <v>457</v>
      </c>
      <c r="B137" s="1607"/>
      <c r="C137" s="1607"/>
      <c r="D137" s="1607"/>
      <c r="E137" s="1607"/>
      <c r="F137" s="1607"/>
      <c r="G137" s="1607"/>
      <c r="H137" s="1607"/>
      <c r="I137" s="1607"/>
      <c r="J137" s="1607"/>
      <c r="K137" s="1607"/>
      <c r="L137" s="1607"/>
      <c r="M137" s="1607"/>
      <c r="N137" s="1607"/>
      <c r="O137" s="1607"/>
      <c r="P137" s="1607"/>
      <c r="Q137" s="1608"/>
      <c r="R137" s="131"/>
      <c r="S137" s="131"/>
    </row>
    <row r="138" spans="1:29" ht="30" customHeight="1" thickBot="1" x14ac:dyDescent="0.25">
      <c r="A138" s="1609"/>
      <c r="B138" s="1610"/>
      <c r="C138" s="1610"/>
      <c r="D138" s="1610"/>
      <c r="E138" s="1610"/>
      <c r="F138" s="1610"/>
      <c r="G138" s="1610"/>
      <c r="H138" s="1610"/>
      <c r="I138" s="1610"/>
      <c r="J138" s="1610"/>
      <c r="K138" s="1610"/>
      <c r="L138" s="1610"/>
      <c r="M138" s="1610"/>
      <c r="N138" s="1610"/>
      <c r="O138" s="1610"/>
      <c r="P138" s="1610"/>
      <c r="Q138" s="1611"/>
      <c r="R138" s="131"/>
      <c r="S138" s="131"/>
    </row>
    <row r="139" spans="1:29" ht="30" customHeight="1" thickBot="1" x14ac:dyDescent="0.25">
      <c r="A139" s="1656" t="s">
        <v>458</v>
      </c>
      <c r="B139" s="1657"/>
      <c r="C139" s="1657"/>
      <c r="D139" s="1657"/>
      <c r="E139" s="1657"/>
      <c r="F139" s="1657"/>
      <c r="G139" s="1657"/>
      <c r="H139" s="1657"/>
      <c r="I139" s="1657"/>
      <c r="J139" s="1657"/>
      <c r="K139" s="1657"/>
      <c r="L139" s="1657"/>
      <c r="M139" s="1657"/>
      <c r="N139" s="1657"/>
      <c r="O139" s="1657"/>
      <c r="P139" s="1657"/>
      <c r="Q139" s="1658"/>
      <c r="R139" s="131"/>
      <c r="S139" s="131"/>
    </row>
    <row r="140" spans="1:29" ht="30" customHeight="1" x14ac:dyDescent="0.2">
      <c r="A140" s="1659" t="s">
        <v>459</v>
      </c>
      <c r="B140" s="1661"/>
      <c r="C140" s="1634" t="s">
        <v>31</v>
      </c>
      <c r="D140" s="1634" t="s">
        <v>12</v>
      </c>
      <c r="E140" s="1654" t="s">
        <v>460</v>
      </c>
      <c r="F140" s="1654" t="s">
        <v>461</v>
      </c>
      <c r="G140" s="1654" t="s">
        <v>462</v>
      </c>
      <c r="H140" s="1654" t="s">
        <v>463</v>
      </c>
      <c r="I140" s="1654" t="s">
        <v>464</v>
      </c>
      <c r="J140" s="1654" t="s">
        <v>465</v>
      </c>
      <c r="K140" s="1654" t="s">
        <v>15</v>
      </c>
      <c r="L140" s="1665" t="s">
        <v>466</v>
      </c>
      <c r="M140" s="131"/>
      <c r="N140" s="1667" t="s">
        <v>31</v>
      </c>
      <c r="O140" s="1659" t="s">
        <v>464</v>
      </c>
      <c r="P140" s="1660"/>
      <c r="Q140" s="1661"/>
      <c r="R140" s="131"/>
      <c r="S140" s="131"/>
    </row>
    <row r="141" spans="1:29" ht="39.950000000000003" customHeight="1" thickBot="1" x14ac:dyDescent="0.25">
      <c r="A141" s="1662"/>
      <c r="B141" s="1664"/>
      <c r="C141" s="1635"/>
      <c r="D141" s="1635"/>
      <c r="E141" s="1655"/>
      <c r="F141" s="1655"/>
      <c r="G141" s="1655"/>
      <c r="H141" s="1655"/>
      <c r="I141" s="1655"/>
      <c r="J141" s="1655"/>
      <c r="K141" s="1655"/>
      <c r="L141" s="1666"/>
      <c r="M141" s="131"/>
      <c r="N141" s="1668"/>
      <c r="O141" s="1662"/>
      <c r="P141" s="1663"/>
      <c r="Q141" s="1664"/>
      <c r="R141" s="131"/>
      <c r="S141" s="131"/>
    </row>
    <row r="142" spans="1:29" ht="30" customHeight="1" thickBot="1" x14ac:dyDescent="0.25">
      <c r="A142" s="135"/>
      <c r="B142" s="298"/>
      <c r="C142" s="299"/>
      <c r="D142" s="131"/>
      <c r="E142" s="131"/>
      <c r="F142" s="131"/>
      <c r="G142" s="131"/>
      <c r="H142" s="131"/>
      <c r="I142" s="131"/>
      <c r="J142" s="131"/>
      <c r="K142" s="131"/>
      <c r="L142" s="131"/>
      <c r="M142" s="131"/>
      <c r="N142" s="131"/>
      <c r="O142" s="131"/>
      <c r="P142" s="131"/>
      <c r="Q142" s="131"/>
      <c r="R142" s="131"/>
      <c r="S142" s="131"/>
    </row>
    <row r="143" spans="1:29" ht="30" customHeight="1" x14ac:dyDescent="0.2">
      <c r="A143" s="1691" t="s">
        <v>467</v>
      </c>
      <c r="B143" s="1692"/>
      <c r="C143" s="1644" t="s">
        <v>468</v>
      </c>
      <c r="D143" s="1647" t="s">
        <v>469</v>
      </c>
      <c r="E143" s="1650" t="s">
        <v>470</v>
      </c>
      <c r="F143" s="321">
        <v>18</v>
      </c>
      <c r="G143" s="248">
        <v>0.1</v>
      </c>
      <c r="H143" s="341">
        <v>0</v>
      </c>
      <c r="I143" s="946">
        <v>0.2</v>
      </c>
      <c r="J143" s="1702">
        <v>1.96</v>
      </c>
      <c r="K143" s="1721" t="s">
        <v>471</v>
      </c>
      <c r="L143" s="1669" t="s">
        <v>472</v>
      </c>
      <c r="M143" s="131"/>
      <c r="N143" s="493"/>
      <c r="O143" s="507" t="s">
        <v>121</v>
      </c>
      <c r="P143" s="508" t="s">
        <v>122</v>
      </c>
      <c r="Q143" s="509" t="s">
        <v>123</v>
      </c>
      <c r="R143" s="131"/>
      <c r="S143" s="131"/>
    </row>
    <row r="144" spans="1:29" ht="30" customHeight="1" x14ac:dyDescent="0.2">
      <c r="A144" s="1693"/>
      <c r="B144" s="1694"/>
      <c r="C144" s="1645"/>
      <c r="D144" s="1648"/>
      <c r="E144" s="1651"/>
      <c r="F144" s="262">
        <v>21.1</v>
      </c>
      <c r="G144" s="255">
        <v>0.1</v>
      </c>
      <c r="H144" s="258">
        <v>-0.1</v>
      </c>
      <c r="I144" s="342">
        <v>0.2</v>
      </c>
      <c r="J144" s="1703"/>
      <c r="K144" s="1722"/>
      <c r="L144" s="1571"/>
      <c r="M144" s="131"/>
      <c r="N144" s="495" t="s">
        <v>473</v>
      </c>
      <c r="O144" s="510">
        <f>MAX(I143:I145)</f>
        <v>0.2</v>
      </c>
      <c r="P144" s="511">
        <f>MAX(I146:I148)</f>
        <v>1.7</v>
      </c>
      <c r="Q144" s="512">
        <f>MAX(I149:I151)</f>
        <v>7.1999999999999995E-2</v>
      </c>
      <c r="R144" s="131"/>
      <c r="S144" s="131"/>
    </row>
    <row r="145" spans="1:23" ht="30" customHeight="1" thickBot="1" x14ac:dyDescent="0.25">
      <c r="A145" s="1695"/>
      <c r="B145" s="1696"/>
      <c r="C145" s="1645"/>
      <c r="D145" s="1648"/>
      <c r="E145" s="1651"/>
      <c r="F145" s="343">
        <v>24</v>
      </c>
      <c r="G145" s="327">
        <v>0.1</v>
      </c>
      <c r="H145" s="344">
        <v>0</v>
      </c>
      <c r="I145" s="345">
        <v>0.2</v>
      </c>
      <c r="J145" s="1703">
        <v>1.96</v>
      </c>
      <c r="K145" s="1723"/>
      <c r="L145" s="1572"/>
      <c r="M145" s="131"/>
      <c r="N145" s="494"/>
      <c r="O145" s="513"/>
      <c r="P145" s="514"/>
      <c r="Q145" s="515"/>
      <c r="R145" s="131"/>
      <c r="S145" s="131"/>
    </row>
    <row r="146" spans="1:23" ht="30" customHeight="1" x14ac:dyDescent="0.2">
      <c r="A146" s="1673" t="s">
        <v>474</v>
      </c>
      <c r="B146" s="1674"/>
      <c r="C146" s="1645"/>
      <c r="D146" s="1648"/>
      <c r="E146" s="1652"/>
      <c r="F146" s="332">
        <v>33.6</v>
      </c>
      <c r="G146" s="273">
        <v>0.1</v>
      </c>
      <c r="H146" s="505">
        <v>-3.6</v>
      </c>
      <c r="I146" s="483">
        <v>1.7</v>
      </c>
      <c r="J146" s="1704">
        <v>1.96</v>
      </c>
      <c r="K146" s="1724" t="s">
        <v>475</v>
      </c>
      <c r="L146" s="1570" t="s">
        <v>476</v>
      </c>
      <c r="M146" s="131"/>
      <c r="N146" s="299"/>
      <c r="P146" s="131"/>
      <c r="Q146" s="131"/>
      <c r="R146" s="131"/>
    </row>
    <row r="147" spans="1:23" ht="30" customHeight="1" x14ac:dyDescent="0.2">
      <c r="A147" s="1675"/>
      <c r="B147" s="1676"/>
      <c r="C147" s="1645"/>
      <c r="D147" s="1648"/>
      <c r="E147" s="1652"/>
      <c r="F147" s="262">
        <v>55.8</v>
      </c>
      <c r="G147" s="255">
        <v>0.1</v>
      </c>
      <c r="H147" s="255">
        <v>-0.8</v>
      </c>
      <c r="I147" s="325">
        <v>1.7</v>
      </c>
      <c r="J147" s="1703">
        <v>1.96</v>
      </c>
      <c r="K147" s="1722"/>
      <c r="L147" s="1571"/>
      <c r="M147" s="131"/>
      <c r="N147" s="131"/>
      <c r="O147" s="131"/>
      <c r="P147" s="131"/>
      <c r="Q147" s="131"/>
      <c r="R147" s="131"/>
    </row>
    <row r="148" spans="1:23" ht="30" customHeight="1" thickBot="1" x14ac:dyDescent="0.25">
      <c r="A148" s="1677"/>
      <c r="B148" s="1678"/>
      <c r="C148" s="1645"/>
      <c r="D148" s="1648"/>
      <c r="E148" s="1652"/>
      <c r="F148" s="326">
        <v>78.400000000000006</v>
      </c>
      <c r="G148" s="327">
        <v>0.1</v>
      </c>
      <c r="H148" s="327">
        <v>2.5</v>
      </c>
      <c r="I148" s="328">
        <v>1.7</v>
      </c>
      <c r="J148" s="1703"/>
      <c r="K148" s="1723"/>
      <c r="L148" s="1572"/>
      <c r="M148" s="131"/>
      <c r="N148" s="131"/>
      <c r="O148" s="131"/>
      <c r="P148" s="131"/>
      <c r="Q148" s="131"/>
      <c r="R148" s="131"/>
    </row>
    <row r="149" spans="1:23" ht="30" customHeight="1" x14ac:dyDescent="0.2">
      <c r="A149" s="1673" t="s">
        <v>477</v>
      </c>
      <c r="B149" s="1674"/>
      <c r="C149" s="1645"/>
      <c r="D149" s="1648"/>
      <c r="E149" s="1652"/>
      <c r="F149" s="970">
        <v>499.79599999999999</v>
      </c>
      <c r="G149" s="273">
        <v>0.1</v>
      </c>
      <c r="H149" s="273">
        <v>1.548</v>
      </c>
      <c r="I149" s="971">
        <v>6.6000000000000003E-2</v>
      </c>
      <c r="J149" s="1772">
        <v>2.04</v>
      </c>
      <c r="K149" s="1724" t="s">
        <v>478</v>
      </c>
      <c r="L149" s="1759" t="s">
        <v>479</v>
      </c>
      <c r="M149" s="131"/>
      <c r="N149" s="131"/>
      <c r="O149" s="131"/>
      <c r="P149" s="131"/>
      <c r="Q149" s="131"/>
      <c r="R149" s="131"/>
      <c r="V149" s="577"/>
      <c r="W149" s="577"/>
    </row>
    <row r="150" spans="1:23" ht="30" customHeight="1" x14ac:dyDescent="0.2">
      <c r="A150" s="1675"/>
      <c r="B150" s="1676"/>
      <c r="C150" s="1645"/>
      <c r="D150" s="1648"/>
      <c r="E150" s="1652"/>
      <c r="F150" s="972">
        <v>752.29499999999996</v>
      </c>
      <c r="G150" s="255">
        <v>0.1</v>
      </c>
      <c r="H150" s="255">
        <v>1.0489999999999999</v>
      </c>
      <c r="I150" s="973">
        <v>6.8000000000000005E-2</v>
      </c>
      <c r="J150" s="1773">
        <v>2</v>
      </c>
      <c r="K150" s="1722"/>
      <c r="L150" s="1760" t="s">
        <v>480</v>
      </c>
      <c r="M150" s="131"/>
      <c r="N150" s="131"/>
      <c r="O150" s="131"/>
      <c r="P150" s="131"/>
      <c r="Q150" s="131"/>
      <c r="R150" s="131"/>
    </row>
    <row r="151" spans="1:23" ht="30" customHeight="1" thickBot="1" x14ac:dyDescent="0.25">
      <c r="A151" s="1677"/>
      <c r="B151" s="1678"/>
      <c r="C151" s="1646"/>
      <c r="D151" s="1649"/>
      <c r="E151" s="1653"/>
      <c r="F151" s="974">
        <v>949.69299999999998</v>
      </c>
      <c r="G151" s="327">
        <v>0.1</v>
      </c>
      <c r="H151" s="327">
        <v>0.82299999999999995</v>
      </c>
      <c r="I151" s="975">
        <v>7.1999999999999995E-2</v>
      </c>
      <c r="J151" s="1774"/>
      <c r="K151" s="1725"/>
      <c r="L151" s="1761"/>
      <c r="M151" s="131"/>
      <c r="N151" s="131"/>
      <c r="O151" s="131"/>
      <c r="P151" s="131"/>
      <c r="Q151" s="131"/>
      <c r="R151" s="131"/>
    </row>
    <row r="152" spans="1:23" ht="30" customHeight="1" x14ac:dyDescent="0.2">
      <c r="A152" s="135"/>
      <c r="B152" s="131"/>
      <c r="C152" s="131"/>
      <c r="D152" s="131"/>
      <c r="E152" s="131"/>
      <c r="F152" s="131"/>
      <c r="G152" s="131"/>
      <c r="H152" s="131"/>
      <c r="I152" s="131"/>
      <c r="J152" s="131"/>
      <c r="K152" s="131"/>
      <c r="M152" s="131"/>
      <c r="N152" s="131"/>
      <c r="O152" s="131"/>
      <c r="P152" s="131"/>
      <c r="Q152" s="131"/>
      <c r="R152" s="131"/>
      <c r="S152" s="131"/>
    </row>
    <row r="153" spans="1:23" ht="30" customHeight="1" thickBot="1" x14ac:dyDescent="0.25">
      <c r="M153" s="131"/>
    </row>
    <row r="154" spans="1:23" ht="30" customHeight="1" x14ac:dyDescent="0.2">
      <c r="A154" s="1673" t="s">
        <v>467</v>
      </c>
      <c r="B154" s="1674"/>
      <c r="C154" s="1644" t="s">
        <v>481</v>
      </c>
      <c r="D154" s="1647" t="s">
        <v>469</v>
      </c>
      <c r="E154" s="1697" t="s">
        <v>482</v>
      </c>
      <c r="F154" s="976">
        <v>10.3</v>
      </c>
      <c r="G154" s="977">
        <v>0.1</v>
      </c>
      <c r="H154" s="978">
        <v>0</v>
      </c>
      <c r="I154" s="979">
        <v>0.3</v>
      </c>
      <c r="J154" s="1698">
        <v>1.96</v>
      </c>
      <c r="K154" s="1726">
        <v>44704</v>
      </c>
      <c r="L154" s="1670" t="s">
        <v>483</v>
      </c>
      <c r="M154" s="131"/>
      <c r="N154" s="493"/>
      <c r="O154" s="507" t="s">
        <v>121</v>
      </c>
      <c r="P154" s="508" t="s">
        <v>122</v>
      </c>
      <c r="Q154" s="509" t="s">
        <v>123</v>
      </c>
    </row>
    <row r="155" spans="1:23" ht="30" customHeight="1" x14ac:dyDescent="0.2">
      <c r="A155" s="1675"/>
      <c r="B155" s="1676"/>
      <c r="C155" s="1645"/>
      <c r="D155" s="1648"/>
      <c r="E155" s="1652"/>
      <c r="F155" s="980">
        <v>20</v>
      </c>
      <c r="G155" s="905">
        <v>0.1</v>
      </c>
      <c r="H155" s="981">
        <v>0.1</v>
      </c>
      <c r="I155" s="982">
        <v>0.2</v>
      </c>
      <c r="J155" s="1680"/>
      <c r="K155" s="1727"/>
      <c r="L155" s="1671"/>
      <c r="M155" s="131"/>
      <c r="N155" s="495" t="s">
        <v>484</v>
      </c>
      <c r="O155" s="510">
        <f>MAX(I154:I156)</f>
        <v>0.4</v>
      </c>
      <c r="P155" s="511">
        <f>MAX(I157:I159)</f>
        <v>1.7</v>
      </c>
      <c r="Q155" s="512">
        <f>MAX(I160:I162)</f>
        <v>8.7999999999999995E-2</v>
      </c>
    </row>
    <row r="156" spans="1:23" ht="30" customHeight="1" thickBot="1" x14ac:dyDescent="0.25">
      <c r="A156" s="1677"/>
      <c r="B156" s="1678"/>
      <c r="C156" s="1645"/>
      <c r="D156" s="1648"/>
      <c r="E156" s="1652"/>
      <c r="F156" s="983">
        <v>39.200000000000003</v>
      </c>
      <c r="G156" s="906">
        <v>0.1</v>
      </c>
      <c r="H156" s="984">
        <v>0.3</v>
      </c>
      <c r="I156" s="985">
        <v>0.4</v>
      </c>
      <c r="J156" s="1680"/>
      <c r="K156" s="1728"/>
      <c r="L156" s="1672"/>
      <c r="M156" s="131"/>
      <c r="N156" s="494"/>
      <c r="O156" s="513"/>
      <c r="P156" s="514"/>
      <c r="Q156" s="515"/>
    </row>
    <row r="157" spans="1:23" ht="30" customHeight="1" x14ac:dyDescent="0.2">
      <c r="A157" s="1673" t="s">
        <v>474</v>
      </c>
      <c r="B157" s="1674"/>
      <c r="C157" s="1645"/>
      <c r="D157" s="1648"/>
      <c r="E157" s="1652"/>
      <c r="F157" s="976">
        <v>33.299999999999997</v>
      </c>
      <c r="G157" s="977">
        <v>0.1</v>
      </c>
      <c r="H157" s="977">
        <v>-3.3</v>
      </c>
      <c r="I157" s="986">
        <v>1.7</v>
      </c>
      <c r="J157" s="1679">
        <v>1.96</v>
      </c>
      <c r="K157" s="1729" t="s">
        <v>485</v>
      </c>
      <c r="L157" s="1681" t="s">
        <v>486</v>
      </c>
      <c r="M157" s="131"/>
      <c r="N157" s="131"/>
      <c r="O157" s="131"/>
      <c r="P157" s="131"/>
      <c r="Q157" s="131"/>
    </row>
    <row r="158" spans="1:23" ht="30" customHeight="1" x14ac:dyDescent="0.2">
      <c r="A158" s="1675"/>
      <c r="B158" s="1676"/>
      <c r="C158" s="1645"/>
      <c r="D158" s="1648"/>
      <c r="E158" s="1652"/>
      <c r="F158" s="987">
        <v>51.3</v>
      </c>
      <c r="G158" s="905">
        <v>0.1</v>
      </c>
      <c r="H158" s="905">
        <v>-1.4</v>
      </c>
      <c r="I158" s="988">
        <v>1.7</v>
      </c>
      <c r="J158" s="1680"/>
      <c r="K158" s="1727"/>
      <c r="L158" s="1671"/>
      <c r="M158" s="131"/>
      <c r="N158" s="131"/>
      <c r="O158" s="131"/>
      <c r="P158" s="131"/>
      <c r="Q158" s="131"/>
      <c r="R158" s="131"/>
    </row>
    <row r="159" spans="1:23" ht="30" customHeight="1" thickBot="1" x14ac:dyDescent="0.25">
      <c r="A159" s="1677"/>
      <c r="B159" s="1678"/>
      <c r="C159" s="1645"/>
      <c r="D159" s="1648"/>
      <c r="E159" s="1652"/>
      <c r="F159" s="989">
        <v>77.5</v>
      </c>
      <c r="G159" s="906">
        <v>0.1</v>
      </c>
      <c r="H159" s="906">
        <v>2.5</v>
      </c>
      <c r="I159" s="990">
        <v>1.7</v>
      </c>
      <c r="J159" s="1680"/>
      <c r="K159" s="1728"/>
      <c r="L159" s="1672"/>
      <c r="M159" s="131"/>
      <c r="N159" s="131"/>
      <c r="O159" s="131"/>
      <c r="P159" s="131"/>
      <c r="Q159" s="131"/>
      <c r="R159" s="131"/>
    </row>
    <row r="160" spans="1:23" ht="30" customHeight="1" x14ac:dyDescent="0.2">
      <c r="A160" s="1673" t="s">
        <v>477</v>
      </c>
      <c r="B160" s="1674"/>
      <c r="C160" s="1645"/>
      <c r="D160" s="1648"/>
      <c r="E160" s="1652"/>
      <c r="F160" s="947">
        <v>499.02600000000001</v>
      </c>
      <c r="G160" s="945">
        <v>0.1</v>
      </c>
      <c r="H160" s="945">
        <v>1.573</v>
      </c>
      <c r="I160" s="948">
        <v>7.6999999999999999E-2</v>
      </c>
      <c r="J160" s="1699">
        <v>1.96</v>
      </c>
      <c r="K160" s="1729" t="s">
        <v>487</v>
      </c>
      <c r="L160" s="1681" t="s">
        <v>488</v>
      </c>
      <c r="M160" s="131"/>
      <c r="N160" s="131"/>
      <c r="O160" s="131"/>
    </row>
    <row r="161" spans="1:21" ht="30" customHeight="1" x14ac:dyDescent="0.2">
      <c r="A161" s="1675"/>
      <c r="B161" s="1676"/>
      <c r="C161" s="1645"/>
      <c r="D161" s="1648"/>
      <c r="E161" s="1652"/>
      <c r="F161" s="949">
        <v>752.18100000000004</v>
      </c>
      <c r="G161" s="905">
        <v>0.1</v>
      </c>
      <c r="H161" s="950">
        <v>1.0469999999999999</v>
      </c>
      <c r="I161" s="951">
        <v>8.3000000000000004E-2</v>
      </c>
      <c r="J161" s="1700">
        <v>1.96</v>
      </c>
      <c r="K161" s="1727"/>
      <c r="L161" s="1671" t="s">
        <v>489</v>
      </c>
      <c r="M161" s="131"/>
      <c r="N161" s="131"/>
      <c r="O161" s="131"/>
    </row>
    <row r="162" spans="1:21" ht="30" customHeight="1" thickBot="1" x14ac:dyDescent="0.25">
      <c r="A162" s="1677"/>
      <c r="B162" s="1678"/>
      <c r="C162" s="1646"/>
      <c r="D162" s="1649"/>
      <c r="E162" s="1653"/>
      <c r="F162" s="952">
        <v>900.66499999999996</v>
      </c>
      <c r="G162" s="906">
        <v>0.1</v>
      </c>
      <c r="H162" s="906">
        <v>0.73699999999999999</v>
      </c>
      <c r="I162" s="953">
        <v>8.7999999999999995E-2</v>
      </c>
      <c r="J162" s="1701">
        <v>2</v>
      </c>
      <c r="K162" s="1730"/>
      <c r="L162" s="1758" t="s">
        <v>490</v>
      </c>
      <c r="M162" s="131"/>
      <c r="N162" s="131"/>
      <c r="O162" s="131"/>
    </row>
    <row r="163" spans="1:21" ht="30" customHeight="1" x14ac:dyDescent="0.2">
      <c r="M163" s="131"/>
      <c r="U163" s="127" t="s">
        <v>104</v>
      </c>
    </row>
    <row r="164" spans="1:21" ht="30" customHeight="1" thickBot="1" x14ac:dyDescent="0.25">
      <c r="M164" s="131"/>
    </row>
    <row r="165" spans="1:21" ht="30" customHeight="1" x14ac:dyDescent="0.2">
      <c r="A165" s="1685" t="s">
        <v>467</v>
      </c>
      <c r="B165" s="1686"/>
      <c r="C165" s="1644" t="s">
        <v>491</v>
      </c>
      <c r="D165" s="1707" t="s">
        <v>469</v>
      </c>
      <c r="E165" s="1710">
        <v>19506160802033</v>
      </c>
      <c r="F165" s="321">
        <v>14.9</v>
      </c>
      <c r="G165" s="248">
        <v>0.1</v>
      </c>
      <c r="H165" s="248">
        <v>0.1</v>
      </c>
      <c r="I165" s="954">
        <v>0.2</v>
      </c>
      <c r="J165" s="1738">
        <v>1.96</v>
      </c>
      <c r="K165" s="1721" t="s">
        <v>492</v>
      </c>
      <c r="L165" s="1762" t="s">
        <v>493</v>
      </c>
      <c r="M165" s="131"/>
      <c r="N165" s="493"/>
      <c r="O165" s="507" t="s">
        <v>121</v>
      </c>
      <c r="P165" s="508" t="s">
        <v>122</v>
      </c>
      <c r="Q165" s="509" t="s">
        <v>123</v>
      </c>
    </row>
    <row r="166" spans="1:21" ht="30" customHeight="1" x14ac:dyDescent="0.2">
      <c r="A166" s="1687"/>
      <c r="B166" s="1688"/>
      <c r="C166" s="1705"/>
      <c r="D166" s="1708"/>
      <c r="E166" s="1652"/>
      <c r="F166" s="262">
        <v>25</v>
      </c>
      <c r="G166" s="255">
        <v>0.1</v>
      </c>
      <c r="H166" s="255">
        <v>0</v>
      </c>
      <c r="I166" s="325">
        <v>0.2</v>
      </c>
      <c r="J166" s="1739"/>
      <c r="K166" s="1722"/>
      <c r="L166" s="1763"/>
      <c r="M166" s="131"/>
      <c r="N166" s="495" t="s">
        <v>494</v>
      </c>
      <c r="O166" s="510">
        <f>MAX(I165:I167)</f>
        <v>0.2</v>
      </c>
      <c r="P166" s="511">
        <f>MAX(I168:I170)</f>
        <v>1.7</v>
      </c>
      <c r="Q166" s="512">
        <f>MAX(I171:I173)</f>
        <v>7.3999999999999996E-2</v>
      </c>
    </row>
    <row r="167" spans="1:21" ht="30" customHeight="1" thickBot="1" x14ac:dyDescent="0.25">
      <c r="A167" s="1689"/>
      <c r="B167" s="1690"/>
      <c r="C167" s="1705"/>
      <c r="D167" s="1708"/>
      <c r="E167" s="1652"/>
      <c r="F167" s="326">
        <v>34.9</v>
      </c>
      <c r="G167" s="327">
        <v>0.1</v>
      </c>
      <c r="H167" s="327">
        <v>0.1</v>
      </c>
      <c r="I167" s="328">
        <v>0.2</v>
      </c>
      <c r="J167" s="1740"/>
      <c r="K167" s="1723"/>
      <c r="L167" s="1764"/>
      <c r="M167" s="131"/>
      <c r="N167" s="494"/>
      <c r="O167" s="513"/>
      <c r="P167" s="514"/>
      <c r="Q167" s="515"/>
    </row>
    <row r="168" spans="1:21" ht="30" customHeight="1" x14ac:dyDescent="0.2">
      <c r="A168" s="1673" t="s">
        <v>474</v>
      </c>
      <c r="B168" s="1674"/>
      <c r="C168" s="1705"/>
      <c r="D168" s="1708"/>
      <c r="E168" s="1652"/>
      <c r="F168" s="329">
        <v>32.9</v>
      </c>
      <c r="G168" s="955">
        <v>0.1</v>
      </c>
      <c r="H168" s="955">
        <v>-2.9</v>
      </c>
      <c r="I168" s="956">
        <v>1.7</v>
      </c>
      <c r="J168" s="1682">
        <v>1.96</v>
      </c>
      <c r="K168" s="1724" t="s">
        <v>475</v>
      </c>
      <c r="L168" s="1755" t="s">
        <v>495</v>
      </c>
      <c r="M168" s="131"/>
      <c r="N168" s="299"/>
      <c r="O168" s="131"/>
      <c r="P168" s="131"/>
      <c r="Q168" s="131"/>
      <c r="R168" s="131"/>
    </row>
    <row r="169" spans="1:21" ht="30" customHeight="1" x14ac:dyDescent="0.2">
      <c r="A169" s="1675"/>
      <c r="B169" s="1676"/>
      <c r="C169" s="1705"/>
      <c r="D169" s="1708"/>
      <c r="E169" s="1652"/>
      <c r="F169" s="262">
        <v>55.6</v>
      </c>
      <c r="G169" s="330">
        <v>0.1</v>
      </c>
      <c r="H169" s="330">
        <v>-0.6</v>
      </c>
      <c r="I169" s="325">
        <v>1.7</v>
      </c>
      <c r="J169" s="1683"/>
      <c r="K169" s="1722"/>
      <c r="L169" s="1756"/>
      <c r="M169" s="131"/>
      <c r="N169" s="131"/>
      <c r="O169" s="131"/>
      <c r="P169" s="131"/>
      <c r="Q169" s="131"/>
      <c r="R169" s="131"/>
    </row>
    <row r="170" spans="1:21" ht="30" customHeight="1" thickBot="1" x14ac:dyDescent="0.25">
      <c r="A170" s="1677"/>
      <c r="B170" s="1678"/>
      <c r="C170" s="1705"/>
      <c r="D170" s="1708"/>
      <c r="E170" s="1652"/>
      <c r="F170" s="326">
        <v>79</v>
      </c>
      <c r="G170" s="331">
        <v>0.1</v>
      </c>
      <c r="H170" s="331">
        <v>1.9</v>
      </c>
      <c r="I170" s="328">
        <v>1.7</v>
      </c>
      <c r="J170" s="1684"/>
      <c r="K170" s="1723"/>
      <c r="L170" s="1765"/>
      <c r="M170" s="131"/>
      <c r="N170" s="131"/>
      <c r="O170" s="131"/>
      <c r="P170" s="131"/>
      <c r="Q170" s="131"/>
      <c r="R170" s="131"/>
    </row>
    <row r="171" spans="1:21" ht="30" customHeight="1" x14ac:dyDescent="0.2">
      <c r="A171" s="1673" t="s">
        <v>477</v>
      </c>
      <c r="B171" s="1674"/>
      <c r="C171" s="1705"/>
      <c r="D171" s="1708"/>
      <c r="E171" s="1652"/>
      <c r="F171" s="332">
        <v>499.80099999999999</v>
      </c>
      <c r="G171" s="333">
        <v>0.1</v>
      </c>
      <c r="H171" s="334">
        <v>1.742</v>
      </c>
      <c r="I171" s="335">
        <v>6.6000000000000003E-2</v>
      </c>
      <c r="J171" s="1682">
        <v>2.04</v>
      </c>
      <c r="K171" s="1724" t="s">
        <v>478</v>
      </c>
      <c r="L171" s="1755" t="s">
        <v>496</v>
      </c>
      <c r="M171" s="131"/>
      <c r="N171" s="131"/>
      <c r="O171" s="131"/>
      <c r="P171" s="131"/>
      <c r="Q171" s="131"/>
      <c r="R171" s="131"/>
    </row>
    <row r="172" spans="1:21" ht="30" customHeight="1" x14ac:dyDescent="0.2">
      <c r="A172" s="1675"/>
      <c r="B172" s="1676"/>
      <c r="C172" s="1705"/>
      <c r="D172" s="1708"/>
      <c r="E172" s="1652"/>
      <c r="F172" s="262">
        <v>752.29600000000005</v>
      </c>
      <c r="G172" s="330">
        <v>0.1</v>
      </c>
      <c r="H172" s="336">
        <v>1.2150000000000001</v>
      </c>
      <c r="I172" s="337">
        <v>6.8000000000000005E-2</v>
      </c>
      <c r="J172" s="1683"/>
      <c r="K172" s="1722"/>
      <c r="L172" s="1756"/>
      <c r="M172" s="131"/>
      <c r="N172" s="131"/>
      <c r="O172" s="131"/>
      <c r="P172" s="131"/>
      <c r="Q172" s="131"/>
      <c r="R172" s="131"/>
    </row>
    <row r="173" spans="1:21" ht="30" customHeight="1" thickBot="1" x14ac:dyDescent="0.25">
      <c r="A173" s="1677"/>
      <c r="B173" s="1678"/>
      <c r="C173" s="1706"/>
      <c r="D173" s="1709"/>
      <c r="E173" s="1653"/>
      <c r="F173" s="338" t="s">
        <v>497</v>
      </c>
      <c r="G173" s="331">
        <v>0.1</v>
      </c>
      <c r="H173" s="339">
        <v>1.1379999999999999</v>
      </c>
      <c r="I173" s="340">
        <v>7.3999999999999996E-2</v>
      </c>
      <c r="J173" s="1737"/>
      <c r="K173" s="1725"/>
      <c r="L173" s="1757"/>
      <c r="M173" s="131"/>
      <c r="N173" s="131"/>
      <c r="O173" s="131"/>
      <c r="P173" s="131"/>
      <c r="Q173" s="131"/>
      <c r="R173" s="131"/>
    </row>
    <row r="174" spans="1:21" ht="30" customHeight="1" x14ac:dyDescent="0.2">
      <c r="M174" s="131"/>
    </row>
    <row r="175" spans="1:21" ht="30" customHeight="1" thickBot="1" x14ac:dyDescent="0.25">
      <c r="M175" s="131"/>
    </row>
    <row r="176" spans="1:21" ht="30" customHeight="1" x14ac:dyDescent="0.2">
      <c r="A176" s="1673" t="s">
        <v>467</v>
      </c>
      <c r="B176" s="1674"/>
      <c r="C176" s="1644" t="s">
        <v>498</v>
      </c>
      <c r="D176" s="1647" t="s">
        <v>469</v>
      </c>
      <c r="E176" s="1710">
        <v>19406160802033</v>
      </c>
      <c r="F176" s="321">
        <v>14.9</v>
      </c>
      <c r="G176" s="248">
        <v>0.1</v>
      </c>
      <c r="H176" s="341">
        <v>0</v>
      </c>
      <c r="I176" s="346">
        <v>0.2</v>
      </c>
      <c r="J176" s="1702">
        <v>1.96</v>
      </c>
      <c r="K176" s="1721" t="s">
        <v>499</v>
      </c>
      <c r="L176" s="1669" t="s">
        <v>500</v>
      </c>
      <c r="M176" s="131"/>
      <c r="N176" s="493"/>
      <c r="O176" s="507" t="s">
        <v>121</v>
      </c>
      <c r="P176" s="508" t="s">
        <v>122</v>
      </c>
      <c r="Q176" s="509" t="s">
        <v>123</v>
      </c>
    </row>
    <row r="177" spans="1:19" ht="30" customHeight="1" x14ac:dyDescent="0.2">
      <c r="A177" s="1675"/>
      <c r="B177" s="1676"/>
      <c r="C177" s="1705"/>
      <c r="D177" s="1648"/>
      <c r="E177" s="1652"/>
      <c r="F177" s="262">
        <v>24.9</v>
      </c>
      <c r="G177" s="255">
        <v>0.1</v>
      </c>
      <c r="H177" s="258">
        <v>0</v>
      </c>
      <c r="I177" s="325">
        <v>0.2</v>
      </c>
      <c r="J177" s="1703"/>
      <c r="K177" s="1722"/>
      <c r="L177" s="1571"/>
      <c r="M177" s="131"/>
      <c r="N177" s="495" t="s">
        <v>501</v>
      </c>
      <c r="O177" s="510">
        <f>MAX(I176:I178)</f>
        <v>0.2</v>
      </c>
      <c r="P177" s="511">
        <f>MAX(I179:I181)</f>
        <v>1.7</v>
      </c>
      <c r="Q177" s="512">
        <f>MAX(I182:I184)</f>
        <v>7.1999999999999995E-2</v>
      </c>
    </row>
    <row r="178" spans="1:19" ht="30" customHeight="1" thickBot="1" x14ac:dyDescent="0.25">
      <c r="A178" s="1677"/>
      <c r="B178" s="1678"/>
      <c r="C178" s="1705"/>
      <c r="D178" s="1648"/>
      <c r="E178" s="1652"/>
      <c r="F178" s="326">
        <v>34.9</v>
      </c>
      <c r="G178" s="957">
        <v>0.1</v>
      </c>
      <c r="H178" s="327">
        <v>0</v>
      </c>
      <c r="I178" s="328">
        <v>0.2</v>
      </c>
      <c r="J178" s="1703"/>
      <c r="K178" s="1723"/>
      <c r="L178" s="1572"/>
      <c r="M178" s="131"/>
      <c r="N178" s="494"/>
      <c r="O178" s="513"/>
      <c r="P178" s="514"/>
      <c r="Q178" s="515"/>
    </row>
    <row r="179" spans="1:19" ht="30" customHeight="1" x14ac:dyDescent="0.2">
      <c r="A179" s="1673" t="s">
        <v>474</v>
      </c>
      <c r="B179" s="1674"/>
      <c r="C179" s="1705"/>
      <c r="D179" s="1648"/>
      <c r="E179" s="1652"/>
      <c r="F179" s="329">
        <v>33.299999999999997</v>
      </c>
      <c r="G179" s="248">
        <v>0.1</v>
      </c>
      <c r="H179" s="248">
        <v>-3.3</v>
      </c>
      <c r="I179" s="346">
        <v>1.7</v>
      </c>
      <c r="J179" s="1704">
        <v>1.96</v>
      </c>
      <c r="K179" s="1724" t="s">
        <v>502</v>
      </c>
      <c r="L179" s="1570" t="s">
        <v>503</v>
      </c>
      <c r="M179" s="131"/>
      <c r="N179" s="131"/>
      <c r="O179" s="131"/>
      <c r="P179" s="131"/>
      <c r="Q179" s="131"/>
      <c r="R179" s="131"/>
    </row>
    <row r="180" spans="1:19" ht="35.1" customHeight="1" x14ac:dyDescent="0.2">
      <c r="A180" s="1675"/>
      <c r="B180" s="1676"/>
      <c r="C180" s="1705"/>
      <c r="D180" s="1648"/>
      <c r="E180" s="1652"/>
      <c r="F180" s="262">
        <v>56.1</v>
      </c>
      <c r="G180" s="255">
        <v>0.1</v>
      </c>
      <c r="H180" s="255">
        <v>-1.1000000000000001</v>
      </c>
      <c r="I180" s="325">
        <v>1.7</v>
      </c>
      <c r="J180" s="1703">
        <v>2</v>
      </c>
      <c r="K180" s="1722"/>
      <c r="L180" s="1571"/>
      <c r="M180" s="131"/>
      <c r="N180" s="131"/>
      <c r="O180" s="131"/>
      <c r="P180" s="131"/>
      <c r="Q180" s="131"/>
      <c r="R180" s="131"/>
    </row>
    <row r="181" spans="1:19" ht="35.1" customHeight="1" thickBot="1" x14ac:dyDescent="0.25">
      <c r="A181" s="1677"/>
      <c r="B181" s="1678"/>
      <c r="C181" s="1705"/>
      <c r="D181" s="1648"/>
      <c r="E181" s="1652"/>
      <c r="F181" s="326">
        <v>82.1</v>
      </c>
      <c r="G181" s="327">
        <v>0.1</v>
      </c>
      <c r="H181" s="327">
        <v>-1.2</v>
      </c>
      <c r="I181" s="328">
        <v>1.7</v>
      </c>
      <c r="J181" s="1703"/>
      <c r="K181" s="1723"/>
      <c r="L181" s="1572"/>
      <c r="M181" s="131"/>
      <c r="N181" s="131"/>
      <c r="O181" s="131"/>
      <c r="P181" s="131"/>
      <c r="Q181" s="131"/>
      <c r="R181" s="131"/>
    </row>
    <row r="182" spans="1:19" ht="39.950000000000003" customHeight="1" x14ac:dyDescent="0.2">
      <c r="A182" s="1673" t="s">
        <v>477</v>
      </c>
      <c r="B182" s="1674"/>
      <c r="C182" s="1705"/>
      <c r="D182" s="1648"/>
      <c r="E182" s="1652"/>
      <c r="F182" s="347">
        <v>399.84</v>
      </c>
      <c r="G182" s="273">
        <v>0.1</v>
      </c>
      <c r="H182" s="482">
        <v>1.6759999999999999</v>
      </c>
      <c r="I182" s="483">
        <v>6.5000000000000002E-2</v>
      </c>
      <c r="J182" s="1704">
        <v>2.04</v>
      </c>
      <c r="K182" s="1724" t="s">
        <v>478</v>
      </c>
      <c r="L182" s="1570" t="s">
        <v>504</v>
      </c>
      <c r="M182" s="131"/>
      <c r="N182" s="131"/>
      <c r="O182" s="131"/>
      <c r="P182" s="131"/>
      <c r="Q182" s="131"/>
      <c r="R182" s="131"/>
    </row>
    <row r="183" spans="1:19" ht="39.950000000000003" customHeight="1" x14ac:dyDescent="0.2">
      <c r="A183" s="1675"/>
      <c r="B183" s="1676"/>
      <c r="C183" s="1705"/>
      <c r="D183" s="1648"/>
      <c r="E183" s="1652"/>
      <c r="F183" s="262">
        <v>752.29499999999996</v>
      </c>
      <c r="G183" s="255">
        <v>0.1</v>
      </c>
      <c r="H183" s="259">
        <v>0.81399999999999995</v>
      </c>
      <c r="I183" s="325">
        <v>6.8000000000000005E-2</v>
      </c>
      <c r="J183" s="1703">
        <v>2</v>
      </c>
      <c r="K183" s="1722"/>
      <c r="L183" s="1571"/>
      <c r="M183" s="131"/>
      <c r="N183" s="131"/>
      <c r="O183" s="131"/>
      <c r="P183" s="131"/>
      <c r="Q183" s="131"/>
      <c r="R183" s="131"/>
    </row>
    <row r="184" spans="1:19" ht="39.950000000000003" customHeight="1" thickBot="1" x14ac:dyDescent="0.25">
      <c r="A184" s="1677"/>
      <c r="B184" s="1678"/>
      <c r="C184" s="1706"/>
      <c r="D184" s="1649"/>
      <c r="E184" s="1653"/>
      <c r="F184" s="326">
        <v>999.72299999999996</v>
      </c>
      <c r="G184" s="327">
        <v>0.1</v>
      </c>
      <c r="H184" s="486">
        <v>0.54900000000000004</v>
      </c>
      <c r="I184" s="348">
        <v>7.1999999999999995E-2</v>
      </c>
      <c r="J184" s="1736"/>
      <c r="K184" s="1725"/>
      <c r="L184" s="1771"/>
      <c r="M184" s="131"/>
    </row>
    <row r="185" spans="1:19" ht="39.950000000000003" customHeight="1" x14ac:dyDescent="0.2">
      <c r="M185" s="131"/>
    </row>
    <row r="186" spans="1:19" ht="39.950000000000003" customHeight="1" thickBot="1" x14ac:dyDescent="0.25">
      <c r="M186" s="131"/>
    </row>
    <row r="187" spans="1:19" ht="30" customHeight="1" x14ac:dyDescent="0.2">
      <c r="A187" s="1673" t="s">
        <v>467</v>
      </c>
      <c r="B187" s="1674"/>
      <c r="C187" s="1644" t="s">
        <v>505</v>
      </c>
      <c r="D187" s="1647" t="s">
        <v>469</v>
      </c>
      <c r="E187" s="1650" t="s">
        <v>506</v>
      </c>
      <c r="F187" s="300">
        <v>17.100000000000001</v>
      </c>
      <c r="G187" s="301">
        <v>0.1</v>
      </c>
      <c r="H187" s="302">
        <v>-0.2</v>
      </c>
      <c r="I187" s="303">
        <v>0.2</v>
      </c>
      <c r="J187" s="1731">
        <v>1.96</v>
      </c>
      <c r="K187" s="1770" t="s">
        <v>499</v>
      </c>
      <c r="L187" s="1752" t="s">
        <v>507</v>
      </c>
      <c r="M187" s="131"/>
      <c r="N187" s="493"/>
      <c r="O187" s="507" t="s">
        <v>121</v>
      </c>
      <c r="P187" s="508" t="s">
        <v>122</v>
      </c>
      <c r="Q187" s="509" t="s">
        <v>123</v>
      </c>
    </row>
    <row r="188" spans="1:19" ht="30" customHeight="1" x14ac:dyDescent="0.2">
      <c r="A188" s="1675"/>
      <c r="B188" s="1676"/>
      <c r="C188" s="1705"/>
      <c r="D188" s="1648"/>
      <c r="E188" s="1651"/>
      <c r="F188" s="304">
        <v>20.100000000000001</v>
      </c>
      <c r="G188" s="305">
        <v>0.1</v>
      </c>
      <c r="H188" s="306">
        <v>-0.1</v>
      </c>
      <c r="I188" s="307">
        <v>0.2</v>
      </c>
      <c r="J188" s="1732"/>
      <c r="K188" s="1767"/>
      <c r="L188" s="1753"/>
      <c r="M188" s="131"/>
      <c r="N188" s="495" t="s">
        <v>508</v>
      </c>
      <c r="O188" s="510">
        <f>MAX(I187:I189)</f>
        <v>0.2</v>
      </c>
      <c r="P188" s="511">
        <f>MAX(I190:I192)</f>
        <v>1.7</v>
      </c>
      <c r="Q188" s="512">
        <f>MAX(I193:I195)</f>
        <v>7.0999999999999994E-2</v>
      </c>
    </row>
    <row r="189" spans="1:19" ht="30" customHeight="1" thickBot="1" x14ac:dyDescent="0.25">
      <c r="A189" s="1677"/>
      <c r="B189" s="1678"/>
      <c r="C189" s="1705"/>
      <c r="D189" s="1648"/>
      <c r="E189" s="1651"/>
      <c r="F189" s="308">
        <v>23.1</v>
      </c>
      <c r="G189" s="309">
        <v>0.1</v>
      </c>
      <c r="H189" s="310">
        <v>-0.1</v>
      </c>
      <c r="I189" s="311">
        <v>0.2</v>
      </c>
      <c r="J189" s="1732"/>
      <c r="K189" s="1769"/>
      <c r="L189" s="1754"/>
      <c r="M189" s="131"/>
      <c r="N189" s="494"/>
      <c r="O189" s="513"/>
      <c r="P189" s="514"/>
      <c r="Q189" s="515"/>
    </row>
    <row r="190" spans="1:19" ht="30" customHeight="1" x14ac:dyDescent="0.2">
      <c r="A190" s="1673" t="s">
        <v>474</v>
      </c>
      <c r="B190" s="1674"/>
      <c r="C190" s="1705"/>
      <c r="D190" s="1648"/>
      <c r="E190" s="1651"/>
      <c r="F190" s="300">
        <v>33.299999999999997</v>
      </c>
      <c r="G190" s="301">
        <v>0.1</v>
      </c>
      <c r="H190" s="301">
        <v>-3.3</v>
      </c>
      <c r="I190" s="303">
        <v>1.7</v>
      </c>
      <c r="J190" s="1732">
        <v>1.96</v>
      </c>
      <c r="K190" s="1766" t="s">
        <v>502</v>
      </c>
      <c r="L190" s="1746" t="s">
        <v>509</v>
      </c>
      <c r="M190" s="131"/>
      <c r="N190" s="131"/>
      <c r="O190" s="131"/>
      <c r="P190" s="131"/>
      <c r="Q190" s="131"/>
      <c r="R190" s="131"/>
      <c r="S190" s="131"/>
    </row>
    <row r="191" spans="1:19" ht="30" customHeight="1" x14ac:dyDescent="0.2">
      <c r="A191" s="1675"/>
      <c r="B191" s="1676"/>
      <c r="C191" s="1705"/>
      <c r="D191" s="1648"/>
      <c r="E191" s="1651"/>
      <c r="F191" s="312">
        <v>55.6</v>
      </c>
      <c r="G191" s="305">
        <v>0.1</v>
      </c>
      <c r="H191" s="306">
        <v>-0.6</v>
      </c>
      <c r="I191" s="307">
        <v>1.7</v>
      </c>
      <c r="J191" s="1732"/>
      <c r="K191" s="1767"/>
      <c r="L191" s="1747"/>
      <c r="M191" s="131"/>
      <c r="N191" s="131"/>
      <c r="O191" s="131"/>
      <c r="P191" s="131"/>
      <c r="Q191" s="131"/>
      <c r="R191" s="131"/>
      <c r="S191" s="131"/>
    </row>
    <row r="192" spans="1:19" ht="30" customHeight="1" thickBot="1" x14ac:dyDescent="0.25">
      <c r="A192" s="1677"/>
      <c r="B192" s="1678"/>
      <c r="C192" s="1705"/>
      <c r="D192" s="1648"/>
      <c r="E192" s="1651"/>
      <c r="F192" s="313">
        <v>78.8</v>
      </c>
      <c r="G192" s="309">
        <v>0.1</v>
      </c>
      <c r="H192" s="310">
        <v>2.1</v>
      </c>
      <c r="I192" s="311">
        <v>1.7</v>
      </c>
      <c r="J192" s="1732"/>
      <c r="K192" s="1769"/>
      <c r="L192" s="1748"/>
      <c r="M192" s="131"/>
      <c r="N192" s="131"/>
      <c r="O192" s="131"/>
      <c r="P192" s="131"/>
      <c r="Q192" s="131"/>
      <c r="R192" s="131"/>
      <c r="S192" s="131"/>
    </row>
    <row r="193" spans="1:22" ht="30" customHeight="1" x14ac:dyDescent="0.2">
      <c r="A193" s="1673" t="s">
        <v>477</v>
      </c>
      <c r="B193" s="1674"/>
      <c r="C193" s="1705"/>
      <c r="D193" s="1648"/>
      <c r="E193" s="1651"/>
      <c r="F193" s="300">
        <v>499.78800000000001</v>
      </c>
      <c r="G193" s="301">
        <v>0.1</v>
      </c>
      <c r="H193" s="314">
        <v>1.6559999999999999</v>
      </c>
      <c r="I193" s="315">
        <v>6.6000000000000003E-2</v>
      </c>
      <c r="J193" s="1733">
        <v>2.04</v>
      </c>
      <c r="K193" s="1766" t="s">
        <v>478</v>
      </c>
      <c r="L193" s="1749" t="s">
        <v>510</v>
      </c>
      <c r="N193" s="131"/>
      <c r="O193" s="131"/>
      <c r="P193" s="131"/>
      <c r="Q193" s="131"/>
      <c r="R193" s="131"/>
      <c r="S193" s="131"/>
    </row>
    <row r="194" spans="1:22" ht="30" customHeight="1" x14ac:dyDescent="0.2">
      <c r="A194" s="1675"/>
      <c r="B194" s="1676"/>
      <c r="C194" s="1705"/>
      <c r="D194" s="1648"/>
      <c r="E194" s="1651"/>
      <c r="F194" s="304">
        <v>752.28800000000001</v>
      </c>
      <c r="G194" s="305">
        <v>0.1</v>
      </c>
      <c r="H194" s="316">
        <v>1.0900000000000001</v>
      </c>
      <c r="I194" s="317">
        <v>6.8000000000000005E-2</v>
      </c>
      <c r="J194" s="1734"/>
      <c r="K194" s="1767"/>
      <c r="L194" s="1750"/>
      <c r="N194" s="131"/>
      <c r="O194" s="131"/>
      <c r="P194" s="131"/>
      <c r="Q194" s="131"/>
      <c r="R194" s="131"/>
      <c r="S194" s="131"/>
    </row>
    <row r="195" spans="1:22" ht="30" customHeight="1" thickBot="1" x14ac:dyDescent="0.3">
      <c r="A195" s="1677"/>
      <c r="B195" s="1678"/>
      <c r="C195" s="1706"/>
      <c r="D195" s="1649"/>
      <c r="E195" s="1718"/>
      <c r="F195" s="318">
        <v>899.58299999999997</v>
      </c>
      <c r="G195" s="309">
        <v>0.1</v>
      </c>
      <c r="H195" s="319">
        <v>0.85599999999999998</v>
      </c>
      <c r="I195" s="320">
        <v>7.0999999999999994E-2</v>
      </c>
      <c r="J195" s="1735"/>
      <c r="K195" s="1768"/>
      <c r="L195" s="1751"/>
    </row>
    <row r="196" spans="1:22" ht="30" customHeight="1" x14ac:dyDescent="0.25"/>
    <row r="197" spans="1:22" ht="30" customHeight="1" x14ac:dyDescent="0.25"/>
    <row r="198" spans="1:22" ht="30" customHeight="1" x14ac:dyDescent="0.25"/>
    <row r="199" spans="1:22" ht="30" customHeight="1" thickBot="1" x14ac:dyDescent="0.3"/>
    <row r="200" spans="1:22" ht="43.5" customHeight="1" thickBot="1" x14ac:dyDescent="0.3">
      <c r="B200" s="1656" t="s">
        <v>511</v>
      </c>
      <c r="C200" s="1657"/>
      <c r="D200" s="1657"/>
      <c r="E200" s="1657"/>
      <c r="F200" s="1657"/>
      <c r="G200" s="1658"/>
      <c r="I200" s="484" t="s">
        <v>31</v>
      </c>
      <c r="J200" s="484" t="s">
        <v>12</v>
      </c>
      <c r="K200" s="506" t="s">
        <v>460</v>
      </c>
      <c r="L200" s="506" t="s">
        <v>15</v>
      </c>
      <c r="M200" s="506" t="s">
        <v>466</v>
      </c>
      <c r="N200" s="490" t="s">
        <v>121</v>
      </c>
      <c r="O200" s="490" t="s">
        <v>122</v>
      </c>
      <c r="P200" s="490" t="s">
        <v>123</v>
      </c>
      <c r="Q200" s="490" t="s">
        <v>512</v>
      </c>
      <c r="R200" s="490" t="s">
        <v>513</v>
      </c>
      <c r="S200" s="490" t="s">
        <v>514</v>
      </c>
      <c r="T200" s="490" t="s">
        <v>515</v>
      </c>
      <c r="U200" s="490" t="s">
        <v>516</v>
      </c>
      <c r="V200" s="491" t="s">
        <v>517</v>
      </c>
    </row>
    <row r="201" spans="1:22" ht="50.1" customHeight="1" thickBot="1" x14ac:dyDescent="0.3">
      <c r="B201" s="1714" t="s">
        <v>518</v>
      </c>
      <c r="C201" s="1715"/>
      <c r="D201" s="278" t="s">
        <v>173</v>
      </c>
      <c r="E201" s="278" t="s">
        <v>459</v>
      </c>
      <c r="F201" s="278" t="s">
        <v>519</v>
      </c>
      <c r="G201" s="161" t="s">
        <v>459</v>
      </c>
    </row>
    <row r="202" spans="1:22" ht="50.1" customHeight="1" thickBot="1" x14ac:dyDescent="0.3">
      <c r="B202" s="128"/>
      <c r="G202" s="129"/>
      <c r="I202" s="321" t="str">
        <f>N144</f>
        <v>M-010</v>
      </c>
      <c r="J202" s="248" t="str">
        <f>D143</f>
        <v>Lufft Opus 20</v>
      </c>
      <c r="K202" s="248" t="str">
        <f>E143</f>
        <v>0,26.0714.0802.024</v>
      </c>
      <c r="L202" s="250" t="str">
        <f>K143&amp;" "&amp;K146&amp;" "&amp;K149</f>
        <v>2023-04-05 2023-04-03 2023-03-28</v>
      </c>
      <c r="M202" s="250" t="str">
        <f>L143&amp;" "&amp;L146&amp;" "&amp;L149</f>
        <v>INM 6603 INM 6596 INM 6591</v>
      </c>
      <c r="N202" s="341">
        <f>O144</f>
        <v>0.2</v>
      </c>
      <c r="O202" s="341">
        <f>P144</f>
        <v>1.7</v>
      </c>
      <c r="P202" s="251">
        <f>Q144</f>
        <v>7.1999999999999995E-2</v>
      </c>
      <c r="Q202" s="252">
        <f>SLOPE(H143:H145,F143:F145)</f>
        <v>-3.7023324694558115E-4</v>
      </c>
      <c r="R202" s="252">
        <f>INTERCEPT(H143:H145,F143:F145)</f>
        <v>-2.5546094039244609E-2</v>
      </c>
      <c r="S202" s="252">
        <f>SLOPE(H146:H148,F146:F148)</f>
        <v>0.13619031169452342</v>
      </c>
      <c r="T202" s="252">
        <f>INTERCEPT(H146:H148,F146:F148)</f>
        <v>-8.2509114341136769</v>
      </c>
      <c r="U202" s="252">
        <f>SLOPE(H149:H151,F149:F151)</f>
        <v>-1.6281121481284658E-3</v>
      </c>
      <c r="V202" s="253">
        <f>INTERCEPT(H149:H151,F149:F151)</f>
        <v>2.3349170926516285</v>
      </c>
    </row>
    <row r="203" spans="1:22" ht="50.1" customHeight="1" x14ac:dyDescent="0.25">
      <c r="B203" s="1716" t="s">
        <v>520</v>
      </c>
      <c r="C203" s="1717"/>
      <c r="D203" s="163">
        <v>21400</v>
      </c>
      <c r="E203" s="892" t="s">
        <v>521</v>
      </c>
      <c r="F203" s="892">
        <v>150</v>
      </c>
      <c r="G203" s="158" t="s">
        <v>521</v>
      </c>
      <c r="I203" s="254" t="str">
        <f>N155</f>
        <v>M-011</v>
      </c>
      <c r="J203" s="255" t="str">
        <f>D154</f>
        <v>Lufft Opus 20</v>
      </c>
      <c r="K203" s="255" t="str">
        <f>E154</f>
        <v>0,22.0714.0802.024</v>
      </c>
      <c r="L203" s="257" t="str">
        <f>K154&amp;" "&amp;K157&amp;" "&amp;K160</f>
        <v>44704 2022-05-17 2021-05-31</v>
      </c>
      <c r="M203" s="257" t="str">
        <f>L154&amp;" "&amp;L157&amp;" "&amp;L160</f>
        <v>INM 5912 INM 5913 INM 5239</v>
      </c>
      <c r="N203" s="258">
        <f>O155</f>
        <v>0.4</v>
      </c>
      <c r="O203" s="258">
        <f>P155</f>
        <v>1.7</v>
      </c>
      <c r="P203" s="259">
        <f>Q155</f>
        <v>8.7999999999999995E-2</v>
      </c>
      <c r="Q203" s="260">
        <f>SLOPE(H154:H156,F154:F156)</f>
        <v>1.0385688090358568E-2</v>
      </c>
      <c r="R203" s="260">
        <f>INTERCEPT(H154:H156,F154:F156)</f>
        <v>-0.10726844075997352</v>
      </c>
      <c r="S203" s="260">
        <f>SLOPE(H157:H159,F157:F159)</f>
        <v>0.13249979757631369</v>
      </c>
      <c r="T203" s="260">
        <f>INTERCEPT(H157:H159,F157:F159)</f>
        <v>-7.892739062373483</v>
      </c>
      <c r="U203" s="260">
        <f>SLOPE(H160:H162,F160:F162)</f>
        <v>-2.0810757363394542E-3</v>
      </c>
      <c r="V203" s="261">
        <f>INTERCEPT(H160:H162,F160:F162)</f>
        <v>2.6117362023027515</v>
      </c>
    </row>
    <row r="204" spans="1:22" ht="50.1" customHeight="1" x14ac:dyDescent="0.25">
      <c r="B204" s="1712" t="s">
        <v>522</v>
      </c>
      <c r="C204" s="1713"/>
      <c r="D204" s="162">
        <v>8600</v>
      </c>
      <c r="E204" s="891" t="s">
        <v>523</v>
      </c>
      <c r="F204" s="891">
        <v>170</v>
      </c>
      <c r="G204" s="157" t="s">
        <v>521</v>
      </c>
      <c r="I204" s="492" t="str">
        <f>N166</f>
        <v xml:space="preserve">M-012  </v>
      </c>
      <c r="J204" s="255" t="str">
        <f>D165</f>
        <v>Lufft Opus 20</v>
      </c>
      <c r="K204" s="263">
        <f>E165</f>
        <v>19506160802033</v>
      </c>
      <c r="L204" s="257" t="str">
        <f>K165&amp;" "&amp;K168&amp;" "&amp;K171</f>
        <v>2023-04-11 2023-04-03 2023-03-28</v>
      </c>
      <c r="M204" s="257" t="str">
        <f>L165&amp;" "&amp;L168&amp;" "&amp;L171</f>
        <v>INM 6608 INM 6597 INM 6390</v>
      </c>
      <c r="N204" s="255">
        <f>O166</f>
        <v>0.2</v>
      </c>
      <c r="O204" s="255">
        <f>P166</f>
        <v>1.7</v>
      </c>
      <c r="P204" s="259">
        <f>Q166</f>
        <v>7.3999999999999996E-2</v>
      </c>
      <c r="Q204" s="260">
        <f>SLOPE(H165:H167,F165:F167)</f>
        <v>-3.3332222259257967E-5</v>
      </c>
      <c r="R204" s="260">
        <f>INTERCEPT(H165:H167,F165:F167)</f>
        <v>6.7497750074997503E-2</v>
      </c>
      <c r="S204" s="260">
        <f>SLOPE(H168:H170,F168:F170)</f>
        <v>0.1041354303243979</v>
      </c>
      <c r="T204" s="260">
        <f>INTERCEPT(H168:H170,F168:F170)</f>
        <v>-6.3475615264455492</v>
      </c>
      <c r="U204" s="260">
        <f>SLOPE(H171:H173,F171:F173)</f>
        <v>-2.0871700429711468E-3</v>
      </c>
      <c r="V204" s="261">
        <f>INTERCEPT(H171:H173,F171:F173)</f>
        <v>2.7851696746470216</v>
      </c>
    </row>
    <row r="205" spans="1:22" ht="50.1" customHeight="1" x14ac:dyDescent="0.25">
      <c r="B205" s="1712" t="s">
        <v>524</v>
      </c>
      <c r="C205" s="1713"/>
      <c r="D205" s="162">
        <v>8400</v>
      </c>
      <c r="E205" s="891" t="s">
        <v>523</v>
      </c>
      <c r="F205" s="891">
        <v>170</v>
      </c>
      <c r="G205" s="157" t="s">
        <v>521</v>
      </c>
      <c r="I205" s="262" t="str">
        <f>N177</f>
        <v xml:space="preserve">M-013  </v>
      </c>
      <c r="J205" s="255" t="str">
        <f>D176</f>
        <v>Lufft Opus 20</v>
      </c>
      <c r="K205" s="263">
        <f>E176</f>
        <v>19406160802033</v>
      </c>
      <c r="L205" s="257" t="str">
        <f>K176&amp;" "&amp;K179&amp;" "&amp;K182</f>
        <v>2023-04-24 2023-05-08 2023-03-28</v>
      </c>
      <c r="M205" s="257" t="str">
        <f>L176&amp;" "&amp;L179&amp;" "&amp;L182</f>
        <v>INM 6639 INM 6668 INM 6593</v>
      </c>
      <c r="N205" s="255">
        <f>O177</f>
        <v>0.2</v>
      </c>
      <c r="O205" s="255">
        <f>P177</f>
        <v>1.7</v>
      </c>
      <c r="P205" s="259">
        <f>Q177</f>
        <v>7.1999999999999995E-2</v>
      </c>
      <c r="Q205" s="260">
        <f>SLOPE(H176:H178,F176:F178)</f>
        <v>0</v>
      </c>
      <c r="R205" s="259">
        <f>INTERCEPT(H176:H178,F176:F178)</f>
        <v>0</v>
      </c>
      <c r="S205" s="260">
        <f>SLOPE(H179:H181,F179:F181)</f>
        <v>4.1942481438411318E-2</v>
      </c>
      <c r="T205" s="259">
        <f>INTERCEPT(H179:H181,F179:F181)</f>
        <v>-4.2643785222291806</v>
      </c>
      <c r="U205" s="260">
        <f>SLOPE(H182:H184,F182:F184)</f>
        <v>-1.9171899010460003E-3</v>
      </c>
      <c r="V205" s="488">
        <f>INTERCEPT(H182:H184,F182:F184)</f>
        <v>2.3881734753616817</v>
      </c>
    </row>
    <row r="206" spans="1:22" ht="50.1" customHeight="1" thickBot="1" x14ac:dyDescent="0.3">
      <c r="B206" s="1712" t="s">
        <v>525</v>
      </c>
      <c r="C206" s="1713"/>
      <c r="D206" s="162">
        <v>7950</v>
      </c>
      <c r="E206" s="891" t="s">
        <v>523</v>
      </c>
      <c r="F206" s="891">
        <v>140</v>
      </c>
      <c r="G206" s="157" t="s">
        <v>521</v>
      </c>
      <c r="I206" s="326" t="str">
        <f>N188</f>
        <v>V-002</v>
      </c>
      <c r="J206" s="327" t="str">
        <f>D187</f>
        <v>Lufft Opus 20</v>
      </c>
      <c r="K206" s="327" t="str">
        <f>E187</f>
        <v>0,23.0714.0802.024</v>
      </c>
      <c r="L206" s="545" t="str">
        <f>K187&amp;" "&amp;K190&amp;" "&amp;K193</f>
        <v>2023-04-24 2023-05-08 2023-03-28</v>
      </c>
      <c r="M206" s="516" t="str">
        <f>L187&amp;" "&amp;L190&amp;" "&amp;L193</f>
        <v>INM 6638 INM 6667 INM 6588</v>
      </c>
      <c r="N206" s="327">
        <f>O188</f>
        <v>0.2</v>
      </c>
      <c r="O206" s="327">
        <f>P188</f>
        <v>1.7</v>
      </c>
      <c r="P206" s="486">
        <f>Q188</f>
        <v>7.0999999999999994E-2</v>
      </c>
      <c r="Q206" s="487">
        <f>SLOPE(H187:H189,F187:F189)</f>
        <v>1.666666666666667E-2</v>
      </c>
      <c r="R206" s="487">
        <f>INTERCEPT(H187:H189,F187:F189)</f>
        <v>-0.46833333333333338</v>
      </c>
      <c r="S206" s="487">
        <f>SLOPE(H190:H192,F190:F192)</f>
        <v>0.11866584239707899</v>
      </c>
      <c r="T206" s="487">
        <f>INTERCEPT(H190:H192,F190:F192)</f>
        <v>-7.2334205899967152</v>
      </c>
      <c r="U206" s="487">
        <f>SLOPE(H193:H195,F193:F195)</f>
        <v>-2.0270775942858531E-3</v>
      </c>
      <c r="V206" s="489">
        <f>INTERCEPT(H193:H195,F193:F195)</f>
        <v>2.6545265831478346</v>
      </c>
    </row>
    <row r="207" spans="1:22" ht="50.1" customHeight="1" x14ac:dyDescent="0.25">
      <c r="B207" s="1712" t="s">
        <v>526</v>
      </c>
      <c r="C207" s="1713"/>
      <c r="D207" s="162">
        <v>7700</v>
      </c>
      <c r="E207" s="891" t="s">
        <v>523</v>
      </c>
      <c r="F207" s="891">
        <v>200</v>
      </c>
      <c r="G207" s="157" t="s">
        <v>521</v>
      </c>
    </row>
    <row r="208" spans="1:22" ht="50.1" customHeight="1" x14ac:dyDescent="0.25">
      <c r="B208" s="1712" t="s">
        <v>527</v>
      </c>
      <c r="C208" s="1713"/>
      <c r="D208" s="162">
        <v>7800</v>
      </c>
      <c r="E208" s="891" t="s">
        <v>523</v>
      </c>
      <c r="F208" s="891">
        <v>200</v>
      </c>
      <c r="G208" s="157" t="s">
        <v>521</v>
      </c>
    </row>
    <row r="209" spans="2:7" ht="50.1" customHeight="1" x14ac:dyDescent="0.25">
      <c r="B209" s="1712" t="s">
        <v>528</v>
      </c>
      <c r="C209" s="1713"/>
      <c r="D209" s="162">
        <v>7700</v>
      </c>
      <c r="E209" s="891" t="s">
        <v>523</v>
      </c>
      <c r="F209" s="891">
        <v>400</v>
      </c>
      <c r="G209" s="157" t="s">
        <v>521</v>
      </c>
    </row>
    <row r="210" spans="2:7" ht="50.1" customHeight="1" x14ac:dyDescent="0.25">
      <c r="B210" s="1712" t="s">
        <v>529</v>
      </c>
      <c r="C210" s="1713"/>
      <c r="D210" s="162">
        <v>7100</v>
      </c>
      <c r="E210" s="891" t="s">
        <v>523</v>
      </c>
      <c r="F210" s="891">
        <v>600</v>
      </c>
      <c r="G210" s="157" t="s">
        <v>521</v>
      </c>
    </row>
    <row r="211" spans="2:7" ht="50.1" customHeight="1" x14ac:dyDescent="0.25">
      <c r="B211" s="1712" t="s">
        <v>530</v>
      </c>
      <c r="C211" s="1713"/>
      <c r="D211" s="162">
        <v>2700</v>
      </c>
      <c r="E211" s="891" t="s">
        <v>523</v>
      </c>
      <c r="F211" s="891">
        <v>130</v>
      </c>
      <c r="G211" s="157" t="s">
        <v>521</v>
      </c>
    </row>
    <row r="212" spans="2:7" ht="50.1" customHeight="1" x14ac:dyDescent="0.25">
      <c r="B212" s="1712" t="s">
        <v>531</v>
      </c>
      <c r="C212" s="1713"/>
      <c r="D212" s="162">
        <v>7840</v>
      </c>
      <c r="E212" s="891" t="s">
        <v>523</v>
      </c>
      <c r="F212" s="891">
        <v>140</v>
      </c>
      <c r="G212" s="157" t="s">
        <v>521</v>
      </c>
    </row>
    <row r="213" spans="2:7" ht="50.1" customHeight="1" thickBot="1" x14ac:dyDescent="0.3">
      <c r="B213" s="1744" t="s">
        <v>571</v>
      </c>
      <c r="C213" s="1745"/>
      <c r="D213" s="164">
        <v>7900</v>
      </c>
      <c r="E213" s="890" t="s">
        <v>523</v>
      </c>
      <c r="F213" s="890">
        <v>140</v>
      </c>
      <c r="G213" s="156" t="s">
        <v>521</v>
      </c>
    </row>
    <row r="214" spans="2:7" ht="30" customHeight="1" x14ac:dyDescent="0.25"/>
    <row r="215" spans="2:7" ht="30" customHeight="1" x14ac:dyDescent="0.25"/>
    <row r="216" spans="2:7" ht="30" customHeight="1" x14ac:dyDescent="0.25"/>
    <row r="217" spans="2:7" ht="30" customHeight="1" x14ac:dyDescent="0.25"/>
    <row r="218" spans="2:7" ht="30" customHeight="1" x14ac:dyDescent="0.25"/>
    <row r="219" spans="2:7" ht="30" customHeight="1" x14ac:dyDescent="0.25"/>
    <row r="220" spans="2:7" ht="30" customHeight="1" x14ac:dyDescent="0.25"/>
    <row r="221" spans="2:7" ht="30" customHeight="1" x14ac:dyDescent="0.25"/>
    <row r="222" spans="2:7" ht="30" customHeight="1" x14ac:dyDescent="0.25"/>
    <row r="223" spans="2:7" ht="30" customHeight="1" x14ac:dyDescent="0.25"/>
    <row r="224" spans="2:7" ht="30" customHeight="1" x14ac:dyDescent="0.25"/>
    <row r="262" spans="61:64" ht="35.1" customHeight="1" x14ac:dyDescent="0.25">
      <c r="BI262" s="145"/>
      <c r="BJ262" s="145"/>
      <c r="BK262" s="145"/>
      <c r="BL262" s="145"/>
    </row>
    <row r="263" spans="61:64" ht="35.1" customHeight="1" x14ac:dyDescent="0.25">
      <c r="BI263" s="145"/>
      <c r="BJ263" s="145"/>
      <c r="BK263" s="145"/>
      <c r="BL263" s="145"/>
    </row>
    <row r="264" spans="61:64" ht="35.1" customHeight="1" x14ac:dyDescent="0.25">
      <c r="BI264" s="145"/>
      <c r="BJ264" s="145"/>
      <c r="BK264" s="145"/>
      <c r="BL264" s="145"/>
    </row>
    <row r="265" spans="61:64" ht="35.1" customHeight="1" x14ac:dyDescent="0.25">
      <c r="BI265" s="145"/>
      <c r="BJ265" s="145"/>
      <c r="BK265" s="145"/>
      <c r="BL265" s="145"/>
    </row>
  </sheetData>
  <sheetProtection password="CF7A" sheet="1" objects="1" scenarios="1"/>
  <mergeCells count="178">
    <mergeCell ref="F1:AC1"/>
    <mergeCell ref="B213:C213"/>
    <mergeCell ref="L190:L192"/>
    <mergeCell ref="L193:L195"/>
    <mergeCell ref="L187:L189"/>
    <mergeCell ref="L171:L173"/>
    <mergeCell ref="L160:L162"/>
    <mergeCell ref="L149:L151"/>
    <mergeCell ref="L165:L167"/>
    <mergeCell ref="L168:L170"/>
    <mergeCell ref="K193:K195"/>
    <mergeCell ref="K190:K192"/>
    <mergeCell ref="K187:K189"/>
    <mergeCell ref="K176:K178"/>
    <mergeCell ref="K179:K181"/>
    <mergeCell ref="K182:K184"/>
    <mergeCell ref="L182:L184"/>
    <mergeCell ref="L176:L178"/>
    <mergeCell ref="A149:B151"/>
    <mergeCell ref="J149:J151"/>
    <mergeCell ref="A190:B192"/>
    <mergeCell ref="J190:J192"/>
    <mergeCell ref="A187:B189"/>
    <mergeCell ref="C187:C195"/>
    <mergeCell ref="D187:D195"/>
    <mergeCell ref="K143:K145"/>
    <mergeCell ref="K146:K148"/>
    <mergeCell ref="K149:K151"/>
    <mergeCell ref="K154:K156"/>
    <mergeCell ref="K157:K159"/>
    <mergeCell ref="K160:K162"/>
    <mergeCell ref="K165:K167"/>
    <mergeCell ref="K168:K170"/>
    <mergeCell ref="K171:K173"/>
    <mergeCell ref="J187:J189"/>
    <mergeCell ref="J193:J195"/>
    <mergeCell ref="J182:J184"/>
    <mergeCell ref="J171:J173"/>
    <mergeCell ref="J176:J178"/>
    <mergeCell ref="J179:J181"/>
    <mergeCell ref="J165:J167"/>
    <mergeCell ref="A1:E1"/>
    <mergeCell ref="B212:C212"/>
    <mergeCell ref="B210:C210"/>
    <mergeCell ref="B211:C211"/>
    <mergeCell ref="B200:G200"/>
    <mergeCell ref="B201:C201"/>
    <mergeCell ref="B203:C203"/>
    <mergeCell ref="B204:C204"/>
    <mergeCell ref="B205:C205"/>
    <mergeCell ref="B206:C206"/>
    <mergeCell ref="B207:C207"/>
    <mergeCell ref="B208:C208"/>
    <mergeCell ref="B209:C209"/>
    <mergeCell ref="E187:E195"/>
    <mergeCell ref="A193:B195"/>
    <mergeCell ref="A182:B184"/>
    <mergeCell ref="A171:B173"/>
    <mergeCell ref="A176:B178"/>
    <mergeCell ref="C176:C184"/>
    <mergeCell ref="D176:D184"/>
    <mergeCell ref="E176:E184"/>
    <mergeCell ref="A179:B181"/>
    <mergeCell ref="C132:D132"/>
    <mergeCell ref="E132:F132"/>
    <mergeCell ref="L154:L156"/>
    <mergeCell ref="A157:B159"/>
    <mergeCell ref="J157:J159"/>
    <mergeCell ref="L157:L159"/>
    <mergeCell ref="B88:D89"/>
    <mergeCell ref="A168:B170"/>
    <mergeCell ref="J168:J170"/>
    <mergeCell ref="A165:B167"/>
    <mergeCell ref="A154:B156"/>
    <mergeCell ref="C154:C162"/>
    <mergeCell ref="A140:B141"/>
    <mergeCell ref="A143:B145"/>
    <mergeCell ref="D154:D162"/>
    <mergeCell ref="E154:E162"/>
    <mergeCell ref="J154:J156"/>
    <mergeCell ref="A160:B162"/>
    <mergeCell ref="J160:J162"/>
    <mergeCell ref="A146:B148"/>
    <mergeCell ref="J143:J145"/>
    <mergeCell ref="J146:J148"/>
    <mergeCell ref="G140:G141"/>
    <mergeCell ref="C165:C173"/>
    <mergeCell ref="D165:D173"/>
    <mergeCell ref="E165:E173"/>
    <mergeCell ref="C143:C151"/>
    <mergeCell ref="D143:D151"/>
    <mergeCell ref="E143:E151"/>
    <mergeCell ref="D140:D141"/>
    <mergeCell ref="E140:E141"/>
    <mergeCell ref="F140:F141"/>
    <mergeCell ref="A137:Q138"/>
    <mergeCell ref="A139:Q139"/>
    <mergeCell ref="O140:Q141"/>
    <mergeCell ref="L140:L141"/>
    <mergeCell ref="H140:H141"/>
    <mergeCell ref="I140:I141"/>
    <mergeCell ref="J140:J141"/>
    <mergeCell ref="K140:K141"/>
    <mergeCell ref="N140:N141"/>
    <mergeCell ref="L143:L145"/>
    <mergeCell ref="I114:L114"/>
    <mergeCell ref="J115:L115"/>
    <mergeCell ref="C133:D133"/>
    <mergeCell ref="E133:F133"/>
    <mergeCell ref="E134:F134"/>
    <mergeCell ref="C135:D135"/>
    <mergeCell ref="E135:F135"/>
    <mergeCell ref="C140:C141"/>
    <mergeCell ref="C134:D134"/>
    <mergeCell ref="B114:F115"/>
    <mergeCell ref="C131:D131"/>
    <mergeCell ref="E131:F131"/>
    <mergeCell ref="B129:B130"/>
    <mergeCell ref="C129:G130"/>
    <mergeCell ref="J117:L117"/>
    <mergeCell ref="E45:E46"/>
    <mergeCell ref="F45:F46"/>
    <mergeCell ref="G45:G46"/>
    <mergeCell ref="F116:F117"/>
    <mergeCell ref="B90:D90"/>
    <mergeCell ref="B127:G128"/>
    <mergeCell ref="B116:B117"/>
    <mergeCell ref="C116:C117"/>
    <mergeCell ref="D116:D117"/>
    <mergeCell ref="E116:E117"/>
    <mergeCell ref="V5:V6"/>
    <mergeCell ref="A49:A52"/>
    <mergeCell ref="B43:J44"/>
    <mergeCell ref="E88:G89"/>
    <mergeCell ref="E90:G90"/>
    <mergeCell ref="B3:J4"/>
    <mergeCell ref="B5:B6"/>
    <mergeCell ref="C5:C6"/>
    <mergeCell ref="D5:D6"/>
    <mergeCell ref="E5:E6"/>
    <mergeCell ref="F5:F6"/>
    <mergeCell ref="G5:G6"/>
    <mergeCell ref="H5:H6"/>
    <mergeCell ref="I5:I6"/>
    <mergeCell ref="J5:J6"/>
    <mergeCell ref="H45:H46"/>
    <mergeCell ref="I45:I46"/>
    <mergeCell ref="J45:J46"/>
    <mergeCell ref="K35:K36"/>
    <mergeCell ref="N3:AC4"/>
    <mergeCell ref="X5:X6"/>
    <mergeCell ref="B45:B46"/>
    <mergeCell ref="C45:C46"/>
    <mergeCell ref="D45:D46"/>
    <mergeCell ref="L179:L181"/>
    <mergeCell ref="L146:L148"/>
    <mergeCell ref="Y5:Y6"/>
    <mergeCell ref="Z5:Z6"/>
    <mergeCell ref="AA5:AA6"/>
    <mergeCell ref="AB5:AB6"/>
    <mergeCell ref="M59:M65"/>
    <mergeCell ref="AC5:AC6"/>
    <mergeCell ref="M43:M58"/>
    <mergeCell ref="M8:M24"/>
    <mergeCell ref="M82:M93"/>
    <mergeCell ref="M94:M105"/>
    <mergeCell ref="M27:M42"/>
    <mergeCell ref="M66:M81"/>
    <mergeCell ref="W5:W6"/>
    <mergeCell ref="N5:N6"/>
    <mergeCell ref="O5:O6"/>
    <mergeCell ref="P5:P6"/>
    <mergeCell ref="Q5:Q6"/>
    <mergeCell ref="R5:R6"/>
    <mergeCell ref="S5:S6"/>
    <mergeCell ref="T5:T6"/>
    <mergeCell ref="U5:U6"/>
    <mergeCell ref="J116:L116"/>
  </mergeCells>
  <phoneticPr fontId="66" type="noConversion"/>
  <conditionalFormatting sqref="W8:W24">
    <cfRule type="expression" dxfId="73" priority="4">
      <formula>$W8:W24&lt;&gt;""</formula>
    </cfRule>
  </conditionalFormatting>
  <conditionalFormatting sqref="W25:W135">
    <cfRule type="expression" dxfId="72" priority="1">
      <formula>$W25:W135&lt;&gt;""</formula>
    </cfRule>
  </conditionalFormatting>
  <conditionalFormatting sqref="Y8:Y135">
    <cfRule type="expression" dxfId="71" priority="3">
      <formula>$Y8:Y135&lt;&gt;""</formula>
    </cfRule>
  </conditionalFormatting>
  <conditionalFormatting sqref="AB8:AB24">
    <cfRule type="expression" dxfId="70" priority="5">
      <formula>$AB8:AB24&lt;&gt;""</formula>
    </cfRule>
  </conditionalFormatting>
  <conditionalFormatting sqref="AB25:AB135">
    <cfRule type="expression" dxfId="69" priority="2">
      <formula>$AB25:AB135&lt;&gt;""</formula>
    </cfRule>
  </conditionalFormatting>
  <dataValidations xWindow="1070" yWindow="605" count="6">
    <dataValidation type="list" allowBlank="1" showInputMessage="1" showErrorMessage="1" sqref="Q28" xr:uid="{00000000-0002-0000-2000-000000000000}">
      <formula1>#REF!</formula1>
    </dataValidation>
    <dataValidation type="list" allowBlank="1" showInputMessage="1" showErrorMessage="1" sqref="H48" xr:uid="{00000000-0002-0000-2000-000001000000}">
      <formula1>$D$202:$D$215</formula1>
    </dataValidation>
    <dataValidation type="list" allowBlank="1" showInputMessage="1" showErrorMessage="1" sqref="I48" xr:uid="{00000000-0002-0000-2000-000002000000}">
      <formula1>$F$202:$F$215</formula1>
    </dataValidation>
    <dataValidation type="decimal" allowBlank="1" showInputMessage="1" showErrorMessage="1" promptTitle="Tener en cuenta" prompt="Remplazar en la ecuación °C, % hr, hPa, de acuerdo al certificado actual. " sqref="AB9:AB135 AB8" xr:uid="{00000000-0002-0000-2000-000003000000}">
      <formula1>0.7</formula1>
      <formula2>1.1</formula2>
    </dataValidation>
    <dataValidation type="decimal" operator="greaterThan" allowBlank="1" showInputMessage="1" showErrorMessage="1" promptTitle="Tener en cuenta" prompt="El error del ultimo certificado de calibración " sqref="W9:W135 W8" xr:uid="{00000000-0002-0000-2000-000004000000}">
      <formula1>0.00001</formula1>
    </dataValidation>
    <dataValidation type="decimal" operator="greaterThan" allowBlank="1" showInputMessage="1" showErrorMessage="1" promptTitle="Tener en cuenta" prompt="Icertidumbre del certificado actual" sqref="Y8:Y135" xr:uid="{00000000-0002-0000-2000-000005000000}">
      <formula1>0.0001</formula1>
    </dataValidation>
  </dataValidation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2" manualBreakCount="2">
    <brk id="42" max="29" man="1"/>
    <brk id="136" max="29" man="1"/>
  </rowBreaks>
  <colBreaks count="1" manualBreakCount="1">
    <brk id="42" min="1" max="103" man="1"/>
  </col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4">
    <tabColor rgb="FFFFFF00"/>
  </sheetPr>
  <dimension ref="A1:Z156"/>
  <sheetViews>
    <sheetView showGridLines="0" view="pageBreakPreview" zoomScale="80" zoomScaleNormal="50" zoomScaleSheetLayoutView="80" workbookViewId="0">
      <pane ySplit="6" topLeftCell="A7" activePane="bottomLeft" state="frozen"/>
      <selection activeCell="F31" sqref="F31"/>
      <selection pane="bottomLeft" activeCell="F31" sqref="F31"/>
    </sheetView>
  </sheetViews>
  <sheetFormatPr baseColWidth="10" defaultColWidth="10.85546875" defaultRowHeight="15" x14ac:dyDescent="0.2"/>
  <cols>
    <col min="1" max="1" width="13.7109375" style="380" customWidth="1"/>
    <col min="2" max="7" width="15.7109375" style="381" customWidth="1"/>
    <col min="8" max="9" width="12.7109375" style="381" customWidth="1"/>
    <col min="10" max="11" width="15.7109375" style="380" customWidth="1"/>
    <col min="12" max="13" width="10.7109375" style="380" customWidth="1"/>
    <col min="14" max="15" width="15.7109375" style="380" customWidth="1"/>
    <col min="16" max="20" width="13.7109375" style="380" customWidth="1"/>
    <col min="21" max="16384" width="10.85546875" style="380"/>
  </cols>
  <sheetData>
    <row r="1" spans="1:26" ht="24.95" customHeight="1" x14ac:dyDescent="0.2">
      <c r="A1" s="1775"/>
      <c r="B1" s="1776"/>
      <c r="C1" s="1776"/>
      <c r="D1" s="1781" t="s">
        <v>0</v>
      </c>
      <c r="E1" s="1782"/>
      <c r="F1" s="1782"/>
      <c r="G1" s="1782"/>
      <c r="H1" s="1782"/>
      <c r="I1" s="1782"/>
      <c r="J1" s="1782"/>
      <c r="K1" s="1782"/>
      <c r="L1" s="1782"/>
      <c r="M1" s="1782"/>
      <c r="N1" s="1782"/>
      <c r="O1" s="1782"/>
      <c r="P1" s="1782"/>
      <c r="Q1" s="1782"/>
      <c r="R1" s="1782"/>
      <c r="S1" s="1782"/>
      <c r="T1" s="1782"/>
      <c r="U1" s="1782"/>
      <c r="V1" s="1782"/>
      <c r="W1" s="1782"/>
      <c r="X1" s="1782"/>
      <c r="Y1" s="1782"/>
      <c r="Z1" s="1782"/>
    </row>
    <row r="2" spans="1:26" ht="24.95" customHeight="1" x14ac:dyDescent="0.2">
      <c r="A2" s="1777"/>
      <c r="B2" s="1778"/>
      <c r="C2" s="1778"/>
      <c r="D2" s="1783"/>
      <c r="E2" s="1784"/>
      <c r="F2" s="1784"/>
      <c r="G2" s="1784"/>
      <c r="H2" s="1784"/>
      <c r="I2" s="1784"/>
      <c r="J2" s="1784"/>
      <c r="K2" s="1784"/>
      <c r="L2" s="1784"/>
      <c r="M2" s="1784"/>
      <c r="N2" s="1784"/>
      <c r="O2" s="1784"/>
      <c r="P2" s="1784"/>
      <c r="Q2" s="1784"/>
      <c r="R2" s="1784"/>
      <c r="S2" s="1784"/>
      <c r="T2" s="1784"/>
      <c r="U2" s="1784"/>
      <c r="V2" s="1784"/>
      <c r="W2" s="1784"/>
      <c r="X2" s="1784"/>
      <c r="Y2" s="1784"/>
      <c r="Z2" s="1784"/>
    </row>
    <row r="3" spans="1:26" ht="24.95" customHeight="1" thickBot="1" x14ac:dyDescent="0.25">
      <c r="A3" s="1779"/>
      <c r="B3" s="1780"/>
      <c r="C3" s="1780"/>
      <c r="D3" s="1785"/>
      <c r="E3" s="1786"/>
      <c r="F3" s="1786"/>
      <c r="G3" s="1786"/>
      <c r="H3" s="1786"/>
      <c r="I3" s="1786"/>
      <c r="J3" s="1786"/>
      <c r="K3" s="1786"/>
      <c r="L3" s="1786"/>
      <c r="M3" s="1786"/>
      <c r="N3" s="1786"/>
      <c r="O3" s="1786"/>
      <c r="P3" s="1786"/>
      <c r="Q3" s="1786"/>
      <c r="R3" s="1786"/>
      <c r="S3" s="1786"/>
      <c r="T3" s="1786"/>
      <c r="U3" s="1786"/>
      <c r="V3" s="1786"/>
      <c r="W3" s="1786"/>
      <c r="X3" s="1786"/>
      <c r="Y3" s="1786"/>
      <c r="Z3" s="1786"/>
    </row>
    <row r="4" spans="1:26" ht="15" customHeight="1" x14ac:dyDescent="0.2">
      <c r="A4" s="1787"/>
      <c r="B4" s="1787"/>
      <c r="C4" s="1787"/>
      <c r="D4" s="1787"/>
      <c r="E4" s="1787"/>
      <c r="F4" s="1787"/>
      <c r="G4" s="1787"/>
      <c r="H4" s="1787"/>
      <c r="I4" s="1787"/>
      <c r="J4" s="1787"/>
      <c r="K4" s="1787"/>
      <c r="L4" s="1787"/>
      <c r="M4" s="1787"/>
      <c r="N4" s="1787"/>
      <c r="O4" s="1787"/>
      <c r="P4" s="1787"/>
      <c r="Q4" s="1787"/>
      <c r="R4" s="1787"/>
      <c r="S4" s="1787"/>
      <c r="T4" s="1787"/>
      <c r="U4" s="1100"/>
      <c r="V4" s="1100"/>
      <c r="W4" s="1100"/>
      <c r="X4" s="1100"/>
      <c r="Y4" s="1100"/>
      <c r="Z4" s="1100"/>
    </row>
    <row r="5" spans="1:26" ht="20.100000000000001" customHeight="1" thickBot="1" x14ac:dyDescent="0.25">
      <c r="A5" s="237"/>
      <c r="B5" s="237"/>
      <c r="C5" s="237"/>
      <c r="D5" s="237"/>
      <c r="E5" s="237"/>
      <c r="F5" s="237"/>
      <c r="G5" s="237"/>
      <c r="H5" s="237"/>
      <c r="I5" s="237"/>
      <c r="J5" s="237"/>
      <c r="K5" s="237"/>
      <c r="L5" s="237"/>
      <c r="M5" s="237"/>
      <c r="N5" s="237"/>
      <c r="O5" s="237"/>
      <c r="P5" s="237"/>
      <c r="Q5" s="237"/>
      <c r="R5" s="237"/>
      <c r="S5" s="237"/>
      <c r="T5" s="237"/>
      <c r="U5" s="1100"/>
      <c r="V5" s="1100"/>
      <c r="W5" s="1100"/>
      <c r="X5" s="1100"/>
      <c r="Y5" s="1100"/>
      <c r="Z5" s="1100"/>
    </row>
    <row r="6" spans="1:26" ht="60" customHeight="1" thickBot="1" x14ac:dyDescent="0.25">
      <c r="A6" s="390" t="s">
        <v>139</v>
      </c>
      <c r="B6" s="391" t="s">
        <v>140</v>
      </c>
      <c r="C6" s="391" t="s">
        <v>141</v>
      </c>
      <c r="D6" s="391" t="s">
        <v>142</v>
      </c>
      <c r="E6" s="391" t="s">
        <v>143</v>
      </c>
      <c r="F6" s="998" t="s">
        <v>569</v>
      </c>
      <c r="G6" s="1258" t="s">
        <v>570</v>
      </c>
      <c r="H6" s="391" t="s">
        <v>144</v>
      </c>
      <c r="I6" s="391" t="s">
        <v>144</v>
      </c>
      <c r="J6" s="391" t="s">
        <v>145</v>
      </c>
      <c r="K6" s="391" t="s">
        <v>146</v>
      </c>
      <c r="L6" s="391" t="s">
        <v>147</v>
      </c>
      <c r="M6" s="391" t="s">
        <v>148</v>
      </c>
      <c r="N6" s="391" t="s">
        <v>149</v>
      </c>
      <c r="O6" s="392" t="s">
        <v>150</v>
      </c>
      <c r="P6" s="237"/>
      <c r="Q6" s="1788" t="s">
        <v>151</v>
      </c>
      <c r="R6" s="1789"/>
      <c r="S6" s="1790"/>
      <c r="T6" s="1791" t="s">
        <v>151</v>
      </c>
      <c r="U6" s="1789"/>
      <c r="V6" s="1790"/>
      <c r="W6" s="1100"/>
      <c r="X6" s="1100"/>
      <c r="Y6" s="1099"/>
      <c r="Z6" s="1100"/>
    </row>
    <row r="7" spans="1:26" ht="39.950000000000003" customHeight="1" x14ac:dyDescent="0.2">
      <c r="A7" s="1101">
        <v>1</v>
      </c>
      <c r="B7" s="1102" t="str">
        <f>'Cert juego miligramo &lt;'!B54</f>
        <v>1</v>
      </c>
      <c r="C7" s="1102" t="str">
        <f>'Cert juego miligramo &lt;'!C54</f>
        <v>1 mg</v>
      </c>
      <c r="D7" s="1059" t="e">
        <f>'Cert juego miligramo &lt;'!D54</f>
        <v>#N/A</v>
      </c>
      <c r="E7" s="1103" t="e">
        <f>'1 mg &lt; '!I75</f>
        <v>#DIV/0!</v>
      </c>
      <c r="F7" s="1103">
        <f>H7/1/3</f>
        <v>6.6666666666666666E-2</v>
      </c>
      <c r="G7" s="1103"/>
      <c r="H7" s="1059">
        <f>'Cert juego miligramo &lt;'!F54</f>
        <v>0.2</v>
      </c>
      <c r="I7" s="1059">
        <f>-H7</f>
        <v>-0.2</v>
      </c>
      <c r="J7" s="1104" t="e">
        <f>_xlfn.NORM.S.DIST(M7,1)</f>
        <v>#N/A</v>
      </c>
      <c r="K7" s="1105" t="e">
        <f>1-J7</f>
        <v>#N/A</v>
      </c>
      <c r="L7" s="247" t="e">
        <f t="shared" ref="L7:L18" si="0">ABS(D7)</f>
        <v>#N/A</v>
      </c>
      <c r="M7" s="1106" t="e">
        <f>(H7-L7)/(E7/2)</f>
        <v>#N/A</v>
      </c>
      <c r="N7" s="1107" t="e">
        <f>H7-E7</f>
        <v>#DIV/0!</v>
      </c>
      <c r="O7" s="999" t="e">
        <f>IF(AND(J7&gt;=97.5%,K7&lt;=2.5%,E7&lt;=F7),"SI","NO")</f>
        <v>#N/A</v>
      </c>
      <c r="P7" s="237"/>
      <c r="Q7" s="1108">
        <f>'DATOS &lt;'!$G$93</f>
        <v>0.2</v>
      </c>
      <c r="R7" s="1109">
        <f>'DATOS &lt;'!$G$93</f>
        <v>0.2</v>
      </c>
      <c r="S7" s="1110">
        <f>'DATOS &lt;'!$G$93</f>
        <v>0.2</v>
      </c>
      <c r="T7" s="1111">
        <f>-$Q$7</f>
        <v>-0.2</v>
      </c>
      <c r="U7" s="1109">
        <f>-$Q$7</f>
        <v>-0.2</v>
      </c>
      <c r="V7" s="1110">
        <f>-$Q$7</f>
        <v>-0.2</v>
      </c>
      <c r="W7" s="1100"/>
      <c r="X7" s="1100"/>
      <c r="Y7" s="1099"/>
      <c r="Z7" s="1100"/>
    </row>
    <row r="8" spans="1:26" ht="39.950000000000003" customHeight="1" x14ac:dyDescent="0.2">
      <c r="A8" s="1112">
        <v>2</v>
      </c>
      <c r="B8" s="1113" t="str">
        <f>'Cert juego miligramo &lt;'!B55</f>
        <v>2</v>
      </c>
      <c r="C8" s="1113" t="str">
        <f>'Cert juego miligramo &lt;'!C55</f>
        <v>2 mg</v>
      </c>
      <c r="D8" s="1060" t="e">
        <f>'Cert juego miligramo &lt;'!D55</f>
        <v>#N/A</v>
      </c>
      <c r="E8" s="1114" t="e">
        <f>'2 mg &lt;'!I75</f>
        <v>#DIV/0!</v>
      </c>
      <c r="F8" s="1114">
        <f t="shared" ref="F8:F18" si="1">H8/1/3</f>
        <v>6.6666666666666666E-2</v>
      </c>
      <c r="G8" s="1114"/>
      <c r="H8" s="1060">
        <f>'Cert juego miligramo &lt;'!F55</f>
        <v>0.2</v>
      </c>
      <c r="I8" s="1060">
        <f>-H8</f>
        <v>-0.2</v>
      </c>
      <c r="J8" s="1115" t="e">
        <f t="shared" ref="J8:J17" si="2">_xlfn.NORM.S.DIST(M8,1)</f>
        <v>#N/A</v>
      </c>
      <c r="K8" s="1116" t="e">
        <f t="shared" ref="K8:K17" si="3">1-J8</f>
        <v>#N/A</v>
      </c>
      <c r="L8" s="243" t="e">
        <f t="shared" si="0"/>
        <v>#N/A</v>
      </c>
      <c r="M8" s="1117" t="e">
        <f t="shared" ref="M8:M18" si="4">(H8-L8)/(E8/2)</f>
        <v>#N/A</v>
      </c>
      <c r="N8" s="1118" t="e">
        <f t="shared" ref="N8:N18" si="5">H8-E8</f>
        <v>#DIV/0!</v>
      </c>
      <c r="O8" s="1000" t="e">
        <f t="shared" ref="O8:O18" si="6">IF(AND(J8&gt;=97.5%,K8&lt;=2.5%,E8&lt;=F8),"SI","NO")</f>
        <v>#N/A</v>
      </c>
      <c r="P8" s="237"/>
      <c r="Q8" s="1119">
        <f>'DATOS &lt;'!$G$94</f>
        <v>0.2</v>
      </c>
      <c r="R8" s="1120">
        <f>'DATOS &lt;'!$G$94</f>
        <v>0.2</v>
      </c>
      <c r="S8" s="1121">
        <f>'DATOS &lt;'!$G$94</f>
        <v>0.2</v>
      </c>
      <c r="T8" s="1122">
        <f>-$Q$8</f>
        <v>-0.2</v>
      </c>
      <c r="U8" s="1120">
        <f>-$Q$8</f>
        <v>-0.2</v>
      </c>
      <c r="V8" s="1121">
        <f>-$Q$8</f>
        <v>-0.2</v>
      </c>
      <c r="W8" s="1100"/>
      <c r="X8" s="1100"/>
      <c r="Y8" s="1099"/>
      <c r="Z8" s="1100"/>
    </row>
    <row r="9" spans="1:26" ht="39.950000000000003" customHeight="1" x14ac:dyDescent="0.2">
      <c r="A9" s="1112">
        <v>3</v>
      </c>
      <c r="B9" s="1113" t="str">
        <f>'Cert juego miligramo &lt;'!B56</f>
        <v>2*</v>
      </c>
      <c r="C9" s="1113" t="str">
        <f>'Cert juego miligramo &lt;'!C56</f>
        <v>2 mg</v>
      </c>
      <c r="D9" s="1060" t="e">
        <f>'Cert juego miligramo &lt;'!D56</f>
        <v>#N/A</v>
      </c>
      <c r="E9" s="1114" t="e">
        <f>'2 mg + &lt; '!I75</f>
        <v>#DIV/0!</v>
      </c>
      <c r="F9" s="1114">
        <f t="shared" si="1"/>
        <v>6.6666666666666666E-2</v>
      </c>
      <c r="G9" s="1114"/>
      <c r="H9" s="1060">
        <f>'Cert juego miligramo &lt;'!F56</f>
        <v>0.2</v>
      </c>
      <c r="I9" s="1060">
        <f t="shared" ref="I9:I18" si="7">-H9</f>
        <v>-0.2</v>
      </c>
      <c r="J9" s="1115" t="e">
        <f t="shared" si="2"/>
        <v>#N/A</v>
      </c>
      <c r="K9" s="1116" t="e">
        <f t="shared" si="3"/>
        <v>#N/A</v>
      </c>
      <c r="L9" s="243" t="e">
        <f t="shared" si="0"/>
        <v>#N/A</v>
      </c>
      <c r="M9" s="1117" t="e">
        <f t="shared" si="4"/>
        <v>#N/A</v>
      </c>
      <c r="N9" s="1118" t="e">
        <f t="shared" si="5"/>
        <v>#DIV/0!</v>
      </c>
      <c r="O9" s="1000" t="e">
        <f t="shared" si="6"/>
        <v>#N/A</v>
      </c>
      <c r="P9" s="237"/>
      <c r="Q9" s="1119">
        <f>'DATOS &lt;'!$G$95</f>
        <v>0.2</v>
      </c>
      <c r="R9" s="1120">
        <f>'DATOS &lt;'!$G$95</f>
        <v>0.2</v>
      </c>
      <c r="S9" s="1121">
        <f>'DATOS &lt;'!$G$95</f>
        <v>0.2</v>
      </c>
      <c r="T9" s="1122">
        <f>-$Q$9</f>
        <v>-0.2</v>
      </c>
      <c r="U9" s="1120">
        <f>-$Q$9</f>
        <v>-0.2</v>
      </c>
      <c r="V9" s="1121">
        <f>-$Q$9</f>
        <v>-0.2</v>
      </c>
      <c r="W9" s="1100"/>
      <c r="X9" s="1100"/>
      <c r="Y9" s="1099"/>
      <c r="Z9" s="1100"/>
    </row>
    <row r="10" spans="1:26" ht="39.950000000000003" customHeight="1" x14ac:dyDescent="0.2">
      <c r="A10" s="1112">
        <v>4</v>
      </c>
      <c r="B10" s="1113" t="str">
        <f>'Cert juego miligramo &lt;'!B57</f>
        <v xml:space="preserve">5 </v>
      </c>
      <c r="C10" s="1113" t="str">
        <f>'Cert juego miligramo &lt;'!C57</f>
        <v>5 mg</v>
      </c>
      <c r="D10" s="1060" t="e">
        <f>'Cert juego miligramo &lt;'!D57</f>
        <v>#N/A</v>
      </c>
      <c r="E10" s="1114" t="e">
        <f>'5 mg &lt; '!I75</f>
        <v>#DIV/0!</v>
      </c>
      <c r="F10" s="1114">
        <f t="shared" si="1"/>
        <v>6.6666666666666666E-2</v>
      </c>
      <c r="G10" s="1114"/>
      <c r="H10" s="1060">
        <f>'Cert juego miligramo &lt;'!F57</f>
        <v>0.2</v>
      </c>
      <c r="I10" s="1060">
        <f t="shared" si="7"/>
        <v>-0.2</v>
      </c>
      <c r="J10" s="1115" t="e">
        <f t="shared" si="2"/>
        <v>#N/A</v>
      </c>
      <c r="K10" s="1116" t="e">
        <f t="shared" si="3"/>
        <v>#N/A</v>
      </c>
      <c r="L10" s="243" t="e">
        <f t="shared" si="0"/>
        <v>#N/A</v>
      </c>
      <c r="M10" s="1117" t="e">
        <f t="shared" si="4"/>
        <v>#N/A</v>
      </c>
      <c r="N10" s="1118" t="e">
        <f t="shared" si="5"/>
        <v>#DIV/0!</v>
      </c>
      <c r="O10" s="1000" t="e">
        <f t="shared" si="6"/>
        <v>#N/A</v>
      </c>
      <c r="P10" s="237"/>
      <c r="Q10" s="1119">
        <f>'DATOS &lt;'!$G$96</f>
        <v>0.2</v>
      </c>
      <c r="R10" s="1120">
        <f>'DATOS &lt;'!$G$96</f>
        <v>0.2</v>
      </c>
      <c r="S10" s="1121">
        <f>'DATOS &lt;'!$G$96</f>
        <v>0.2</v>
      </c>
      <c r="T10" s="1122">
        <f>-$Q$10</f>
        <v>-0.2</v>
      </c>
      <c r="U10" s="1120">
        <f>-$Q$10</f>
        <v>-0.2</v>
      </c>
      <c r="V10" s="1121">
        <f>-$Q$10</f>
        <v>-0.2</v>
      </c>
      <c r="W10" s="1100"/>
      <c r="X10" s="1100"/>
      <c r="Y10" s="1099"/>
      <c r="Z10" s="1100"/>
    </row>
    <row r="11" spans="1:26" ht="39.950000000000003" customHeight="1" x14ac:dyDescent="0.2">
      <c r="A11" s="1112">
        <v>5</v>
      </c>
      <c r="B11" s="1113" t="str">
        <f>'Cert juego miligramo &lt;'!B58</f>
        <v xml:space="preserve">10 </v>
      </c>
      <c r="C11" s="1113" t="str">
        <f>'Cert juego miligramo &lt;'!C58</f>
        <v>10 mg</v>
      </c>
      <c r="D11" s="1060" t="e">
        <f>'Cert juego miligramo &lt;'!D58</f>
        <v>#N/A</v>
      </c>
      <c r="E11" s="1114" t="e">
        <f>'10 mg &lt; '!I75</f>
        <v>#DIV/0!</v>
      </c>
      <c r="F11" s="1114">
        <f t="shared" si="1"/>
        <v>8.3333333333333329E-2</v>
      </c>
      <c r="G11" s="1114"/>
      <c r="H11" s="1060">
        <f>'Cert juego miligramo &lt;'!F58</f>
        <v>0.25</v>
      </c>
      <c r="I11" s="1060">
        <f t="shared" si="7"/>
        <v>-0.25</v>
      </c>
      <c r="J11" s="1115" t="e">
        <f t="shared" si="2"/>
        <v>#N/A</v>
      </c>
      <c r="K11" s="1116" t="e">
        <f t="shared" si="3"/>
        <v>#N/A</v>
      </c>
      <c r="L11" s="243" t="e">
        <f t="shared" si="0"/>
        <v>#N/A</v>
      </c>
      <c r="M11" s="1117" t="e">
        <f t="shared" si="4"/>
        <v>#N/A</v>
      </c>
      <c r="N11" s="1118" t="e">
        <f t="shared" si="5"/>
        <v>#DIV/0!</v>
      </c>
      <c r="O11" s="1000" t="e">
        <f t="shared" si="6"/>
        <v>#N/A</v>
      </c>
      <c r="P11" s="237"/>
      <c r="Q11" s="1119">
        <f>'DATOS &lt;'!$G$97</f>
        <v>0.25</v>
      </c>
      <c r="R11" s="1120">
        <f>'DATOS &lt;'!$G$97</f>
        <v>0.25</v>
      </c>
      <c r="S11" s="1121">
        <f>'DATOS &lt;'!$G$97</f>
        <v>0.25</v>
      </c>
      <c r="T11" s="1122">
        <f>-$Q$11</f>
        <v>-0.25</v>
      </c>
      <c r="U11" s="1120">
        <f>-$Q$11</f>
        <v>-0.25</v>
      </c>
      <c r="V11" s="1121">
        <f>-$Q$11</f>
        <v>-0.25</v>
      </c>
      <c r="W11" s="1100"/>
      <c r="X11" s="1100"/>
      <c r="Y11" s="1099"/>
      <c r="Z11" s="1100"/>
    </row>
    <row r="12" spans="1:26" ht="39.950000000000003" customHeight="1" x14ac:dyDescent="0.2">
      <c r="A12" s="1112">
        <v>6</v>
      </c>
      <c r="B12" s="1113" t="str">
        <f>'Cert juego miligramo &lt;'!B59</f>
        <v xml:space="preserve">20 </v>
      </c>
      <c r="C12" s="1113" t="str">
        <f>'Cert juego miligramo &lt;'!C59</f>
        <v>20 mg</v>
      </c>
      <c r="D12" s="1060" t="e">
        <f>'Cert juego miligramo &lt;'!D59</f>
        <v>#N/A</v>
      </c>
      <c r="E12" s="1114" t="e">
        <f>'20 mg &lt; '!I75</f>
        <v>#DIV/0!</v>
      </c>
      <c r="F12" s="1123">
        <f t="shared" si="1"/>
        <v>9.9999999999999992E-2</v>
      </c>
      <c r="G12" s="1123"/>
      <c r="H12" s="1028">
        <f>'Cert juego miligramo &lt;'!F59</f>
        <v>0.3</v>
      </c>
      <c r="I12" s="1028">
        <f t="shared" si="7"/>
        <v>-0.3</v>
      </c>
      <c r="J12" s="1115" t="e">
        <f t="shared" si="2"/>
        <v>#N/A</v>
      </c>
      <c r="K12" s="1116" t="e">
        <f t="shared" si="3"/>
        <v>#N/A</v>
      </c>
      <c r="L12" s="243" t="e">
        <f t="shared" si="0"/>
        <v>#N/A</v>
      </c>
      <c r="M12" s="1117" t="e">
        <f t="shared" si="4"/>
        <v>#N/A</v>
      </c>
      <c r="N12" s="1118" t="e">
        <f t="shared" si="5"/>
        <v>#DIV/0!</v>
      </c>
      <c r="O12" s="1000" t="e">
        <f t="shared" si="6"/>
        <v>#N/A</v>
      </c>
      <c r="P12" s="237"/>
      <c r="Q12" s="1124">
        <f>'DATOS &lt;'!$G$98</f>
        <v>0.3</v>
      </c>
      <c r="R12" s="1125">
        <f>'DATOS &lt;'!$G$98</f>
        <v>0.3</v>
      </c>
      <c r="S12" s="1126">
        <f>'DATOS &lt;'!$G$98</f>
        <v>0.3</v>
      </c>
      <c r="T12" s="1127">
        <f>-$Q$12</f>
        <v>-0.3</v>
      </c>
      <c r="U12" s="1125">
        <f>-$Q$12</f>
        <v>-0.3</v>
      </c>
      <c r="V12" s="1126">
        <f>-$Q$12</f>
        <v>-0.3</v>
      </c>
      <c r="W12" s="1100"/>
      <c r="X12" s="1100"/>
      <c r="Y12" s="1099"/>
      <c r="Z12" s="1100"/>
    </row>
    <row r="13" spans="1:26" ht="39.950000000000003" customHeight="1" x14ac:dyDescent="0.2">
      <c r="A13" s="1112">
        <v>7</v>
      </c>
      <c r="B13" s="1113" t="str">
        <f>'Cert juego miligramo &lt;'!B60</f>
        <v xml:space="preserve">20 </v>
      </c>
      <c r="C13" s="1113" t="str">
        <f>'Cert juego miligramo &lt;'!C60</f>
        <v>20 mg</v>
      </c>
      <c r="D13" s="1060" t="e">
        <f>'Cert juego miligramo &lt;'!D60</f>
        <v>#N/A</v>
      </c>
      <c r="E13" s="1114" t="e">
        <f>'20 mg + &lt; '!I75</f>
        <v>#DIV/0!</v>
      </c>
      <c r="F13" s="1123">
        <f t="shared" si="1"/>
        <v>9.9999999999999992E-2</v>
      </c>
      <c r="G13" s="1123"/>
      <c r="H13" s="1028">
        <f>'Cert juego miligramo &lt;'!F60</f>
        <v>0.3</v>
      </c>
      <c r="I13" s="1028">
        <f t="shared" si="7"/>
        <v>-0.3</v>
      </c>
      <c r="J13" s="1115" t="e">
        <f t="shared" si="2"/>
        <v>#N/A</v>
      </c>
      <c r="K13" s="1116" t="e">
        <f t="shared" si="3"/>
        <v>#N/A</v>
      </c>
      <c r="L13" s="243" t="e">
        <f t="shared" si="0"/>
        <v>#N/A</v>
      </c>
      <c r="M13" s="1117" t="e">
        <f t="shared" si="4"/>
        <v>#N/A</v>
      </c>
      <c r="N13" s="1118" t="e">
        <f t="shared" si="5"/>
        <v>#DIV/0!</v>
      </c>
      <c r="O13" s="1000" t="e">
        <f t="shared" si="6"/>
        <v>#N/A</v>
      </c>
      <c r="P13" s="237"/>
      <c r="Q13" s="1124">
        <f>'DATOS &lt;'!$G$99</f>
        <v>0.3</v>
      </c>
      <c r="R13" s="1125">
        <f>'DATOS &lt;'!$G$99</f>
        <v>0.3</v>
      </c>
      <c r="S13" s="1126">
        <f>'DATOS &lt;'!$G$99</f>
        <v>0.3</v>
      </c>
      <c r="T13" s="1127">
        <f>-$Q$13</f>
        <v>-0.3</v>
      </c>
      <c r="U13" s="1125">
        <f>-$Q$13</f>
        <v>-0.3</v>
      </c>
      <c r="V13" s="1126">
        <f>-$Q$13</f>
        <v>-0.3</v>
      </c>
      <c r="W13" s="1100"/>
      <c r="X13" s="1100"/>
      <c r="Y13" s="1099"/>
      <c r="Z13" s="1100"/>
    </row>
    <row r="14" spans="1:26" ht="39.950000000000003" customHeight="1" x14ac:dyDescent="0.2">
      <c r="A14" s="1112">
        <v>8</v>
      </c>
      <c r="B14" s="1113" t="str">
        <f>'Cert juego miligramo &lt;'!B61</f>
        <v xml:space="preserve">50 </v>
      </c>
      <c r="C14" s="1113" t="str">
        <f>'Cert juego miligramo &lt;'!C61</f>
        <v>50 mg</v>
      </c>
      <c r="D14" s="1060" t="e">
        <f>'Cert juego miligramo &lt;'!D61</f>
        <v>#N/A</v>
      </c>
      <c r="E14" s="1114" t="e">
        <f>'50 mg &lt; '!I75</f>
        <v>#DIV/0!</v>
      </c>
      <c r="F14" s="1123">
        <f t="shared" si="1"/>
        <v>0.13333333333333333</v>
      </c>
      <c r="G14" s="1123"/>
      <c r="H14" s="1028">
        <f>'Cert juego miligramo &lt;'!F61</f>
        <v>0.4</v>
      </c>
      <c r="I14" s="1028">
        <f t="shared" si="7"/>
        <v>-0.4</v>
      </c>
      <c r="J14" s="1115" t="e">
        <f t="shared" si="2"/>
        <v>#N/A</v>
      </c>
      <c r="K14" s="1116" t="e">
        <f t="shared" si="3"/>
        <v>#N/A</v>
      </c>
      <c r="L14" s="243" t="e">
        <f t="shared" si="0"/>
        <v>#N/A</v>
      </c>
      <c r="M14" s="1117" t="e">
        <f t="shared" si="4"/>
        <v>#N/A</v>
      </c>
      <c r="N14" s="1118" t="e">
        <f t="shared" si="5"/>
        <v>#DIV/0!</v>
      </c>
      <c r="O14" s="1000" t="e">
        <f t="shared" si="6"/>
        <v>#N/A</v>
      </c>
      <c r="P14" s="237"/>
      <c r="Q14" s="1124">
        <f>'DATOS &lt;'!$G$100</f>
        <v>0.4</v>
      </c>
      <c r="R14" s="1125">
        <f>'DATOS &lt;'!$G$100</f>
        <v>0.4</v>
      </c>
      <c r="S14" s="1126">
        <f>'DATOS &lt;'!$G$100</f>
        <v>0.4</v>
      </c>
      <c r="T14" s="1128">
        <f>-$Q$14</f>
        <v>-0.4</v>
      </c>
      <c r="U14" s="1129">
        <f>-$Q$14</f>
        <v>-0.4</v>
      </c>
      <c r="V14" s="1130">
        <f>-$Q$14</f>
        <v>-0.4</v>
      </c>
      <c r="W14" s="1100"/>
      <c r="X14" s="1100"/>
      <c r="Y14" s="1099"/>
      <c r="Z14" s="1100"/>
    </row>
    <row r="15" spans="1:26" ht="39.950000000000003" customHeight="1" x14ac:dyDescent="0.2">
      <c r="A15" s="1112">
        <v>9</v>
      </c>
      <c r="B15" s="1113" t="str">
        <f>'Cert juego miligramo &lt;'!B62</f>
        <v>100</v>
      </c>
      <c r="C15" s="1113" t="str">
        <f>'Cert juego miligramo &lt;'!C62</f>
        <v>100 mg</v>
      </c>
      <c r="D15" s="1060" t="e">
        <f>'Cert juego miligramo &lt;'!D62</f>
        <v>#N/A</v>
      </c>
      <c r="E15" s="1114" t="e">
        <f>'100 mg &lt; '!I75</f>
        <v>#DIV/0!</v>
      </c>
      <c r="F15" s="1123">
        <f t="shared" si="1"/>
        <v>0.16666666666666666</v>
      </c>
      <c r="G15" s="1123"/>
      <c r="H15" s="1028">
        <f>'Cert juego miligramo &lt;'!F62</f>
        <v>0.5</v>
      </c>
      <c r="I15" s="1028">
        <f t="shared" si="7"/>
        <v>-0.5</v>
      </c>
      <c r="J15" s="1115" t="e">
        <f t="shared" si="2"/>
        <v>#N/A</v>
      </c>
      <c r="K15" s="1116" t="e">
        <f t="shared" si="3"/>
        <v>#N/A</v>
      </c>
      <c r="L15" s="243" t="e">
        <f t="shared" si="0"/>
        <v>#N/A</v>
      </c>
      <c r="M15" s="1117" t="e">
        <f t="shared" si="4"/>
        <v>#N/A</v>
      </c>
      <c r="N15" s="1118" t="e">
        <f t="shared" si="5"/>
        <v>#DIV/0!</v>
      </c>
      <c r="O15" s="1000" t="e">
        <f t="shared" si="6"/>
        <v>#N/A</v>
      </c>
      <c r="P15" s="237"/>
      <c r="Q15" s="1124">
        <f>'DATOS &lt;'!$G$101</f>
        <v>0.5</v>
      </c>
      <c r="R15" s="1125">
        <f>'DATOS &lt;'!$G$101</f>
        <v>0.5</v>
      </c>
      <c r="S15" s="1126">
        <f>'DATOS &lt;'!$G$101</f>
        <v>0.5</v>
      </c>
      <c r="T15" s="1127">
        <f>-$Q$15</f>
        <v>-0.5</v>
      </c>
      <c r="U15" s="1125">
        <f>-$Q$15</f>
        <v>-0.5</v>
      </c>
      <c r="V15" s="1126">
        <f>-$Q$15</f>
        <v>-0.5</v>
      </c>
      <c r="W15" s="1100"/>
      <c r="X15" s="1100"/>
      <c r="Y15" s="1099"/>
      <c r="Z15" s="1100"/>
    </row>
    <row r="16" spans="1:26" ht="39.950000000000003" customHeight="1" x14ac:dyDescent="0.2">
      <c r="A16" s="1112">
        <v>10</v>
      </c>
      <c r="B16" s="1113" t="str">
        <f>'Cert juego miligramo &lt;'!B63</f>
        <v>200</v>
      </c>
      <c r="C16" s="1113" t="str">
        <f>'Cert juego miligramo &lt;'!C63</f>
        <v>200 mg</v>
      </c>
      <c r="D16" s="1060" t="e">
        <f>'Cert juego miligramo &lt;'!D63</f>
        <v>#N/A</v>
      </c>
      <c r="E16" s="1114" t="e">
        <f>'200 mg &lt; '!I75</f>
        <v>#DIV/0!</v>
      </c>
      <c r="F16" s="1123">
        <f t="shared" si="1"/>
        <v>0.19999999999999998</v>
      </c>
      <c r="G16" s="1123"/>
      <c r="H16" s="1028">
        <f>'Cert juego miligramo &lt;'!F63</f>
        <v>0.6</v>
      </c>
      <c r="I16" s="1028">
        <f t="shared" si="7"/>
        <v>-0.6</v>
      </c>
      <c r="J16" s="1115" t="e">
        <f>_xlfn.NORM.S.DIST(M16,1)</f>
        <v>#N/A</v>
      </c>
      <c r="K16" s="1116" t="e">
        <f t="shared" si="3"/>
        <v>#N/A</v>
      </c>
      <c r="L16" s="243" t="e">
        <f t="shared" si="0"/>
        <v>#N/A</v>
      </c>
      <c r="M16" s="1117" t="e">
        <f t="shared" si="4"/>
        <v>#N/A</v>
      </c>
      <c r="N16" s="1118" t="e">
        <f t="shared" si="5"/>
        <v>#DIV/0!</v>
      </c>
      <c r="O16" s="1000" t="e">
        <f t="shared" si="6"/>
        <v>#N/A</v>
      </c>
      <c r="P16" s="237"/>
      <c r="Q16" s="1124">
        <f>'DATOS &lt;'!$G$102</f>
        <v>0.6</v>
      </c>
      <c r="R16" s="1125">
        <f>'DATOS &lt;'!$G$102</f>
        <v>0.6</v>
      </c>
      <c r="S16" s="1126">
        <f>'DATOS &lt;'!$G$102</f>
        <v>0.6</v>
      </c>
      <c r="T16" s="1127">
        <f>-$Q$16</f>
        <v>-0.6</v>
      </c>
      <c r="U16" s="1125">
        <f>-$Q$16</f>
        <v>-0.6</v>
      </c>
      <c r="V16" s="1126">
        <f>-$Q$16</f>
        <v>-0.6</v>
      </c>
      <c r="W16" s="1100"/>
      <c r="X16" s="1100"/>
      <c r="Y16" s="1099"/>
      <c r="Z16" s="1100"/>
    </row>
    <row r="17" spans="1:25" ht="39.950000000000003" customHeight="1" x14ac:dyDescent="0.2">
      <c r="A17" s="1112">
        <v>11</v>
      </c>
      <c r="B17" s="1113" t="str">
        <f>'Cert juego miligramo &lt;'!B64</f>
        <v>200*</v>
      </c>
      <c r="C17" s="1113" t="str">
        <f>'Cert juego miligramo &lt;'!C64</f>
        <v>200 mg</v>
      </c>
      <c r="D17" s="1060" t="e">
        <f>'Cert juego miligramo &lt;'!D64</f>
        <v>#N/A</v>
      </c>
      <c r="E17" s="1114" t="e">
        <f>'200 mg + &lt;'!I75</f>
        <v>#DIV/0!</v>
      </c>
      <c r="F17" s="1123">
        <f t="shared" si="1"/>
        <v>0.19999999999999998</v>
      </c>
      <c r="G17" s="1123"/>
      <c r="H17" s="1028">
        <f>'Cert juego miligramo &lt;'!F64</f>
        <v>0.6</v>
      </c>
      <c r="I17" s="1028">
        <f t="shared" si="7"/>
        <v>-0.6</v>
      </c>
      <c r="J17" s="1115" t="e">
        <f t="shared" si="2"/>
        <v>#N/A</v>
      </c>
      <c r="K17" s="1116" t="e">
        <f t="shared" si="3"/>
        <v>#N/A</v>
      </c>
      <c r="L17" s="243" t="e">
        <f t="shared" si="0"/>
        <v>#N/A</v>
      </c>
      <c r="M17" s="1117" t="e">
        <f t="shared" si="4"/>
        <v>#N/A</v>
      </c>
      <c r="N17" s="1118" t="e">
        <f t="shared" si="5"/>
        <v>#DIV/0!</v>
      </c>
      <c r="O17" s="1000" t="e">
        <f t="shared" si="6"/>
        <v>#N/A</v>
      </c>
      <c r="P17" s="237"/>
      <c r="Q17" s="1124">
        <f>'DATOS &lt;'!$G$103</f>
        <v>0.6</v>
      </c>
      <c r="R17" s="1125">
        <f>'DATOS &lt;'!$G$103</f>
        <v>0.6</v>
      </c>
      <c r="S17" s="1126">
        <f>'DATOS &lt;'!$G$103</f>
        <v>0.6</v>
      </c>
      <c r="T17" s="1127">
        <f>-$Q$17</f>
        <v>-0.6</v>
      </c>
      <c r="U17" s="1125">
        <f>-$Q$17</f>
        <v>-0.6</v>
      </c>
      <c r="V17" s="1126">
        <f>-$Q$17</f>
        <v>-0.6</v>
      </c>
      <c r="W17" s="1100"/>
      <c r="X17" s="1100"/>
      <c r="Y17" s="1099"/>
    </row>
    <row r="18" spans="1:25" ht="39.950000000000003" customHeight="1" thickBot="1" x14ac:dyDescent="0.25">
      <c r="A18" s="1131">
        <v>12</v>
      </c>
      <c r="B18" s="1132" t="str">
        <f>'Cert juego miligramo &lt;'!B65</f>
        <v>500</v>
      </c>
      <c r="C18" s="1132" t="str">
        <f>'Cert juego miligramo &lt;'!C65</f>
        <v>500 mg</v>
      </c>
      <c r="D18" s="1133" t="e">
        <f>'Cert juego miligramo &lt;'!D65</f>
        <v>#N/A</v>
      </c>
      <c r="E18" s="1280" t="e">
        <f>'500 mg &lt; '!I75</f>
        <v>#DIV/0!</v>
      </c>
      <c r="F18" s="1134">
        <f t="shared" si="1"/>
        <v>0.26666666666666666</v>
      </c>
      <c r="G18" s="1134"/>
      <c r="H18" s="1135">
        <f>'Cert juego miligramo &lt;'!F65</f>
        <v>0.8</v>
      </c>
      <c r="I18" s="1135">
        <f t="shared" si="7"/>
        <v>-0.8</v>
      </c>
      <c r="J18" s="1136" t="e">
        <f>_xlfn.NORM.S.DIST(M18,1)</f>
        <v>#N/A</v>
      </c>
      <c r="K18" s="1137" t="e">
        <f>1-J18</f>
        <v>#N/A</v>
      </c>
      <c r="L18" s="244" t="e">
        <f t="shared" si="0"/>
        <v>#N/A</v>
      </c>
      <c r="M18" s="1138" t="e">
        <f t="shared" si="4"/>
        <v>#N/A</v>
      </c>
      <c r="N18" s="1139" t="e">
        <f t="shared" si="5"/>
        <v>#DIV/0!</v>
      </c>
      <c r="O18" s="1001" t="e">
        <f t="shared" si="6"/>
        <v>#N/A</v>
      </c>
      <c r="P18" s="237"/>
      <c r="Q18" s="1140">
        <f>'DATOS &lt;'!$G$104</f>
        <v>0.8</v>
      </c>
      <c r="R18" s="1141">
        <f>'DATOS &lt;'!$G$104</f>
        <v>0.8</v>
      </c>
      <c r="S18" s="1142">
        <f>'DATOS &lt;'!$G$104</f>
        <v>0.8</v>
      </c>
      <c r="T18" s="1143">
        <f>-$Q$18</f>
        <v>-0.8</v>
      </c>
      <c r="U18" s="1141">
        <f>-$Q$18</f>
        <v>-0.8</v>
      </c>
      <c r="V18" s="1142">
        <f>-$Q$18</f>
        <v>-0.8</v>
      </c>
      <c r="W18" s="1100"/>
      <c r="X18" s="1100"/>
      <c r="Y18" s="1099"/>
    </row>
    <row r="19" spans="1:25" ht="39.950000000000003" customHeight="1" x14ac:dyDescent="0.2">
      <c r="A19" s="1144"/>
      <c r="B19" s="1145"/>
      <c r="C19" s="1145"/>
      <c r="D19" s="1146"/>
      <c r="E19" s="1146"/>
      <c r="F19" s="1146"/>
      <c r="G19" s="1146"/>
      <c r="H19" s="1147"/>
      <c r="I19" s="1147"/>
      <c r="J19" s="1148"/>
      <c r="K19" s="1149"/>
      <c r="L19" s="389"/>
      <c r="M19" s="1150"/>
      <c r="N19" s="1151"/>
      <c r="O19" s="237"/>
      <c r="P19" s="237"/>
      <c r="Q19" s="1100"/>
      <c r="R19" s="1100"/>
      <c r="S19" s="1100"/>
      <c r="T19" s="1100"/>
      <c r="U19" s="1100"/>
      <c r="V19" s="1100"/>
      <c r="W19" s="1100"/>
      <c r="X19" s="1100"/>
      <c r="Y19" s="1099"/>
    </row>
    <row r="20" spans="1:25" ht="39.950000000000003" customHeight="1" x14ac:dyDescent="0.2">
      <c r="A20" s="1144"/>
      <c r="B20" s="1152"/>
      <c r="C20" s="1145"/>
      <c r="D20" s="1146"/>
      <c r="E20" s="1146"/>
      <c r="F20" s="1146"/>
      <c r="G20" s="1146"/>
      <c r="H20" s="1147"/>
      <c r="I20" s="1147"/>
      <c r="J20" s="1148"/>
      <c r="K20" s="1149"/>
      <c r="L20" s="389"/>
      <c r="M20" s="1150"/>
      <c r="N20" s="1151"/>
      <c r="O20" s="237"/>
      <c r="P20" s="237"/>
      <c r="Q20" s="1100"/>
      <c r="R20" s="1100"/>
      <c r="S20" s="1100"/>
      <c r="T20" s="1100"/>
      <c r="U20" s="1100"/>
      <c r="V20" s="1100"/>
      <c r="W20" s="1100"/>
      <c r="X20" s="1100"/>
      <c r="Y20" s="1100"/>
    </row>
    <row r="21" spans="1:25" ht="39.950000000000003" customHeight="1" x14ac:dyDescent="0.2">
      <c r="A21" s="1144"/>
      <c r="B21" s="1152"/>
      <c r="C21" s="1145"/>
      <c r="D21" s="1146"/>
      <c r="E21" s="1146"/>
      <c r="F21" s="1146"/>
      <c r="G21" s="1146"/>
      <c r="H21" s="1147"/>
      <c r="I21" s="1147"/>
      <c r="J21" s="1148"/>
      <c r="K21" s="1149"/>
      <c r="L21" s="389"/>
      <c r="M21" s="1150"/>
      <c r="N21" s="1151"/>
      <c r="O21" s="237"/>
      <c r="P21" s="237"/>
      <c r="Q21" s="237"/>
      <c r="R21" s="237"/>
      <c r="S21" s="237"/>
      <c r="T21" s="237"/>
      <c r="U21" s="1100"/>
      <c r="V21" s="1100"/>
      <c r="W21" s="1100"/>
      <c r="X21" s="1100"/>
      <c r="Y21" s="1100"/>
    </row>
    <row r="22" spans="1:25" ht="39.950000000000003" customHeight="1" x14ac:dyDescent="0.2">
      <c r="A22" s="1144"/>
      <c r="B22" s="1152"/>
      <c r="C22" s="1145"/>
      <c r="D22" s="1146"/>
      <c r="E22" s="1146"/>
      <c r="F22" s="1146"/>
      <c r="G22" s="1146"/>
      <c r="H22" s="1146"/>
      <c r="I22" s="1146"/>
      <c r="J22" s="1148"/>
      <c r="K22" s="1149"/>
      <c r="L22" s="389"/>
      <c r="M22" s="1150"/>
      <c r="N22" s="1151"/>
      <c r="O22" s="237"/>
      <c r="P22" s="237"/>
      <c r="Q22" s="237"/>
      <c r="R22" s="237"/>
      <c r="S22" s="237"/>
      <c r="T22" s="237"/>
      <c r="U22" s="1100"/>
      <c r="V22" s="1100"/>
      <c r="W22" s="1100"/>
      <c r="X22" s="1100"/>
      <c r="Y22" s="1100"/>
    </row>
    <row r="23" spans="1:25" ht="39.950000000000003" customHeight="1" x14ac:dyDescent="0.2">
      <c r="A23" s="1144"/>
      <c r="B23" s="1152"/>
      <c r="C23" s="1145"/>
      <c r="D23" s="1153"/>
      <c r="E23" s="1153"/>
      <c r="F23" s="1153"/>
      <c r="G23" s="1153"/>
      <c r="H23" s="1153"/>
      <c r="I23" s="1153"/>
      <c r="J23" s="1148"/>
      <c r="K23" s="1149"/>
      <c r="L23" s="389"/>
      <c r="M23" s="1150"/>
      <c r="N23" s="1151"/>
      <c r="O23" s="237"/>
      <c r="P23" s="237"/>
      <c r="Q23" s="237"/>
      <c r="R23" s="237"/>
      <c r="S23" s="237"/>
      <c r="T23" s="237"/>
      <c r="U23" s="1100"/>
      <c r="V23" s="1100"/>
      <c r="W23" s="1100"/>
      <c r="X23" s="1100"/>
      <c r="Y23" s="1100"/>
    </row>
    <row r="24" spans="1:25" ht="39.950000000000003" customHeight="1" x14ac:dyDescent="0.2">
      <c r="A24" s="1144"/>
      <c r="B24" s="1152"/>
      <c r="C24" s="1145"/>
      <c r="D24" s="1153"/>
      <c r="E24" s="1153"/>
      <c r="F24" s="1153"/>
      <c r="G24" s="1153"/>
      <c r="H24" s="1146"/>
      <c r="I24" s="1146"/>
      <c r="J24" s="1148"/>
      <c r="K24" s="1149"/>
      <c r="L24" s="389"/>
      <c r="M24" s="1150"/>
      <c r="N24" s="1152"/>
      <c r="O24" s="237"/>
      <c r="P24" s="237"/>
      <c r="Q24" s="237"/>
      <c r="R24" s="237"/>
      <c r="S24" s="237"/>
      <c r="T24" s="237"/>
      <c r="U24" s="1100"/>
      <c r="V24" s="1100"/>
      <c r="W24" s="1100"/>
      <c r="X24" s="1100"/>
      <c r="Y24" s="1100"/>
    </row>
    <row r="25" spans="1:25" ht="39.950000000000003" customHeight="1" x14ac:dyDescent="0.2">
      <c r="A25" s="1144"/>
      <c r="B25" s="1152"/>
      <c r="C25" s="1145"/>
      <c r="D25" s="1153"/>
      <c r="E25" s="1153"/>
      <c r="F25" s="1153"/>
      <c r="G25" s="1153"/>
      <c r="H25" s="1153"/>
      <c r="I25" s="1154"/>
      <c r="J25" s="1148"/>
      <c r="K25" s="1149"/>
      <c r="L25" s="389"/>
      <c r="M25" s="1150"/>
      <c r="N25" s="1151"/>
      <c r="O25" s="237"/>
      <c r="P25" s="237"/>
      <c r="Q25" s="237"/>
      <c r="R25" s="237"/>
      <c r="S25" s="237"/>
      <c r="T25" s="237"/>
      <c r="U25" s="1100"/>
      <c r="V25" s="1100"/>
      <c r="W25" s="1100"/>
      <c r="X25" s="1100"/>
      <c r="Y25" s="1100"/>
    </row>
    <row r="26" spans="1:25" ht="39.950000000000003" customHeight="1" x14ac:dyDescent="0.2">
      <c r="A26" s="1144"/>
      <c r="B26" s="1152"/>
      <c r="C26" s="1145"/>
      <c r="D26" s="1153"/>
      <c r="E26" s="1153"/>
      <c r="F26" s="1153"/>
      <c r="G26" s="1153"/>
      <c r="H26" s="1153"/>
      <c r="I26" s="1154"/>
      <c r="J26" s="1148"/>
      <c r="K26" s="1149"/>
      <c r="L26" s="389"/>
      <c r="M26" s="1150"/>
      <c r="N26" s="1151"/>
      <c r="O26" s="237"/>
      <c r="P26" s="237"/>
      <c r="Q26" s="237"/>
      <c r="R26" s="237"/>
      <c r="S26" s="237"/>
      <c r="T26" s="237"/>
      <c r="U26" s="1100"/>
      <c r="V26" s="1100"/>
      <c r="W26" s="1100"/>
      <c r="X26" s="1100"/>
      <c r="Y26" s="1100"/>
    </row>
    <row r="27" spans="1:25" ht="30" customHeight="1" x14ac:dyDescent="0.2">
      <c r="A27" s="1100"/>
      <c r="B27" s="1100"/>
      <c r="C27" s="1100"/>
      <c r="D27" s="1100"/>
      <c r="E27" s="1100"/>
      <c r="F27" s="1100"/>
      <c r="G27" s="1100"/>
      <c r="H27" s="1100"/>
      <c r="I27" s="1100"/>
      <c r="J27" s="1100"/>
      <c r="K27" s="1100"/>
      <c r="L27" s="237"/>
      <c r="M27" s="237"/>
      <c r="N27" s="237"/>
      <c r="O27" s="237"/>
      <c r="P27" s="237"/>
      <c r="Q27" s="237"/>
      <c r="R27" s="237"/>
      <c r="S27" s="237"/>
      <c r="T27" s="237"/>
      <c r="U27" s="1100"/>
      <c r="V27" s="1100"/>
      <c r="W27" s="1100"/>
      <c r="X27" s="1100"/>
      <c r="Y27" s="1100"/>
    </row>
    <row r="28" spans="1:25" ht="30" customHeight="1" x14ac:dyDescent="0.2">
      <c r="A28" s="237"/>
      <c r="B28" s="237"/>
      <c r="C28" s="237"/>
      <c r="D28" s="237"/>
      <c r="E28" s="237"/>
      <c r="F28" s="237"/>
      <c r="G28" s="237"/>
      <c r="H28" s="237"/>
      <c r="I28" s="237"/>
      <c r="J28" s="237"/>
      <c r="K28" s="237"/>
      <c r="L28" s="237"/>
      <c r="M28" s="237"/>
      <c r="N28" s="237"/>
      <c r="O28" s="237"/>
      <c r="P28" s="237"/>
      <c r="Q28" s="237"/>
      <c r="R28" s="237"/>
      <c r="S28" s="237"/>
      <c r="T28" s="237"/>
      <c r="U28" s="1100"/>
      <c r="V28" s="1100"/>
      <c r="W28" s="1100"/>
      <c r="X28" s="1100"/>
      <c r="Y28" s="1100"/>
    </row>
    <row r="29" spans="1:25" ht="30" customHeight="1" x14ac:dyDescent="0.2">
      <c r="A29" s="245"/>
      <c r="B29" s="245"/>
      <c r="C29" s="245"/>
      <c r="D29" s="245"/>
      <c r="E29" s="245"/>
      <c r="F29" s="245"/>
      <c r="G29" s="245"/>
      <c r="H29" s="245"/>
      <c r="I29" s="245"/>
      <c r="J29" s="245"/>
      <c r="K29" s="245"/>
      <c r="L29" s="245"/>
      <c r="M29" s="245"/>
      <c r="N29" s="245"/>
      <c r="O29" s="237"/>
      <c r="P29" s="237"/>
      <c r="Q29" s="237"/>
      <c r="R29" s="237"/>
      <c r="S29" s="237"/>
      <c r="T29" s="237"/>
      <c r="U29" s="1100"/>
      <c r="V29" s="1100"/>
      <c r="W29" s="1100"/>
      <c r="X29" s="1100"/>
      <c r="Y29" s="1100"/>
    </row>
    <row r="30" spans="1:25" ht="30" customHeight="1" x14ac:dyDescent="0.2">
      <c r="A30" s="246"/>
      <c r="B30" s="246"/>
      <c r="C30" s="246"/>
      <c r="D30" s="246"/>
      <c r="E30" s="246"/>
      <c r="F30" s="246"/>
      <c r="G30" s="246"/>
      <c r="H30" s="246"/>
      <c r="I30" s="246"/>
      <c r="J30" s="246"/>
      <c r="K30" s="246"/>
      <c r="L30" s="246"/>
      <c r="M30" s="246"/>
      <c r="N30" s="246"/>
      <c r="O30" s="237"/>
      <c r="P30" s="237"/>
      <c r="Q30" s="237"/>
      <c r="R30" s="237"/>
      <c r="S30" s="237"/>
      <c r="T30" s="237"/>
      <c r="U30" s="1100"/>
      <c r="V30" s="1100"/>
      <c r="W30" s="1100"/>
      <c r="X30" s="1100"/>
      <c r="Y30" s="1100"/>
    </row>
    <row r="31" spans="1:25" ht="30" customHeight="1" x14ac:dyDescent="0.2">
      <c r="A31" s="246"/>
      <c r="B31" s="246"/>
      <c r="C31" s="246"/>
      <c r="D31" s="246"/>
      <c r="E31" s="246"/>
      <c r="F31" s="246"/>
      <c r="G31" s="246"/>
      <c r="H31" s="246"/>
      <c r="I31" s="246"/>
      <c r="J31" s="246"/>
      <c r="K31" s="246"/>
      <c r="L31" s="246"/>
      <c r="M31" s="246"/>
      <c r="N31" s="246"/>
      <c r="O31" s="237"/>
      <c r="P31" s="237"/>
      <c r="Q31" s="237"/>
      <c r="R31" s="237"/>
      <c r="S31" s="237"/>
      <c r="T31" s="237"/>
      <c r="U31" s="1100"/>
      <c r="V31" s="1100"/>
      <c r="W31" s="1100"/>
      <c r="X31" s="1100"/>
      <c r="Y31" s="1100"/>
    </row>
    <row r="32" spans="1:25" ht="30" customHeight="1" x14ac:dyDescent="0.2">
      <c r="A32" s="246"/>
      <c r="B32" s="246"/>
      <c r="C32" s="246"/>
      <c r="D32" s="246"/>
      <c r="E32" s="246"/>
      <c r="F32" s="246"/>
      <c r="G32" s="246"/>
      <c r="H32" s="246"/>
      <c r="I32" s="246"/>
      <c r="J32" s="246"/>
      <c r="K32" s="246"/>
      <c r="L32" s="246"/>
      <c r="M32" s="246"/>
      <c r="N32" s="246"/>
      <c r="O32" s="237"/>
      <c r="P32" s="237"/>
      <c r="Q32" s="237"/>
      <c r="R32" s="237"/>
      <c r="S32" s="237"/>
      <c r="T32" s="237"/>
      <c r="U32" s="1100"/>
      <c r="V32" s="1100"/>
      <c r="W32" s="1100"/>
      <c r="X32" s="1100"/>
      <c r="Y32" s="1100"/>
    </row>
    <row r="33" spans="1:20" ht="30" customHeight="1" x14ac:dyDescent="0.2">
      <c r="A33" s="246"/>
      <c r="B33" s="246"/>
      <c r="C33" s="246"/>
      <c r="D33" s="246"/>
      <c r="E33" s="246"/>
      <c r="F33" s="246"/>
      <c r="G33" s="246"/>
      <c r="H33" s="246"/>
      <c r="I33" s="246"/>
      <c r="J33" s="246"/>
      <c r="K33" s="246"/>
      <c r="L33" s="246"/>
      <c r="M33" s="246"/>
      <c r="N33" s="246"/>
      <c r="O33" s="237"/>
      <c r="P33" s="237"/>
      <c r="Q33" s="237"/>
      <c r="R33" s="237"/>
      <c r="S33" s="237"/>
      <c r="T33" s="237"/>
    </row>
    <row r="34" spans="1:20" ht="30" customHeight="1" x14ac:dyDescent="0.2">
      <c r="A34" s="246"/>
      <c r="B34" s="246"/>
      <c r="C34" s="246"/>
      <c r="D34" s="246"/>
      <c r="E34" s="246"/>
      <c r="F34" s="246"/>
      <c r="G34" s="246"/>
      <c r="H34" s="246"/>
      <c r="I34" s="246"/>
      <c r="J34" s="246"/>
      <c r="K34" s="246"/>
      <c r="L34" s="246"/>
      <c r="M34" s="246"/>
      <c r="N34" s="246"/>
      <c r="O34" s="237"/>
      <c r="P34" s="237"/>
      <c r="Q34" s="237"/>
      <c r="R34" s="237"/>
      <c r="S34" s="237"/>
      <c r="T34" s="237"/>
    </row>
    <row r="35" spans="1:20" ht="30" customHeight="1" x14ac:dyDescent="0.2">
      <c r="A35" s="246"/>
      <c r="B35" s="246"/>
      <c r="C35" s="246"/>
      <c r="D35" s="246"/>
      <c r="E35" s="246"/>
      <c r="F35" s="246"/>
      <c r="G35" s="246"/>
      <c r="H35" s="246"/>
      <c r="I35" s="246"/>
      <c r="J35" s="246"/>
      <c r="K35" s="246"/>
      <c r="L35" s="246"/>
      <c r="M35" s="246"/>
      <c r="N35" s="246"/>
      <c r="O35" s="237"/>
      <c r="P35" s="237"/>
      <c r="Q35" s="237"/>
      <c r="R35" s="237"/>
      <c r="S35" s="237"/>
      <c r="T35" s="237"/>
    </row>
    <row r="36" spans="1:20" ht="30" customHeight="1" x14ac:dyDescent="0.2">
      <c r="A36" s="246"/>
      <c r="B36" s="246"/>
      <c r="C36" s="246"/>
      <c r="D36" s="246"/>
      <c r="E36" s="246"/>
      <c r="F36" s="246"/>
      <c r="G36" s="246"/>
      <c r="H36" s="246"/>
      <c r="I36" s="246"/>
      <c r="J36" s="246"/>
      <c r="K36" s="246"/>
      <c r="L36" s="246"/>
      <c r="M36" s="246"/>
      <c r="N36" s="246"/>
      <c r="O36" s="237"/>
      <c r="P36" s="237"/>
      <c r="Q36" s="237"/>
      <c r="R36" s="237"/>
      <c r="S36" s="237"/>
      <c r="T36" s="237"/>
    </row>
    <row r="37" spans="1:20" ht="30" customHeight="1" x14ac:dyDescent="0.2">
      <c r="A37" s="246"/>
      <c r="B37" s="246"/>
      <c r="C37" s="246"/>
      <c r="D37" s="246"/>
      <c r="E37" s="246"/>
      <c r="F37" s="246"/>
      <c r="G37" s="246"/>
      <c r="H37" s="246"/>
      <c r="I37" s="246"/>
      <c r="J37" s="246"/>
      <c r="K37" s="246"/>
      <c r="L37" s="246"/>
      <c r="M37" s="246"/>
      <c r="N37" s="246"/>
      <c r="O37" s="237"/>
      <c r="P37" s="237"/>
      <c r="Q37" s="237"/>
      <c r="R37" s="237"/>
      <c r="S37" s="237"/>
      <c r="T37" s="237"/>
    </row>
    <row r="38" spans="1:20" ht="30" customHeight="1" x14ac:dyDescent="0.2">
      <c r="A38" s="246"/>
      <c r="B38" s="246"/>
      <c r="C38" s="246"/>
      <c r="D38" s="246"/>
      <c r="E38" s="246"/>
      <c r="F38" s="246"/>
      <c r="G38" s="246"/>
      <c r="H38" s="246"/>
      <c r="I38" s="246"/>
      <c r="J38" s="246"/>
      <c r="K38" s="246"/>
      <c r="L38" s="246"/>
      <c r="M38" s="246"/>
      <c r="N38" s="246"/>
      <c r="O38" s="237"/>
      <c r="P38" s="237"/>
      <c r="Q38" s="237"/>
      <c r="R38" s="237"/>
      <c r="S38" s="237"/>
      <c r="T38" s="237"/>
    </row>
    <row r="39" spans="1:20" ht="30" customHeight="1" x14ac:dyDescent="0.2">
      <c r="A39" s="246"/>
      <c r="B39" s="246"/>
      <c r="C39" s="246"/>
      <c r="D39" s="246"/>
      <c r="E39" s="246"/>
      <c r="F39" s="246"/>
      <c r="G39" s="246"/>
      <c r="H39" s="246"/>
      <c r="I39" s="246"/>
      <c r="J39" s="246"/>
      <c r="K39" s="246"/>
      <c r="L39" s="246"/>
      <c r="M39" s="246"/>
      <c r="N39" s="246"/>
      <c r="O39" s="237"/>
      <c r="P39" s="237"/>
      <c r="Q39" s="237"/>
      <c r="R39" s="237"/>
      <c r="S39" s="237"/>
      <c r="T39" s="237"/>
    </row>
    <row r="40" spans="1:20" ht="30" customHeight="1" x14ac:dyDescent="0.2">
      <c r="A40" s="246"/>
      <c r="B40" s="246"/>
      <c r="C40" s="246"/>
      <c r="D40" s="246"/>
      <c r="E40" s="246"/>
      <c r="F40" s="246"/>
      <c r="G40" s="246"/>
      <c r="H40" s="246"/>
      <c r="I40" s="246"/>
      <c r="J40" s="246"/>
      <c r="K40" s="246"/>
      <c r="L40" s="246"/>
      <c r="M40" s="246"/>
      <c r="N40" s="246"/>
      <c r="O40" s="237"/>
      <c r="P40" s="237"/>
      <c r="Q40" s="237"/>
      <c r="R40" s="237"/>
      <c r="S40" s="237"/>
      <c r="T40" s="237"/>
    </row>
    <row r="41" spans="1:20" ht="30" customHeight="1" x14ac:dyDescent="0.2">
      <c r="A41" s="246"/>
      <c r="B41" s="246"/>
      <c r="C41" s="246"/>
      <c r="D41" s="246"/>
      <c r="E41" s="246"/>
      <c r="F41" s="246"/>
      <c r="G41" s="246"/>
      <c r="H41" s="246"/>
      <c r="I41" s="246"/>
      <c r="J41" s="246"/>
      <c r="K41" s="246"/>
      <c r="L41" s="246"/>
      <c r="M41" s="246"/>
      <c r="N41" s="246"/>
      <c r="O41" s="237"/>
      <c r="P41" s="237"/>
      <c r="Q41" s="237"/>
      <c r="R41" s="237"/>
      <c r="S41" s="237"/>
      <c r="T41" s="237"/>
    </row>
    <row r="42" spans="1:20" ht="30" customHeight="1" x14ac:dyDescent="0.2">
      <c r="A42" s="246"/>
      <c r="B42" s="246"/>
      <c r="C42" s="246"/>
      <c r="D42" s="246"/>
      <c r="E42" s="246"/>
      <c r="F42" s="246"/>
      <c r="G42" s="246"/>
      <c r="H42" s="246"/>
      <c r="I42" s="246"/>
      <c r="J42" s="246"/>
      <c r="K42" s="246"/>
      <c r="L42" s="246"/>
      <c r="M42" s="246"/>
      <c r="N42" s="246"/>
      <c r="O42" s="237"/>
      <c r="P42" s="237"/>
      <c r="Q42" s="237"/>
      <c r="R42" s="237"/>
      <c r="S42" s="237"/>
      <c r="T42" s="237"/>
    </row>
    <row r="43" spans="1:20" ht="30" customHeight="1" x14ac:dyDescent="0.2">
      <c r="A43" s="246"/>
      <c r="B43" s="246"/>
      <c r="C43" s="246"/>
      <c r="D43" s="246"/>
      <c r="E43" s="246"/>
      <c r="F43" s="246"/>
      <c r="G43" s="246"/>
      <c r="H43" s="246"/>
      <c r="I43" s="246"/>
      <c r="J43" s="246"/>
      <c r="K43" s="246"/>
      <c r="L43" s="246"/>
      <c r="M43" s="246"/>
      <c r="N43" s="246"/>
      <c r="O43" s="237"/>
      <c r="P43" s="237"/>
      <c r="Q43" s="237"/>
      <c r="R43" s="237"/>
      <c r="S43" s="237"/>
      <c r="T43" s="237"/>
    </row>
    <row r="44" spans="1:20" ht="30" customHeight="1" x14ac:dyDescent="0.2">
      <c r="A44" s="246"/>
      <c r="B44" s="246"/>
      <c r="C44" s="246"/>
      <c r="D44" s="246"/>
      <c r="E44" s="246"/>
      <c r="F44" s="246"/>
      <c r="G44" s="246"/>
      <c r="H44" s="246"/>
      <c r="I44" s="246"/>
      <c r="J44" s="246"/>
      <c r="K44" s="246"/>
      <c r="L44" s="246"/>
      <c r="M44" s="246"/>
      <c r="N44" s="246"/>
      <c r="O44" s="237"/>
      <c r="P44" s="237"/>
      <c r="Q44" s="237"/>
      <c r="R44" s="237"/>
      <c r="S44" s="237"/>
      <c r="T44" s="237"/>
    </row>
    <row r="45" spans="1:20" ht="30" customHeight="1" x14ac:dyDescent="0.2">
      <c r="A45" s="246"/>
      <c r="B45" s="246"/>
      <c r="C45" s="246"/>
      <c r="D45" s="246"/>
      <c r="E45" s="246"/>
      <c r="F45" s="246"/>
      <c r="G45" s="246"/>
      <c r="H45" s="246"/>
      <c r="I45" s="246"/>
      <c r="J45" s="246"/>
      <c r="K45" s="246"/>
      <c r="L45" s="246"/>
      <c r="M45" s="246"/>
      <c r="N45" s="246"/>
      <c r="O45" s="237"/>
      <c r="P45" s="237"/>
      <c r="Q45" s="237"/>
      <c r="R45" s="237"/>
      <c r="S45" s="237"/>
      <c r="T45" s="237"/>
    </row>
    <row r="46" spans="1:20" ht="30" customHeight="1" x14ac:dyDescent="0.2">
      <c r="A46" s="246"/>
      <c r="B46" s="246"/>
      <c r="C46" s="246"/>
      <c r="D46" s="246"/>
      <c r="E46" s="246"/>
      <c r="F46" s="246"/>
      <c r="G46" s="246"/>
      <c r="H46" s="246"/>
      <c r="I46" s="246"/>
      <c r="J46" s="246"/>
      <c r="K46" s="246"/>
      <c r="L46" s="246"/>
      <c r="M46" s="246"/>
      <c r="N46" s="246"/>
      <c r="O46" s="237"/>
      <c r="P46" s="237"/>
      <c r="Q46" s="237"/>
      <c r="R46" s="237"/>
      <c r="S46" s="237"/>
      <c r="T46" s="237"/>
    </row>
    <row r="47" spans="1:20" ht="30" customHeight="1" x14ac:dyDescent="0.2">
      <c r="A47" s="246"/>
      <c r="B47" s="246"/>
      <c r="C47" s="246"/>
      <c r="D47" s="246"/>
      <c r="E47" s="246"/>
      <c r="F47" s="246"/>
      <c r="G47" s="246"/>
      <c r="H47" s="246"/>
      <c r="I47" s="246"/>
      <c r="J47" s="246"/>
      <c r="K47" s="246"/>
      <c r="L47" s="246"/>
      <c r="M47" s="246"/>
      <c r="N47" s="246"/>
      <c r="O47" s="237"/>
      <c r="P47" s="237"/>
      <c r="Q47" s="237"/>
      <c r="R47" s="237"/>
      <c r="S47" s="237"/>
      <c r="T47" s="237"/>
    </row>
    <row r="48" spans="1:20" ht="30" customHeight="1" x14ac:dyDescent="0.2">
      <c r="A48" s="246"/>
      <c r="B48" s="246"/>
      <c r="C48" s="246"/>
      <c r="D48" s="246"/>
      <c r="E48" s="246"/>
      <c r="F48" s="246"/>
      <c r="G48" s="246"/>
      <c r="H48" s="246"/>
      <c r="I48" s="246"/>
      <c r="J48" s="246"/>
      <c r="K48" s="246"/>
      <c r="L48" s="246"/>
      <c r="M48" s="246"/>
      <c r="N48" s="246"/>
      <c r="O48" s="237"/>
      <c r="P48" s="237"/>
      <c r="Q48" s="237"/>
      <c r="R48" s="237"/>
      <c r="S48" s="237"/>
      <c r="T48" s="237"/>
    </row>
    <row r="49" spans="1:20" ht="30" customHeight="1" x14ac:dyDescent="0.2">
      <c r="A49" s="246"/>
      <c r="B49" s="246"/>
      <c r="C49" s="246"/>
      <c r="D49" s="246"/>
      <c r="E49" s="246"/>
      <c r="F49" s="246"/>
      <c r="G49" s="246"/>
      <c r="H49" s="246"/>
      <c r="I49" s="246"/>
      <c r="J49" s="246"/>
      <c r="K49" s="246"/>
      <c r="L49" s="246"/>
      <c r="M49" s="246"/>
      <c r="N49" s="246"/>
      <c r="O49" s="237"/>
      <c r="P49" s="237"/>
      <c r="Q49" s="237"/>
      <c r="R49" s="237"/>
      <c r="S49" s="237"/>
      <c r="T49" s="237"/>
    </row>
    <row r="50" spans="1:20" ht="30" customHeight="1" x14ac:dyDescent="0.2">
      <c r="A50" s="246"/>
      <c r="B50" s="246"/>
      <c r="C50" s="246"/>
      <c r="D50" s="246"/>
      <c r="E50" s="246"/>
      <c r="F50" s="246"/>
      <c r="G50" s="246"/>
      <c r="H50" s="246"/>
      <c r="I50" s="246"/>
      <c r="J50" s="246"/>
      <c r="K50" s="246"/>
      <c r="L50" s="246"/>
      <c r="M50" s="246"/>
      <c r="N50" s="246"/>
      <c r="O50" s="237"/>
      <c r="P50" s="237"/>
      <c r="Q50" s="237"/>
      <c r="R50" s="237"/>
      <c r="S50" s="237"/>
      <c r="T50" s="237"/>
    </row>
    <row r="51" spans="1:20" ht="30" customHeight="1" x14ac:dyDescent="0.2">
      <c r="A51" s="1155"/>
      <c r="B51" s="1156"/>
      <c r="C51" s="1156"/>
      <c r="D51" s="237"/>
      <c r="E51" s="237"/>
      <c r="F51" s="237"/>
      <c r="G51" s="237"/>
      <c r="H51" s="237"/>
      <c r="I51" s="237"/>
      <c r="J51" s="237"/>
      <c r="K51" s="237"/>
      <c r="L51" s="237"/>
      <c r="M51" s="237"/>
      <c r="N51" s="237"/>
      <c r="O51" s="237"/>
      <c r="P51" s="237"/>
      <c r="Q51" s="237"/>
      <c r="R51" s="237"/>
      <c r="S51" s="237"/>
      <c r="T51" s="237"/>
    </row>
    <row r="52" spans="1:20" ht="30" customHeight="1" x14ac:dyDescent="0.2">
      <c r="A52" s="1155"/>
      <c r="B52" s="1156"/>
      <c r="C52" s="1156"/>
      <c r="D52" s="237"/>
      <c r="E52" s="237"/>
      <c r="F52" s="237"/>
      <c r="G52" s="237"/>
      <c r="H52" s="237"/>
      <c r="I52" s="237"/>
      <c r="J52" s="237"/>
      <c r="K52" s="237"/>
      <c r="L52" s="237"/>
      <c r="M52" s="237"/>
      <c r="N52" s="237"/>
      <c r="O52" s="237"/>
      <c r="P52" s="237"/>
      <c r="Q52" s="237"/>
      <c r="R52" s="237"/>
      <c r="S52" s="237"/>
      <c r="T52" s="237"/>
    </row>
    <row r="53" spans="1:20" ht="30" customHeight="1" x14ac:dyDescent="0.2">
      <c r="A53" s="1155"/>
      <c r="B53" s="1156"/>
      <c r="C53" s="1156"/>
      <c r="D53" s="237"/>
      <c r="E53" s="237"/>
      <c r="F53" s="237"/>
      <c r="G53" s="237"/>
      <c r="H53" s="237"/>
      <c r="I53" s="237"/>
      <c r="J53" s="237"/>
      <c r="K53" s="237"/>
      <c r="L53" s="237"/>
      <c r="M53" s="237"/>
      <c r="N53" s="237"/>
      <c r="O53" s="237"/>
      <c r="P53" s="237"/>
      <c r="Q53" s="237"/>
      <c r="R53" s="237"/>
      <c r="S53" s="237"/>
      <c r="T53" s="237"/>
    </row>
    <row r="54" spans="1:20" ht="30" customHeight="1" x14ac:dyDescent="0.2">
      <c r="A54" s="1155"/>
      <c r="B54" s="1156"/>
      <c r="C54" s="1156"/>
      <c r="D54" s="237"/>
      <c r="E54" s="237"/>
      <c r="F54" s="237"/>
      <c r="G54" s="237"/>
      <c r="H54" s="237"/>
      <c r="I54" s="237"/>
      <c r="J54" s="237"/>
      <c r="K54" s="237"/>
      <c r="L54" s="237"/>
      <c r="M54" s="237"/>
      <c r="N54" s="237"/>
      <c r="O54" s="237"/>
      <c r="P54" s="237"/>
      <c r="Q54" s="237"/>
      <c r="R54" s="237"/>
      <c r="S54" s="237"/>
      <c r="T54" s="237"/>
    </row>
    <row r="55" spans="1:20" ht="30" customHeight="1" x14ac:dyDescent="0.2">
      <c r="A55" s="1155"/>
      <c r="B55" s="1156"/>
      <c r="C55" s="1156"/>
      <c r="D55" s="237"/>
      <c r="E55" s="237"/>
      <c r="F55" s="237"/>
      <c r="G55" s="237"/>
      <c r="H55" s="237"/>
      <c r="I55" s="237"/>
      <c r="J55" s="237"/>
      <c r="K55" s="237"/>
      <c r="L55" s="237"/>
      <c r="M55" s="237"/>
      <c r="N55" s="237"/>
      <c r="O55" s="237"/>
      <c r="P55" s="237"/>
      <c r="Q55" s="237"/>
      <c r="R55" s="237"/>
      <c r="S55" s="237"/>
      <c r="T55" s="237"/>
    </row>
    <row r="56" spans="1:20" ht="30" customHeight="1" x14ac:dyDescent="0.2">
      <c r="A56" s="1155"/>
      <c r="B56" s="1156"/>
      <c r="C56" s="1156"/>
      <c r="D56" s="237"/>
      <c r="E56" s="237"/>
      <c r="F56" s="237"/>
      <c r="G56" s="237"/>
      <c r="H56" s="237"/>
      <c r="I56" s="237"/>
      <c r="J56" s="237"/>
      <c r="K56" s="237"/>
      <c r="L56" s="237"/>
      <c r="M56" s="237"/>
      <c r="N56" s="237"/>
      <c r="O56" s="237"/>
      <c r="P56" s="237"/>
      <c r="Q56" s="237"/>
      <c r="R56" s="237"/>
      <c r="S56" s="237"/>
      <c r="T56" s="237"/>
    </row>
    <row r="57" spans="1:20" ht="30" customHeight="1" x14ac:dyDescent="0.2">
      <c r="A57" s="1155"/>
      <c r="B57" s="1156"/>
      <c r="C57" s="1156"/>
      <c r="D57" s="237"/>
      <c r="E57" s="237"/>
      <c r="F57" s="237"/>
      <c r="G57" s="237"/>
      <c r="H57" s="237"/>
      <c r="I57" s="237"/>
      <c r="J57" s="237"/>
      <c r="K57" s="237"/>
      <c r="L57" s="237"/>
      <c r="M57" s="237"/>
      <c r="N57" s="237"/>
      <c r="O57" s="237"/>
      <c r="P57" s="237"/>
      <c r="Q57" s="237"/>
      <c r="R57" s="237"/>
      <c r="S57" s="237"/>
      <c r="T57" s="237"/>
    </row>
    <row r="58" spans="1:20" ht="30" customHeight="1" x14ac:dyDescent="0.2">
      <c r="A58" s="1155"/>
      <c r="B58" s="1156"/>
      <c r="C58" s="1156"/>
      <c r="D58" s="237"/>
      <c r="E58" s="237"/>
      <c r="F58" s="237"/>
      <c r="G58" s="237"/>
      <c r="H58" s="237"/>
      <c r="I58" s="237"/>
      <c r="J58" s="237"/>
      <c r="K58" s="237"/>
      <c r="L58" s="237"/>
      <c r="M58" s="237"/>
      <c r="N58" s="237"/>
      <c r="O58" s="237"/>
      <c r="P58" s="237"/>
      <c r="Q58" s="237"/>
      <c r="R58" s="237"/>
      <c r="S58" s="237"/>
      <c r="T58" s="237"/>
    </row>
    <row r="59" spans="1:20" ht="30" customHeight="1" x14ac:dyDescent="0.2">
      <c r="A59" s="1155"/>
      <c r="B59" s="1156"/>
      <c r="C59" s="1156"/>
      <c r="D59" s="237"/>
      <c r="E59" s="237"/>
      <c r="F59" s="237"/>
      <c r="G59" s="237"/>
      <c r="H59" s="237"/>
      <c r="I59" s="237"/>
      <c r="J59" s="237"/>
      <c r="K59" s="237"/>
      <c r="L59" s="237"/>
      <c r="M59" s="237"/>
      <c r="N59" s="237"/>
      <c r="O59" s="237"/>
      <c r="P59" s="237"/>
      <c r="Q59" s="237"/>
      <c r="R59" s="237"/>
      <c r="S59" s="237"/>
      <c r="T59" s="237"/>
    </row>
    <row r="60" spans="1:20" ht="30" customHeight="1" x14ac:dyDescent="0.2">
      <c r="A60" s="1155"/>
      <c r="B60" s="1156"/>
      <c r="C60" s="1156"/>
      <c r="D60" s="237"/>
      <c r="E60" s="237"/>
      <c r="F60" s="237"/>
      <c r="G60" s="237"/>
      <c r="H60" s="237"/>
      <c r="I60" s="237"/>
      <c r="J60" s="237"/>
      <c r="K60" s="237"/>
      <c r="L60" s="237"/>
      <c r="M60" s="237"/>
      <c r="N60" s="237"/>
      <c r="O60" s="237"/>
      <c r="P60" s="237"/>
      <c r="Q60" s="237"/>
      <c r="R60" s="237"/>
      <c r="S60" s="237"/>
      <c r="T60" s="237"/>
    </row>
    <row r="61" spans="1:20" ht="30" customHeight="1" x14ac:dyDescent="0.2">
      <c r="A61" s="1155"/>
      <c r="B61" s="1156"/>
      <c r="C61" s="1156"/>
      <c r="D61" s="237"/>
      <c r="E61" s="237"/>
      <c r="F61" s="237"/>
      <c r="G61" s="237"/>
      <c r="H61" s="237"/>
      <c r="I61" s="237"/>
      <c r="J61" s="237"/>
      <c r="K61" s="237"/>
      <c r="L61" s="237"/>
      <c r="M61" s="237"/>
      <c r="N61" s="237"/>
      <c r="O61" s="237"/>
      <c r="P61" s="237"/>
      <c r="Q61" s="237"/>
      <c r="R61" s="237"/>
      <c r="S61" s="237"/>
      <c r="T61" s="237"/>
    </row>
    <row r="62" spans="1:20" ht="30" customHeight="1" x14ac:dyDescent="0.2">
      <c r="A62" s="1155"/>
      <c r="B62" s="1156"/>
      <c r="C62" s="1156"/>
      <c r="D62" s="237"/>
      <c r="E62" s="237"/>
      <c r="F62" s="237"/>
      <c r="G62" s="237"/>
      <c r="H62" s="237"/>
      <c r="I62" s="237"/>
      <c r="J62" s="237"/>
      <c r="K62" s="237"/>
      <c r="L62" s="237"/>
      <c r="M62" s="237"/>
      <c r="N62" s="237"/>
      <c r="O62" s="237"/>
      <c r="P62" s="237"/>
      <c r="Q62" s="237"/>
      <c r="R62" s="237"/>
      <c r="S62" s="237"/>
      <c r="T62" s="237"/>
    </row>
    <row r="63" spans="1:20" ht="30" customHeight="1" x14ac:dyDescent="0.2">
      <c r="A63" s="1155"/>
      <c r="B63" s="1156"/>
      <c r="C63" s="1156"/>
      <c r="D63" s="237"/>
      <c r="E63" s="237"/>
      <c r="F63" s="237"/>
      <c r="G63" s="237"/>
      <c r="H63" s="237"/>
      <c r="I63" s="237"/>
      <c r="J63" s="237"/>
      <c r="K63" s="237"/>
      <c r="L63" s="237"/>
      <c r="M63" s="237"/>
      <c r="N63" s="237"/>
      <c r="O63" s="237"/>
      <c r="P63" s="237"/>
      <c r="Q63" s="237"/>
      <c r="R63" s="237"/>
      <c r="S63" s="237"/>
      <c r="T63" s="237"/>
    </row>
    <row r="64" spans="1:20" ht="30" customHeight="1" x14ac:dyDescent="0.2">
      <c r="A64" s="1155"/>
      <c r="B64" s="1156"/>
      <c r="C64" s="1156"/>
      <c r="D64" s="237"/>
      <c r="E64" s="237"/>
      <c r="F64" s="237"/>
      <c r="G64" s="237"/>
      <c r="H64" s="237"/>
      <c r="I64" s="237"/>
      <c r="J64" s="237"/>
      <c r="K64" s="237"/>
      <c r="L64" s="237"/>
      <c r="M64" s="237"/>
      <c r="N64" s="237"/>
      <c r="O64" s="237"/>
      <c r="P64" s="237"/>
      <c r="Q64" s="237"/>
      <c r="R64" s="237"/>
      <c r="S64" s="237"/>
      <c r="T64" s="237"/>
    </row>
    <row r="65" spans="1:20" ht="30" customHeight="1" x14ac:dyDescent="0.2">
      <c r="A65" s="1155"/>
      <c r="B65" s="1156"/>
      <c r="C65" s="1156"/>
      <c r="D65" s="237"/>
      <c r="E65" s="237"/>
      <c r="F65" s="237"/>
      <c r="G65" s="237"/>
      <c r="H65" s="237"/>
      <c r="I65" s="237"/>
      <c r="J65" s="237"/>
      <c r="K65" s="237"/>
      <c r="L65" s="237"/>
      <c r="M65" s="237"/>
      <c r="N65" s="237"/>
      <c r="O65" s="237"/>
      <c r="P65" s="237"/>
      <c r="Q65" s="237"/>
      <c r="R65" s="237"/>
      <c r="S65" s="237"/>
      <c r="T65" s="237"/>
    </row>
    <row r="66" spans="1:20" ht="30" customHeight="1" x14ac:dyDescent="0.2">
      <c r="A66" s="1155"/>
      <c r="B66" s="1156"/>
      <c r="C66" s="1156"/>
      <c r="D66" s="237"/>
      <c r="E66" s="237"/>
      <c r="F66" s="237"/>
      <c r="G66" s="237"/>
      <c r="H66" s="237"/>
      <c r="I66" s="237"/>
      <c r="J66" s="237"/>
      <c r="K66" s="237"/>
      <c r="L66" s="237"/>
      <c r="M66" s="237"/>
      <c r="N66" s="237"/>
      <c r="O66" s="237"/>
      <c r="P66" s="237"/>
      <c r="Q66" s="237"/>
      <c r="R66" s="237"/>
      <c r="S66" s="237"/>
      <c r="T66" s="237"/>
    </row>
    <row r="67" spans="1:20" ht="30" customHeight="1" x14ac:dyDescent="0.2">
      <c r="A67" s="1155"/>
      <c r="B67" s="1156"/>
      <c r="C67" s="1156"/>
      <c r="D67" s="237"/>
      <c r="E67" s="237"/>
      <c r="F67" s="237"/>
      <c r="G67" s="237"/>
      <c r="H67" s="237"/>
      <c r="I67" s="237"/>
      <c r="J67" s="237"/>
      <c r="K67" s="237"/>
      <c r="L67" s="237"/>
      <c r="M67" s="237"/>
      <c r="N67" s="237"/>
      <c r="O67" s="237"/>
      <c r="P67" s="237"/>
      <c r="Q67" s="237"/>
      <c r="R67" s="237"/>
      <c r="S67" s="237"/>
      <c r="T67" s="237"/>
    </row>
    <row r="68" spans="1:20" ht="30" customHeight="1" x14ac:dyDescent="0.2">
      <c r="A68" s="1155"/>
      <c r="B68" s="1156"/>
      <c r="C68" s="1156"/>
      <c r="D68" s="237"/>
      <c r="E68" s="237"/>
      <c r="F68" s="237"/>
      <c r="G68" s="237"/>
      <c r="H68" s="237"/>
      <c r="I68" s="237"/>
      <c r="J68" s="237"/>
      <c r="K68" s="237"/>
      <c r="L68" s="237"/>
      <c r="M68" s="237"/>
      <c r="N68" s="237"/>
      <c r="O68" s="237"/>
      <c r="P68" s="237"/>
      <c r="Q68" s="237"/>
      <c r="R68" s="237"/>
      <c r="S68" s="237"/>
      <c r="T68" s="237"/>
    </row>
    <row r="69" spans="1:20" ht="15" customHeight="1" x14ac:dyDescent="0.2">
      <c r="A69" s="1155"/>
      <c r="B69" s="1156"/>
      <c r="C69" s="1156"/>
      <c r="D69" s="237"/>
      <c r="E69" s="237"/>
      <c r="F69" s="237"/>
      <c r="G69" s="237"/>
      <c r="H69" s="237"/>
      <c r="I69" s="237"/>
      <c r="J69" s="237"/>
      <c r="K69" s="237"/>
      <c r="L69" s="237"/>
      <c r="M69" s="237"/>
      <c r="N69" s="237"/>
      <c r="O69" s="237"/>
      <c r="P69" s="237"/>
      <c r="Q69" s="237"/>
      <c r="R69" s="237"/>
      <c r="S69" s="237"/>
      <c r="T69" s="237"/>
    </row>
    <row r="70" spans="1:20" ht="45" customHeight="1" x14ac:dyDescent="0.2">
      <c r="A70" s="1155"/>
      <c r="B70" s="1156"/>
      <c r="C70" s="1156"/>
      <c r="D70" s="237"/>
      <c r="E70" s="237"/>
      <c r="F70" s="237"/>
      <c r="G70" s="237"/>
      <c r="H70" s="237"/>
      <c r="I70" s="237"/>
      <c r="J70" s="237"/>
      <c r="K70" s="237"/>
      <c r="L70" s="237"/>
      <c r="M70" s="237"/>
      <c r="N70" s="237"/>
      <c r="O70" s="237"/>
      <c r="P70" s="237"/>
      <c r="Q70" s="237"/>
      <c r="R70" s="237"/>
      <c r="S70" s="237"/>
      <c r="T70" s="237"/>
    </row>
    <row r="71" spans="1:20" ht="30" customHeight="1" x14ac:dyDescent="0.2">
      <c r="A71" s="1155"/>
      <c r="B71" s="1156"/>
      <c r="C71" s="1156"/>
      <c r="D71" s="237"/>
      <c r="E71" s="237"/>
      <c r="F71" s="237"/>
      <c r="G71" s="237"/>
      <c r="H71" s="237"/>
      <c r="I71" s="237"/>
      <c r="J71" s="237"/>
      <c r="K71" s="237"/>
      <c r="L71" s="237"/>
      <c r="M71" s="237"/>
      <c r="N71" s="237"/>
      <c r="O71" s="237"/>
      <c r="P71" s="237"/>
      <c r="Q71" s="237"/>
      <c r="R71" s="237"/>
      <c r="S71" s="237"/>
      <c r="T71" s="237"/>
    </row>
    <row r="72" spans="1:20" ht="30" customHeight="1" x14ac:dyDescent="0.2">
      <c r="A72" s="1155"/>
      <c r="B72" s="1156"/>
      <c r="C72" s="1156"/>
      <c r="D72" s="237"/>
      <c r="E72" s="237"/>
      <c r="F72" s="237"/>
      <c r="G72" s="237"/>
      <c r="H72" s="237"/>
      <c r="I72" s="237"/>
      <c r="J72" s="237"/>
      <c r="K72" s="237"/>
      <c r="L72" s="237"/>
      <c r="M72" s="237"/>
      <c r="N72" s="237"/>
      <c r="O72" s="237"/>
      <c r="P72" s="237"/>
      <c r="Q72" s="237"/>
      <c r="R72" s="237"/>
      <c r="S72" s="237"/>
      <c r="T72" s="237"/>
    </row>
    <row r="73" spans="1:20" ht="30" customHeight="1" x14ac:dyDescent="0.2">
      <c r="A73" s="1155"/>
      <c r="B73" s="1156"/>
      <c r="C73" s="1156"/>
      <c r="D73" s="237"/>
      <c r="E73" s="237"/>
      <c r="F73" s="237"/>
      <c r="G73" s="237"/>
      <c r="H73" s="237"/>
      <c r="I73" s="237"/>
      <c r="J73" s="237"/>
      <c r="K73" s="237"/>
      <c r="L73" s="237"/>
      <c r="M73" s="237"/>
      <c r="N73" s="237"/>
      <c r="O73" s="237"/>
      <c r="P73" s="237"/>
      <c r="Q73" s="237"/>
      <c r="R73" s="237"/>
      <c r="S73" s="237"/>
      <c r="T73" s="237"/>
    </row>
    <row r="74" spans="1:20" ht="30" customHeight="1" x14ac:dyDescent="0.2">
      <c r="A74" s="1155"/>
      <c r="B74" s="1156"/>
      <c r="C74" s="1156"/>
      <c r="D74" s="237"/>
      <c r="E74" s="237"/>
      <c r="F74" s="237"/>
      <c r="G74" s="237"/>
      <c r="H74" s="237"/>
      <c r="I74" s="237"/>
      <c r="J74" s="237"/>
      <c r="K74" s="237"/>
      <c r="L74" s="237"/>
      <c r="M74" s="237"/>
      <c r="N74" s="237"/>
      <c r="O74" s="237"/>
      <c r="P74" s="237"/>
      <c r="Q74" s="237"/>
      <c r="R74" s="237"/>
      <c r="S74" s="237"/>
      <c r="T74" s="237"/>
    </row>
    <row r="75" spans="1:20" ht="30" customHeight="1" x14ac:dyDescent="0.2">
      <c r="A75" s="1155"/>
      <c r="B75" s="1156"/>
      <c r="C75" s="1156"/>
      <c r="D75" s="237"/>
      <c r="E75" s="237"/>
      <c r="F75" s="237"/>
      <c r="G75" s="237"/>
      <c r="H75" s="237"/>
      <c r="I75" s="237"/>
      <c r="J75" s="237"/>
      <c r="K75" s="237"/>
      <c r="L75" s="237"/>
      <c r="M75" s="237"/>
      <c r="N75" s="237"/>
      <c r="O75" s="237"/>
      <c r="P75" s="237"/>
      <c r="Q75" s="237"/>
      <c r="R75" s="237"/>
      <c r="S75" s="237"/>
      <c r="T75" s="237"/>
    </row>
    <row r="76" spans="1:20" ht="30" customHeight="1" x14ac:dyDescent="0.2">
      <c r="A76" s="1155"/>
      <c r="B76" s="1156"/>
      <c r="C76" s="1156"/>
      <c r="D76" s="237"/>
      <c r="E76" s="237"/>
      <c r="F76" s="237"/>
      <c r="G76" s="237"/>
      <c r="H76" s="237"/>
      <c r="I76" s="237"/>
      <c r="J76" s="237"/>
      <c r="K76" s="237"/>
      <c r="L76" s="237"/>
      <c r="M76" s="237"/>
      <c r="N76" s="237"/>
      <c r="O76" s="237"/>
      <c r="P76" s="237"/>
      <c r="Q76" s="237"/>
      <c r="R76" s="237"/>
      <c r="S76" s="237"/>
      <c r="T76" s="237"/>
    </row>
    <row r="77" spans="1:20" ht="15" customHeight="1" x14ac:dyDescent="0.2">
      <c r="A77" s="1155"/>
      <c r="B77" s="1156"/>
      <c r="C77" s="1156"/>
      <c r="D77" s="237"/>
      <c r="E77" s="237"/>
      <c r="F77" s="237"/>
      <c r="G77" s="237"/>
      <c r="H77" s="237"/>
      <c r="I77" s="237"/>
      <c r="J77" s="237"/>
      <c r="K77" s="237"/>
      <c r="L77" s="237"/>
      <c r="M77" s="237"/>
      <c r="N77" s="237"/>
      <c r="O77" s="237"/>
      <c r="P77" s="237"/>
      <c r="Q77" s="237"/>
      <c r="R77" s="237"/>
      <c r="S77" s="237"/>
      <c r="T77" s="237"/>
    </row>
    <row r="78" spans="1:20" ht="45" customHeight="1" x14ac:dyDescent="0.2">
      <c r="A78" s="1155"/>
      <c r="B78" s="1156"/>
      <c r="C78" s="1156"/>
      <c r="D78" s="237"/>
      <c r="E78" s="237"/>
      <c r="F78" s="237"/>
      <c r="G78" s="237"/>
      <c r="H78" s="237"/>
      <c r="I78" s="237"/>
      <c r="J78" s="237"/>
      <c r="K78" s="237"/>
      <c r="L78" s="237"/>
      <c r="M78" s="237"/>
      <c r="N78" s="237"/>
      <c r="O78" s="237"/>
      <c r="P78" s="237"/>
      <c r="Q78" s="237"/>
      <c r="R78" s="237"/>
      <c r="S78" s="237"/>
      <c r="T78" s="237"/>
    </row>
    <row r="79" spans="1:20" ht="30" customHeight="1" x14ac:dyDescent="0.2">
      <c r="A79" s="1155"/>
      <c r="B79" s="1156"/>
      <c r="C79" s="1156"/>
      <c r="D79" s="237"/>
      <c r="E79" s="237"/>
      <c r="F79" s="237"/>
      <c r="G79" s="237"/>
      <c r="H79" s="237"/>
      <c r="I79" s="237"/>
      <c r="J79" s="237"/>
      <c r="K79" s="237"/>
      <c r="L79" s="237"/>
      <c r="M79" s="237"/>
      <c r="N79" s="237"/>
      <c r="O79" s="237"/>
      <c r="P79" s="237"/>
      <c r="Q79" s="237"/>
      <c r="R79" s="237"/>
      <c r="S79" s="237"/>
      <c r="T79" s="237"/>
    </row>
    <row r="80" spans="1:20" ht="30" customHeight="1" x14ac:dyDescent="0.2">
      <c r="A80" s="1155"/>
      <c r="B80" s="1156"/>
      <c r="C80" s="1156"/>
      <c r="D80" s="237"/>
      <c r="E80" s="237"/>
      <c r="F80" s="237"/>
      <c r="G80" s="237"/>
      <c r="H80" s="237"/>
      <c r="I80" s="237"/>
      <c r="J80" s="237"/>
      <c r="K80" s="237"/>
      <c r="L80" s="237"/>
      <c r="M80" s="237"/>
      <c r="N80" s="237"/>
      <c r="O80" s="237"/>
      <c r="P80" s="237"/>
      <c r="Q80" s="237"/>
      <c r="R80" s="237"/>
      <c r="S80" s="237"/>
      <c r="T80" s="237"/>
    </row>
    <row r="81" spans="1:20" ht="30" customHeight="1" x14ac:dyDescent="0.2">
      <c r="A81" s="1155"/>
      <c r="B81" s="1156"/>
      <c r="C81" s="1156"/>
      <c r="D81" s="237"/>
      <c r="E81" s="237"/>
      <c r="F81" s="237"/>
      <c r="G81" s="237"/>
      <c r="H81" s="237"/>
      <c r="I81" s="237"/>
      <c r="J81" s="237"/>
      <c r="K81" s="237"/>
      <c r="L81" s="237"/>
      <c r="M81" s="237"/>
      <c r="N81" s="237"/>
      <c r="O81" s="237"/>
      <c r="P81" s="237"/>
      <c r="Q81" s="237"/>
      <c r="R81" s="237"/>
      <c r="S81" s="237"/>
      <c r="T81" s="237"/>
    </row>
    <row r="82" spans="1:20" ht="30" customHeight="1" x14ac:dyDescent="0.2">
      <c r="A82" s="1155"/>
      <c r="B82" s="1156"/>
      <c r="C82" s="1156"/>
      <c r="D82" s="237"/>
      <c r="E82" s="237"/>
      <c r="F82" s="237"/>
      <c r="G82" s="237"/>
      <c r="H82" s="237"/>
      <c r="I82" s="237"/>
      <c r="J82" s="237"/>
      <c r="K82" s="237"/>
      <c r="L82" s="237"/>
      <c r="M82" s="237"/>
      <c r="N82" s="237"/>
      <c r="O82" s="237"/>
      <c r="P82" s="237"/>
      <c r="Q82" s="237"/>
      <c r="R82" s="237"/>
      <c r="S82" s="237"/>
      <c r="T82" s="237"/>
    </row>
    <row r="83" spans="1:20" ht="30" customHeight="1" x14ac:dyDescent="0.2">
      <c r="A83" s="1155"/>
      <c r="B83" s="1156"/>
      <c r="C83" s="1156"/>
      <c r="D83" s="237"/>
      <c r="E83" s="237"/>
      <c r="F83" s="237"/>
      <c r="G83" s="237"/>
      <c r="H83" s="237"/>
      <c r="I83" s="237"/>
      <c r="J83" s="237"/>
      <c r="K83" s="237"/>
      <c r="L83" s="237"/>
      <c r="M83" s="237"/>
      <c r="N83" s="237"/>
      <c r="O83" s="237"/>
      <c r="P83" s="237"/>
      <c r="Q83" s="237"/>
      <c r="R83" s="237"/>
      <c r="S83" s="237"/>
      <c r="T83" s="237"/>
    </row>
    <row r="84" spans="1:20" ht="30" customHeight="1" x14ac:dyDescent="0.2">
      <c r="A84" s="1155"/>
      <c r="B84" s="1156"/>
      <c r="C84" s="1156"/>
      <c r="D84" s="237"/>
      <c r="E84" s="237"/>
      <c r="F84" s="237"/>
      <c r="G84" s="237"/>
      <c r="H84" s="237"/>
      <c r="I84" s="237"/>
      <c r="J84" s="237"/>
      <c r="K84" s="237"/>
      <c r="L84" s="237"/>
      <c r="M84" s="237"/>
      <c r="N84" s="237"/>
      <c r="O84" s="237"/>
      <c r="P84" s="237"/>
      <c r="Q84" s="237"/>
      <c r="R84" s="237"/>
      <c r="S84" s="237"/>
      <c r="T84" s="237"/>
    </row>
    <row r="85" spans="1:20" ht="15" customHeight="1" x14ac:dyDescent="0.2">
      <c r="A85" s="1155"/>
      <c r="B85" s="1156"/>
      <c r="C85" s="1156"/>
      <c r="D85" s="237"/>
      <c r="E85" s="237"/>
      <c r="F85" s="237"/>
      <c r="G85" s="237"/>
      <c r="H85" s="237"/>
      <c r="I85" s="237"/>
      <c r="J85" s="237"/>
      <c r="K85" s="237"/>
      <c r="L85" s="237"/>
      <c r="M85" s="237"/>
      <c r="N85" s="237"/>
      <c r="O85" s="237"/>
      <c r="P85" s="237"/>
      <c r="Q85" s="237"/>
      <c r="R85" s="237"/>
      <c r="S85" s="237"/>
      <c r="T85" s="237"/>
    </row>
    <row r="86" spans="1:20" ht="45" customHeight="1" x14ac:dyDescent="0.2">
      <c r="A86" s="1155"/>
      <c r="B86" s="1156"/>
      <c r="C86" s="1156"/>
      <c r="D86" s="237"/>
      <c r="E86" s="237"/>
      <c r="F86" s="237"/>
      <c r="G86" s="237"/>
      <c r="H86" s="237"/>
      <c r="I86" s="237"/>
      <c r="J86" s="237"/>
      <c r="K86" s="237"/>
      <c r="L86" s="237"/>
      <c r="M86" s="237"/>
      <c r="N86" s="237"/>
      <c r="O86" s="237"/>
      <c r="P86" s="237"/>
      <c r="Q86" s="237"/>
      <c r="R86" s="237"/>
      <c r="S86" s="237"/>
      <c r="T86" s="237"/>
    </row>
    <row r="87" spans="1:20" ht="30" customHeight="1" x14ac:dyDescent="0.2">
      <c r="A87" s="1155"/>
      <c r="B87" s="1156"/>
      <c r="C87" s="1156"/>
      <c r="D87" s="237"/>
      <c r="E87" s="237"/>
      <c r="F87" s="237"/>
      <c r="G87" s="237"/>
      <c r="H87" s="237"/>
      <c r="I87" s="237"/>
      <c r="J87" s="237"/>
      <c r="K87" s="237"/>
      <c r="L87" s="237"/>
      <c r="M87" s="237"/>
      <c r="N87" s="237"/>
      <c r="O87" s="237"/>
      <c r="P87" s="237"/>
      <c r="Q87" s="237"/>
      <c r="R87" s="237"/>
      <c r="S87" s="237"/>
      <c r="T87" s="237"/>
    </row>
    <row r="88" spans="1:20" ht="30" customHeight="1" x14ac:dyDescent="0.2">
      <c r="A88" s="1155"/>
      <c r="B88" s="1156"/>
      <c r="C88" s="1156"/>
      <c r="D88" s="237"/>
      <c r="E88" s="237"/>
      <c r="F88" s="237"/>
      <c r="G88" s="237"/>
      <c r="H88" s="237"/>
      <c r="I88" s="237"/>
      <c r="J88" s="237"/>
      <c r="K88" s="237"/>
      <c r="L88" s="237"/>
      <c r="M88" s="237"/>
      <c r="N88" s="237"/>
      <c r="O88" s="237"/>
      <c r="P88" s="237"/>
      <c r="Q88" s="237"/>
      <c r="R88" s="237"/>
      <c r="S88" s="237"/>
      <c r="T88" s="237"/>
    </row>
    <row r="89" spans="1:20" ht="30" customHeight="1" x14ac:dyDescent="0.2">
      <c r="A89" s="1155"/>
      <c r="B89" s="1156"/>
      <c r="C89" s="1156"/>
      <c r="D89" s="237"/>
      <c r="E89" s="237"/>
      <c r="F89" s="237"/>
      <c r="G89" s="237"/>
      <c r="H89" s="237"/>
      <c r="I89" s="237"/>
      <c r="J89" s="237"/>
      <c r="K89" s="237"/>
      <c r="L89" s="237"/>
      <c r="M89" s="237"/>
      <c r="N89" s="237"/>
      <c r="O89" s="237"/>
      <c r="P89" s="237"/>
      <c r="Q89" s="237"/>
      <c r="R89" s="237"/>
      <c r="S89" s="237"/>
      <c r="T89" s="237"/>
    </row>
    <row r="90" spans="1:20" ht="30" customHeight="1" x14ac:dyDescent="0.2">
      <c r="A90" s="1155"/>
      <c r="B90" s="1156"/>
      <c r="C90" s="1156"/>
      <c r="D90" s="237"/>
      <c r="E90" s="237"/>
      <c r="F90" s="237"/>
      <c r="G90" s="237"/>
      <c r="H90" s="237"/>
      <c r="I90" s="237"/>
      <c r="J90" s="237"/>
      <c r="K90" s="237"/>
      <c r="L90" s="237"/>
      <c r="M90" s="237"/>
      <c r="N90" s="237"/>
      <c r="O90" s="237"/>
      <c r="P90" s="237"/>
      <c r="Q90" s="237"/>
      <c r="R90" s="237"/>
      <c r="S90" s="237"/>
      <c r="T90" s="237"/>
    </row>
    <row r="91" spans="1:20" ht="30" customHeight="1" x14ac:dyDescent="0.2">
      <c r="A91" s="1155"/>
      <c r="B91" s="1156"/>
      <c r="C91" s="1156"/>
      <c r="D91" s="237"/>
      <c r="E91" s="237"/>
      <c r="F91" s="237"/>
      <c r="G91" s="237"/>
      <c r="H91" s="237"/>
      <c r="I91" s="237"/>
      <c r="J91" s="237"/>
      <c r="K91" s="237"/>
      <c r="L91" s="237"/>
      <c r="M91" s="237"/>
      <c r="N91" s="237"/>
      <c r="O91" s="237"/>
      <c r="P91" s="237"/>
      <c r="Q91" s="237"/>
      <c r="R91" s="237"/>
      <c r="S91" s="237"/>
      <c r="T91" s="237"/>
    </row>
    <row r="92" spans="1:20" ht="30" customHeight="1" x14ac:dyDescent="0.2">
      <c r="A92" s="1155"/>
      <c r="B92" s="1156"/>
      <c r="C92" s="1156"/>
      <c r="D92" s="237"/>
      <c r="E92" s="237"/>
      <c r="F92" s="237"/>
      <c r="G92" s="237"/>
      <c r="H92" s="237"/>
      <c r="I92" s="237"/>
      <c r="J92" s="237"/>
      <c r="K92" s="237"/>
      <c r="L92" s="237"/>
      <c r="M92" s="237"/>
      <c r="N92" s="237"/>
      <c r="O92" s="237"/>
      <c r="P92" s="237"/>
      <c r="Q92" s="237"/>
      <c r="R92" s="237"/>
      <c r="S92" s="237"/>
      <c r="T92" s="237"/>
    </row>
    <row r="93" spans="1:20" ht="15" customHeight="1" x14ac:dyDescent="0.2">
      <c r="A93" s="1155"/>
      <c r="B93" s="1156"/>
      <c r="C93" s="1156"/>
      <c r="D93" s="237"/>
      <c r="E93" s="237"/>
      <c r="F93" s="237"/>
      <c r="G93" s="237"/>
      <c r="H93" s="237"/>
      <c r="I93" s="237"/>
      <c r="J93" s="237"/>
      <c r="K93" s="237"/>
      <c r="L93" s="237"/>
      <c r="M93" s="237"/>
      <c r="N93" s="237"/>
      <c r="O93" s="237"/>
      <c r="P93" s="237"/>
      <c r="Q93" s="237"/>
      <c r="R93" s="237"/>
      <c r="S93" s="237"/>
      <c r="T93" s="237"/>
    </row>
    <row r="94" spans="1:20" ht="45" customHeight="1" x14ac:dyDescent="0.2">
      <c r="A94" s="1155"/>
      <c r="B94" s="1156"/>
      <c r="C94" s="1156"/>
      <c r="D94" s="237"/>
      <c r="E94" s="237"/>
      <c r="F94" s="237"/>
      <c r="G94" s="237"/>
      <c r="H94" s="237"/>
      <c r="I94" s="237"/>
      <c r="J94" s="237"/>
      <c r="K94" s="237"/>
      <c r="L94" s="237"/>
      <c r="M94" s="237"/>
      <c r="N94" s="237"/>
      <c r="O94" s="237"/>
      <c r="P94" s="237"/>
      <c r="Q94" s="237"/>
      <c r="R94" s="237"/>
      <c r="S94" s="237"/>
      <c r="T94" s="237"/>
    </row>
    <row r="95" spans="1:20" ht="30" customHeight="1" x14ac:dyDescent="0.2">
      <c r="A95" s="1155"/>
      <c r="B95" s="1156"/>
      <c r="C95" s="1156"/>
      <c r="D95" s="237"/>
      <c r="E95" s="237"/>
      <c r="F95" s="237"/>
      <c r="G95" s="237"/>
      <c r="H95" s="237"/>
      <c r="I95" s="237"/>
      <c r="J95" s="237"/>
      <c r="K95" s="237"/>
      <c r="L95" s="237"/>
      <c r="M95" s="237"/>
      <c r="N95" s="237"/>
      <c r="O95" s="237"/>
      <c r="P95" s="237"/>
      <c r="Q95" s="237"/>
      <c r="R95" s="237"/>
      <c r="S95" s="237"/>
      <c r="T95" s="237"/>
    </row>
    <row r="96" spans="1:20" ht="30" customHeight="1" x14ac:dyDescent="0.2">
      <c r="A96" s="1155"/>
      <c r="B96" s="1156"/>
      <c r="C96" s="1156"/>
      <c r="D96" s="237"/>
      <c r="E96" s="237"/>
      <c r="F96" s="237"/>
      <c r="G96" s="237"/>
      <c r="H96" s="237"/>
      <c r="I96" s="237"/>
      <c r="J96" s="237"/>
      <c r="K96" s="237"/>
      <c r="L96" s="237"/>
      <c r="M96" s="237"/>
      <c r="N96" s="237"/>
      <c r="O96" s="237"/>
      <c r="P96" s="237"/>
      <c r="Q96" s="237"/>
      <c r="R96" s="237"/>
      <c r="S96" s="237"/>
      <c r="T96" s="237"/>
    </row>
    <row r="97" spans="1:20" ht="30" customHeight="1" x14ac:dyDescent="0.2">
      <c r="A97" s="1155"/>
      <c r="B97" s="1156"/>
      <c r="C97" s="1156"/>
      <c r="D97" s="237"/>
      <c r="E97" s="237"/>
      <c r="F97" s="237"/>
      <c r="G97" s="237"/>
      <c r="H97" s="237"/>
      <c r="I97" s="237"/>
      <c r="J97" s="237"/>
      <c r="K97" s="237"/>
      <c r="L97" s="237"/>
      <c r="M97" s="237"/>
      <c r="N97" s="237"/>
      <c r="O97" s="237"/>
      <c r="P97" s="237"/>
      <c r="Q97" s="237"/>
      <c r="R97" s="237"/>
      <c r="S97" s="237"/>
      <c r="T97" s="237"/>
    </row>
    <row r="98" spans="1:20" ht="30" customHeight="1" x14ac:dyDescent="0.2">
      <c r="A98" s="1155"/>
      <c r="B98" s="1156"/>
      <c r="C98" s="1156"/>
      <c r="D98" s="237"/>
      <c r="E98" s="237"/>
      <c r="F98" s="237"/>
      <c r="G98" s="237"/>
      <c r="H98" s="237"/>
      <c r="I98" s="237"/>
      <c r="J98" s="237"/>
      <c r="K98" s="237"/>
      <c r="L98" s="237"/>
      <c r="M98" s="237"/>
      <c r="N98" s="237"/>
      <c r="O98" s="237"/>
      <c r="P98" s="237"/>
      <c r="Q98" s="237"/>
      <c r="R98" s="237"/>
      <c r="S98" s="237"/>
      <c r="T98" s="237"/>
    </row>
    <row r="99" spans="1:20" ht="30" customHeight="1" x14ac:dyDescent="0.2">
      <c r="A99" s="1155"/>
      <c r="B99" s="1156"/>
      <c r="C99" s="1156"/>
      <c r="D99" s="237"/>
      <c r="E99" s="237"/>
      <c r="F99" s="237"/>
      <c r="G99" s="237"/>
      <c r="H99" s="237"/>
      <c r="I99" s="237"/>
      <c r="J99" s="237"/>
      <c r="K99" s="237"/>
      <c r="L99" s="237"/>
      <c r="M99" s="237"/>
      <c r="N99" s="237"/>
      <c r="O99" s="237"/>
      <c r="P99" s="237"/>
      <c r="Q99" s="237"/>
      <c r="R99" s="237"/>
      <c r="S99" s="237"/>
      <c r="T99" s="237"/>
    </row>
    <row r="100" spans="1:20" ht="30" customHeight="1" x14ac:dyDescent="0.2">
      <c r="A100" s="1155"/>
      <c r="B100" s="1156"/>
      <c r="C100" s="1156"/>
      <c r="D100" s="237"/>
      <c r="E100" s="237"/>
      <c r="F100" s="237"/>
      <c r="G100" s="237"/>
      <c r="H100" s="237"/>
      <c r="I100" s="237"/>
      <c r="J100" s="237"/>
      <c r="K100" s="237"/>
      <c r="L100" s="237"/>
      <c r="M100" s="237"/>
      <c r="N100" s="237"/>
      <c r="O100" s="237"/>
      <c r="P100" s="237"/>
      <c r="Q100" s="237"/>
      <c r="R100" s="237"/>
      <c r="S100" s="237"/>
      <c r="T100" s="237"/>
    </row>
    <row r="101" spans="1:20" ht="15" customHeight="1" x14ac:dyDescent="0.2">
      <c r="A101" s="1155"/>
      <c r="B101" s="1156"/>
      <c r="C101" s="1156"/>
      <c r="D101" s="237"/>
      <c r="E101" s="237"/>
      <c r="F101" s="237"/>
      <c r="G101" s="237"/>
      <c r="H101" s="237"/>
      <c r="I101" s="237"/>
      <c r="J101" s="237"/>
      <c r="K101" s="237"/>
      <c r="L101" s="237"/>
      <c r="M101" s="237"/>
      <c r="N101" s="237"/>
      <c r="O101" s="237"/>
      <c r="P101" s="237"/>
      <c r="Q101" s="237"/>
      <c r="R101" s="237"/>
      <c r="S101" s="237"/>
      <c r="T101" s="237"/>
    </row>
    <row r="102" spans="1:20" ht="45" customHeight="1" x14ac:dyDescent="0.2">
      <c r="A102" s="1155"/>
      <c r="B102" s="1156"/>
      <c r="C102" s="1156"/>
      <c r="D102" s="237"/>
      <c r="E102" s="237"/>
      <c r="F102" s="237"/>
      <c r="G102" s="237"/>
      <c r="H102" s="237"/>
      <c r="I102" s="237"/>
      <c r="J102" s="237"/>
      <c r="K102" s="237"/>
      <c r="L102" s="237"/>
      <c r="M102" s="237"/>
      <c r="N102" s="237"/>
      <c r="O102" s="237"/>
      <c r="P102" s="237"/>
      <c r="Q102" s="237"/>
      <c r="R102" s="237"/>
      <c r="S102" s="237"/>
      <c r="T102" s="237"/>
    </row>
    <row r="103" spans="1:20" ht="30" customHeight="1" x14ac:dyDescent="0.2">
      <c r="A103" s="1155"/>
      <c r="B103" s="1156"/>
      <c r="C103" s="1156"/>
      <c r="D103" s="237"/>
      <c r="E103" s="237"/>
      <c r="F103" s="237"/>
      <c r="G103" s="237"/>
      <c r="H103" s="237"/>
      <c r="I103" s="237"/>
      <c r="J103" s="237"/>
      <c r="K103" s="237"/>
      <c r="L103" s="237"/>
      <c r="M103" s="237"/>
      <c r="N103" s="237"/>
      <c r="O103" s="237"/>
      <c r="P103" s="237"/>
      <c r="Q103" s="237"/>
      <c r="R103" s="237"/>
      <c r="S103" s="237"/>
      <c r="T103" s="237"/>
    </row>
    <row r="104" spans="1:20" ht="30" customHeight="1" x14ac:dyDescent="0.2">
      <c r="A104" s="1155"/>
      <c r="B104" s="1156"/>
      <c r="C104" s="1156"/>
      <c r="D104" s="237"/>
      <c r="E104" s="237"/>
      <c r="F104" s="237"/>
      <c r="G104" s="237"/>
      <c r="H104" s="237"/>
      <c r="I104" s="237"/>
      <c r="J104" s="237"/>
      <c r="K104" s="237"/>
      <c r="L104" s="237"/>
      <c r="M104" s="237"/>
      <c r="N104" s="237"/>
      <c r="O104" s="237"/>
      <c r="P104" s="237"/>
      <c r="Q104" s="237"/>
      <c r="R104" s="237"/>
      <c r="S104" s="237"/>
      <c r="T104" s="237"/>
    </row>
    <row r="105" spans="1:20" ht="30" customHeight="1" x14ac:dyDescent="0.2">
      <c r="A105" s="1155"/>
      <c r="B105" s="1156"/>
      <c r="C105" s="1156"/>
      <c r="D105" s="237"/>
      <c r="E105" s="237"/>
      <c r="F105" s="237"/>
      <c r="G105" s="237"/>
      <c r="H105" s="237"/>
      <c r="I105" s="237"/>
      <c r="J105" s="237"/>
      <c r="K105" s="237"/>
      <c r="L105" s="237"/>
      <c r="M105" s="237"/>
      <c r="N105" s="237"/>
      <c r="O105" s="237"/>
      <c r="P105" s="237"/>
      <c r="Q105" s="237"/>
      <c r="R105" s="237"/>
      <c r="S105" s="237"/>
      <c r="T105" s="237"/>
    </row>
    <row r="106" spans="1:20" ht="30" customHeight="1" x14ac:dyDescent="0.2">
      <c r="A106" s="1155"/>
      <c r="B106" s="1156"/>
      <c r="C106" s="1156"/>
      <c r="D106" s="237"/>
      <c r="E106" s="237"/>
      <c r="F106" s="237"/>
      <c r="G106" s="237"/>
      <c r="H106" s="237"/>
      <c r="I106" s="237"/>
      <c r="J106" s="237"/>
      <c r="K106" s="237"/>
      <c r="L106" s="237"/>
      <c r="M106" s="237"/>
      <c r="N106" s="237"/>
      <c r="O106" s="237"/>
      <c r="P106" s="237"/>
      <c r="Q106" s="237"/>
      <c r="R106" s="237"/>
      <c r="S106" s="237"/>
      <c r="T106" s="237"/>
    </row>
    <row r="107" spans="1:20" ht="30" customHeight="1" x14ac:dyDescent="0.2">
      <c r="A107" s="1155"/>
      <c r="B107" s="1156"/>
      <c r="C107" s="1156"/>
      <c r="D107" s="237"/>
      <c r="E107" s="237"/>
      <c r="F107" s="237"/>
      <c r="G107" s="237"/>
      <c r="H107" s="237"/>
      <c r="I107" s="237"/>
      <c r="J107" s="237"/>
      <c r="K107" s="237"/>
      <c r="L107" s="237"/>
      <c r="M107" s="237"/>
      <c r="N107" s="237"/>
      <c r="O107" s="237"/>
      <c r="P107" s="237"/>
      <c r="Q107" s="237"/>
      <c r="R107" s="237"/>
      <c r="S107" s="237"/>
      <c r="T107" s="237"/>
    </row>
    <row r="108" spans="1:20" ht="30" customHeight="1" x14ac:dyDescent="0.2">
      <c r="A108" s="1155"/>
      <c r="B108" s="1156"/>
      <c r="C108" s="1156"/>
      <c r="D108" s="237"/>
      <c r="E108" s="237"/>
      <c r="F108" s="237"/>
      <c r="G108" s="237"/>
      <c r="H108" s="237"/>
      <c r="I108" s="237"/>
      <c r="J108" s="237"/>
      <c r="K108" s="237"/>
      <c r="L108" s="237"/>
      <c r="M108" s="237"/>
      <c r="N108" s="237"/>
      <c r="O108" s="237"/>
      <c r="P108" s="237"/>
      <c r="Q108" s="237"/>
      <c r="R108" s="237"/>
      <c r="S108" s="237"/>
      <c r="T108" s="237"/>
    </row>
    <row r="109" spans="1:20" ht="15" customHeight="1" x14ac:dyDescent="0.2">
      <c r="A109" s="1155"/>
      <c r="B109" s="1156"/>
      <c r="C109" s="1156"/>
      <c r="D109" s="237"/>
      <c r="E109" s="237"/>
      <c r="F109" s="237"/>
      <c r="G109" s="237"/>
      <c r="H109" s="237"/>
      <c r="I109" s="237"/>
      <c r="J109" s="237"/>
      <c r="K109" s="237"/>
      <c r="L109" s="237"/>
      <c r="M109" s="237"/>
      <c r="N109" s="237"/>
      <c r="O109" s="237"/>
      <c r="P109" s="237"/>
      <c r="Q109" s="237"/>
      <c r="R109" s="237"/>
      <c r="S109" s="237"/>
      <c r="T109" s="237"/>
    </row>
    <row r="110" spans="1:20" ht="45" customHeight="1" x14ac:dyDescent="0.2">
      <c r="A110" s="1155"/>
      <c r="B110" s="1156"/>
      <c r="C110" s="1156"/>
      <c r="D110" s="237"/>
      <c r="E110" s="237"/>
      <c r="F110" s="237"/>
      <c r="G110" s="237"/>
      <c r="H110" s="237"/>
      <c r="I110" s="237"/>
      <c r="J110" s="237"/>
      <c r="K110" s="237"/>
      <c r="L110" s="237"/>
      <c r="M110" s="237"/>
      <c r="N110" s="237"/>
      <c r="O110" s="237"/>
      <c r="P110" s="237"/>
      <c r="Q110" s="237"/>
      <c r="R110" s="237"/>
      <c r="S110" s="237"/>
      <c r="T110" s="237"/>
    </row>
    <row r="111" spans="1:20" ht="30" customHeight="1" x14ac:dyDescent="0.2">
      <c r="A111" s="1155"/>
      <c r="B111" s="1156"/>
      <c r="C111" s="1156"/>
      <c r="D111" s="237"/>
      <c r="E111" s="237"/>
      <c r="F111" s="237"/>
      <c r="G111" s="237"/>
      <c r="H111" s="237"/>
      <c r="I111" s="237"/>
      <c r="J111" s="237"/>
      <c r="K111" s="237"/>
      <c r="L111" s="237"/>
      <c r="M111" s="237"/>
      <c r="N111" s="237"/>
      <c r="O111" s="237"/>
      <c r="P111" s="237"/>
      <c r="Q111" s="237"/>
      <c r="R111" s="237"/>
      <c r="S111" s="237"/>
      <c r="T111" s="237"/>
    </row>
    <row r="112" spans="1:20" ht="30" customHeight="1" x14ac:dyDescent="0.2">
      <c r="A112" s="1155"/>
      <c r="B112" s="1156"/>
      <c r="C112" s="1156"/>
      <c r="D112" s="237"/>
      <c r="E112" s="237"/>
      <c r="F112" s="237"/>
      <c r="G112" s="237"/>
      <c r="H112" s="237"/>
      <c r="I112" s="237"/>
      <c r="J112" s="237"/>
      <c r="K112" s="237"/>
      <c r="L112" s="237"/>
      <c r="M112" s="237"/>
      <c r="N112" s="237"/>
      <c r="O112" s="237"/>
      <c r="P112" s="237"/>
      <c r="Q112" s="237"/>
      <c r="R112" s="237"/>
      <c r="S112" s="237"/>
      <c r="T112" s="237"/>
    </row>
    <row r="113" spans="1:20" ht="30" customHeight="1" x14ac:dyDescent="0.2">
      <c r="A113" s="1155"/>
      <c r="B113" s="1156"/>
      <c r="C113" s="1156"/>
      <c r="D113" s="237"/>
      <c r="E113" s="237"/>
      <c r="F113" s="237"/>
      <c r="G113" s="237"/>
      <c r="H113" s="237"/>
      <c r="I113" s="237"/>
      <c r="J113" s="237"/>
      <c r="K113" s="237"/>
      <c r="L113" s="237"/>
      <c r="M113" s="237"/>
      <c r="N113" s="237"/>
      <c r="O113" s="237"/>
      <c r="P113" s="237"/>
      <c r="Q113" s="237"/>
      <c r="R113" s="237"/>
      <c r="S113" s="237"/>
      <c r="T113" s="237"/>
    </row>
    <row r="114" spans="1:20" ht="30" customHeight="1" x14ac:dyDescent="0.2">
      <c r="A114" s="1155"/>
      <c r="B114" s="1156"/>
      <c r="C114" s="1156"/>
      <c r="D114" s="237"/>
      <c r="E114" s="237"/>
      <c r="F114" s="237"/>
      <c r="G114" s="237"/>
      <c r="H114" s="237"/>
      <c r="I114" s="237"/>
      <c r="J114" s="237"/>
      <c r="K114" s="237"/>
      <c r="L114" s="237"/>
      <c r="M114" s="237"/>
      <c r="N114" s="237"/>
      <c r="O114" s="237"/>
      <c r="P114" s="237"/>
      <c r="Q114" s="237"/>
      <c r="R114" s="237"/>
      <c r="S114" s="237"/>
      <c r="T114" s="237"/>
    </row>
    <row r="115" spans="1:20" ht="30" customHeight="1" x14ac:dyDescent="0.2">
      <c r="A115" s="1155"/>
      <c r="B115" s="1156"/>
      <c r="C115" s="1156"/>
      <c r="D115" s="237"/>
      <c r="E115" s="237"/>
      <c r="F115" s="237"/>
      <c r="G115" s="237"/>
      <c r="H115" s="237"/>
      <c r="I115" s="237"/>
      <c r="J115" s="237"/>
      <c r="K115" s="237"/>
      <c r="L115" s="237"/>
      <c r="M115" s="237"/>
      <c r="N115" s="237"/>
      <c r="O115" s="237"/>
      <c r="P115" s="237"/>
      <c r="Q115" s="237"/>
      <c r="R115" s="237"/>
      <c r="S115" s="237"/>
      <c r="T115" s="237"/>
    </row>
    <row r="116" spans="1:20" ht="30" customHeight="1" x14ac:dyDescent="0.2">
      <c r="A116" s="1155"/>
      <c r="B116" s="1156"/>
      <c r="C116" s="1156"/>
      <c r="D116" s="237"/>
      <c r="E116" s="237"/>
      <c r="F116" s="237"/>
      <c r="G116" s="237"/>
      <c r="H116" s="237"/>
      <c r="I116" s="237"/>
      <c r="J116" s="237"/>
      <c r="K116" s="237"/>
      <c r="L116" s="237"/>
      <c r="M116" s="237"/>
      <c r="N116" s="237"/>
      <c r="O116" s="237"/>
      <c r="P116" s="237"/>
      <c r="Q116" s="237"/>
      <c r="R116" s="237"/>
      <c r="S116" s="237"/>
      <c r="T116" s="237"/>
    </row>
    <row r="117" spans="1:20" ht="15" customHeight="1" x14ac:dyDescent="0.2">
      <c r="A117" s="1155"/>
      <c r="B117" s="1156"/>
      <c r="C117" s="1156"/>
      <c r="D117" s="237"/>
      <c r="E117" s="237"/>
      <c r="F117" s="237"/>
      <c r="G117" s="237"/>
      <c r="H117" s="237"/>
      <c r="I117" s="237"/>
      <c r="J117" s="237"/>
      <c r="K117" s="237"/>
      <c r="L117" s="237"/>
      <c r="M117" s="237"/>
      <c r="N117" s="237"/>
      <c r="O117" s="237"/>
      <c r="P117" s="237"/>
      <c r="Q117" s="237"/>
      <c r="R117" s="237"/>
      <c r="S117" s="237"/>
      <c r="T117" s="237"/>
    </row>
    <row r="118" spans="1:20" ht="45" customHeight="1" x14ac:dyDescent="0.2">
      <c r="A118" s="1155"/>
      <c r="B118" s="1156"/>
      <c r="C118" s="1156"/>
      <c r="D118" s="237"/>
      <c r="E118" s="237"/>
      <c r="F118" s="237"/>
      <c r="G118" s="237"/>
      <c r="H118" s="237"/>
      <c r="I118" s="237"/>
      <c r="J118" s="237"/>
      <c r="K118" s="237"/>
      <c r="L118" s="237"/>
      <c r="M118" s="237"/>
      <c r="N118" s="237"/>
      <c r="O118" s="237"/>
      <c r="P118" s="237"/>
      <c r="Q118" s="237"/>
      <c r="R118" s="237"/>
      <c r="S118" s="237"/>
      <c r="T118" s="237"/>
    </row>
    <row r="119" spans="1:20" ht="30" customHeight="1" x14ac:dyDescent="0.2">
      <c r="A119" s="1155"/>
      <c r="B119" s="1156"/>
      <c r="C119" s="1156"/>
      <c r="D119" s="237"/>
      <c r="E119" s="237"/>
      <c r="F119" s="237"/>
      <c r="G119" s="237"/>
      <c r="H119" s="237"/>
      <c r="I119" s="237"/>
      <c r="J119" s="237"/>
      <c r="K119" s="237"/>
      <c r="L119" s="237"/>
      <c r="M119" s="237"/>
      <c r="N119" s="237"/>
      <c r="O119" s="237"/>
      <c r="P119" s="237"/>
      <c r="Q119" s="237"/>
      <c r="R119" s="237"/>
      <c r="S119" s="237"/>
      <c r="T119" s="237"/>
    </row>
    <row r="120" spans="1:20" ht="30" customHeight="1" x14ac:dyDescent="0.2">
      <c r="A120" s="1155"/>
      <c r="B120" s="1156"/>
      <c r="C120" s="1156"/>
      <c r="D120" s="237"/>
      <c r="E120" s="237"/>
      <c r="F120" s="237"/>
      <c r="G120" s="237"/>
      <c r="H120" s="237"/>
      <c r="I120" s="237"/>
      <c r="J120" s="237"/>
      <c r="K120" s="237"/>
      <c r="L120" s="237"/>
      <c r="M120" s="237"/>
      <c r="N120" s="237"/>
      <c r="O120" s="237"/>
      <c r="P120" s="237"/>
      <c r="Q120" s="237"/>
      <c r="R120" s="237"/>
      <c r="S120" s="237"/>
      <c r="T120" s="237"/>
    </row>
    <row r="121" spans="1:20" ht="30" customHeight="1" x14ac:dyDescent="0.2">
      <c r="A121" s="1155"/>
      <c r="B121" s="1156"/>
      <c r="C121" s="1156"/>
      <c r="D121" s="237"/>
      <c r="E121" s="237"/>
      <c r="F121" s="237"/>
      <c r="G121" s="237"/>
      <c r="H121" s="237"/>
      <c r="I121" s="237"/>
      <c r="J121" s="237"/>
      <c r="K121" s="237"/>
      <c r="L121" s="237"/>
      <c r="M121" s="237"/>
      <c r="N121" s="237"/>
      <c r="O121" s="237"/>
      <c r="P121" s="237"/>
      <c r="Q121" s="237"/>
      <c r="R121" s="237"/>
      <c r="S121" s="237"/>
      <c r="T121" s="237"/>
    </row>
    <row r="122" spans="1:20" ht="30" customHeight="1" x14ac:dyDescent="0.2">
      <c r="A122" s="1155"/>
      <c r="B122" s="1156"/>
      <c r="C122" s="1156"/>
      <c r="D122" s="237"/>
      <c r="E122" s="237"/>
      <c r="F122" s="237"/>
      <c r="G122" s="237"/>
      <c r="H122" s="237"/>
      <c r="I122" s="237"/>
      <c r="J122" s="237"/>
      <c r="K122" s="237"/>
      <c r="L122" s="237"/>
      <c r="M122" s="237"/>
      <c r="N122" s="237"/>
      <c r="O122" s="237"/>
      <c r="P122" s="237"/>
      <c r="Q122" s="237"/>
      <c r="R122" s="237"/>
      <c r="S122" s="237"/>
      <c r="T122" s="237"/>
    </row>
    <row r="123" spans="1:20" ht="30" customHeight="1" x14ac:dyDescent="0.2">
      <c r="A123" s="1155"/>
      <c r="B123" s="1156"/>
      <c r="C123" s="1156"/>
      <c r="D123" s="237"/>
      <c r="E123" s="237"/>
      <c r="F123" s="237"/>
      <c r="G123" s="237"/>
      <c r="H123" s="237"/>
      <c r="I123" s="237"/>
      <c r="J123" s="237"/>
      <c r="K123" s="237"/>
      <c r="L123" s="237"/>
      <c r="M123" s="237"/>
      <c r="N123" s="237"/>
      <c r="O123" s="237"/>
      <c r="P123" s="237"/>
      <c r="Q123" s="237"/>
      <c r="R123" s="237"/>
      <c r="S123" s="237"/>
      <c r="T123" s="237"/>
    </row>
    <row r="124" spans="1:20" ht="30" customHeight="1" x14ac:dyDescent="0.2">
      <c r="A124" s="1155"/>
      <c r="B124" s="1156"/>
      <c r="C124" s="1156"/>
      <c r="D124" s="237"/>
      <c r="E124" s="237"/>
      <c r="F124" s="237"/>
      <c r="G124" s="237"/>
      <c r="H124" s="237"/>
      <c r="I124" s="237"/>
      <c r="J124" s="237"/>
      <c r="K124" s="237"/>
      <c r="L124" s="237"/>
      <c r="M124" s="237"/>
      <c r="N124" s="237"/>
      <c r="O124" s="237"/>
      <c r="P124" s="237"/>
      <c r="Q124" s="237"/>
      <c r="R124" s="237"/>
      <c r="S124" s="237"/>
      <c r="T124" s="237"/>
    </row>
    <row r="125" spans="1:20" ht="15" customHeight="1" x14ac:dyDescent="0.2">
      <c r="A125" s="1155"/>
      <c r="B125" s="1156"/>
      <c r="C125" s="1156"/>
      <c r="D125" s="237"/>
      <c r="E125" s="237"/>
      <c r="F125" s="237"/>
      <c r="G125" s="237"/>
      <c r="H125" s="237"/>
      <c r="I125" s="237"/>
      <c r="J125" s="237"/>
      <c r="K125" s="237"/>
      <c r="L125" s="237"/>
      <c r="M125" s="237"/>
      <c r="N125" s="237"/>
      <c r="O125" s="237"/>
      <c r="P125" s="237"/>
      <c r="Q125" s="237"/>
      <c r="R125" s="237"/>
      <c r="S125" s="237"/>
      <c r="T125" s="237"/>
    </row>
    <row r="126" spans="1:20" ht="45" customHeight="1" x14ac:dyDescent="0.2">
      <c r="A126" s="1155"/>
      <c r="B126" s="1156"/>
      <c r="C126" s="1156"/>
      <c r="D126" s="237"/>
      <c r="E126" s="237"/>
      <c r="F126" s="237"/>
      <c r="G126" s="237"/>
      <c r="H126" s="237"/>
      <c r="I126" s="237"/>
      <c r="J126" s="237"/>
      <c r="K126" s="237"/>
      <c r="L126" s="237"/>
      <c r="M126" s="237"/>
      <c r="N126" s="237"/>
      <c r="O126" s="237"/>
      <c r="P126" s="237"/>
      <c r="Q126" s="237"/>
      <c r="R126" s="237"/>
      <c r="S126" s="237"/>
      <c r="T126" s="237"/>
    </row>
    <row r="127" spans="1:20" ht="30" customHeight="1" x14ac:dyDescent="0.2">
      <c r="A127" s="1155"/>
      <c r="B127" s="1156"/>
      <c r="C127" s="1156"/>
      <c r="D127" s="237"/>
      <c r="E127" s="237"/>
      <c r="F127" s="237"/>
      <c r="G127" s="237"/>
      <c r="H127" s="237"/>
      <c r="I127" s="237"/>
      <c r="J127" s="237"/>
      <c r="K127" s="237"/>
      <c r="L127" s="237"/>
      <c r="M127" s="237"/>
      <c r="N127" s="237"/>
      <c r="O127" s="237"/>
      <c r="P127" s="237"/>
      <c r="Q127" s="237"/>
      <c r="R127" s="237"/>
      <c r="S127" s="237"/>
      <c r="T127" s="237"/>
    </row>
    <row r="128" spans="1:20" ht="30" customHeight="1" x14ac:dyDescent="0.2">
      <c r="A128" s="1155"/>
      <c r="B128" s="1156"/>
      <c r="C128" s="1156"/>
      <c r="D128" s="237"/>
      <c r="E128" s="237"/>
      <c r="F128" s="237"/>
      <c r="G128" s="237"/>
      <c r="H128" s="237"/>
      <c r="I128" s="237"/>
      <c r="J128" s="237"/>
      <c r="K128" s="237"/>
      <c r="L128" s="237"/>
      <c r="M128" s="237"/>
      <c r="N128" s="237"/>
      <c r="O128" s="237"/>
      <c r="P128" s="237"/>
      <c r="Q128" s="237"/>
      <c r="R128" s="237"/>
      <c r="S128" s="237"/>
      <c r="T128" s="237"/>
    </row>
    <row r="129" spans="1:20" ht="30" customHeight="1" x14ac:dyDescent="0.2">
      <c r="A129" s="1155"/>
      <c r="B129" s="1156"/>
      <c r="C129" s="1156"/>
      <c r="D129" s="237"/>
      <c r="E129" s="237"/>
      <c r="F129" s="237"/>
      <c r="G129" s="237"/>
      <c r="H129" s="237"/>
      <c r="I129" s="237"/>
      <c r="J129" s="237"/>
      <c r="K129" s="237"/>
      <c r="L129" s="237"/>
      <c r="M129" s="237"/>
      <c r="N129" s="237"/>
      <c r="O129" s="237"/>
      <c r="P129" s="237"/>
      <c r="Q129" s="237"/>
      <c r="R129" s="237"/>
      <c r="S129" s="237"/>
      <c r="T129" s="237"/>
    </row>
    <row r="130" spans="1:20" ht="30" customHeight="1" x14ac:dyDescent="0.2">
      <c r="A130" s="1155"/>
      <c r="B130" s="1156"/>
      <c r="C130" s="1156"/>
      <c r="D130" s="237"/>
      <c r="E130" s="237"/>
      <c r="F130" s="237"/>
      <c r="G130" s="237"/>
      <c r="H130" s="237"/>
      <c r="I130" s="237"/>
      <c r="J130" s="237"/>
      <c r="K130" s="237"/>
      <c r="L130" s="237"/>
      <c r="M130" s="237"/>
      <c r="N130" s="237"/>
      <c r="O130" s="237"/>
      <c r="P130" s="237"/>
      <c r="Q130" s="237"/>
      <c r="R130" s="237"/>
      <c r="S130" s="237"/>
      <c r="T130" s="237"/>
    </row>
    <row r="131" spans="1:20" ht="30" customHeight="1" x14ac:dyDescent="0.2">
      <c r="A131" s="1155"/>
      <c r="B131" s="1156"/>
      <c r="C131" s="1156"/>
      <c r="D131" s="237"/>
      <c r="E131" s="237"/>
      <c r="F131" s="237"/>
      <c r="G131" s="237"/>
      <c r="H131" s="237"/>
      <c r="I131" s="237"/>
      <c r="J131" s="237"/>
      <c r="K131" s="237"/>
      <c r="L131" s="237"/>
      <c r="M131" s="237"/>
      <c r="N131" s="237"/>
      <c r="O131" s="237"/>
      <c r="P131" s="237"/>
      <c r="Q131" s="237"/>
      <c r="R131" s="237"/>
      <c r="S131" s="237"/>
      <c r="T131" s="237"/>
    </row>
    <row r="132" spans="1:20" ht="30" customHeight="1" x14ac:dyDescent="0.2">
      <c r="A132" s="1155"/>
      <c r="B132" s="1156"/>
      <c r="C132" s="1156"/>
      <c r="D132" s="237"/>
      <c r="E132" s="237"/>
      <c r="F132" s="237"/>
      <c r="G132" s="237"/>
      <c r="H132" s="237"/>
      <c r="I132" s="237"/>
      <c r="J132" s="237"/>
      <c r="K132" s="237"/>
      <c r="L132" s="237"/>
      <c r="M132" s="237"/>
      <c r="N132" s="237"/>
      <c r="O132" s="237"/>
      <c r="P132" s="237"/>
      <c r="Q132" s="237"/>
      <c r="R132" s="237"/>
      <c r="S132" s="237"/>
      <c r="T132" s="237"/>
    </row>
    <row r="133" spans="1:20" ht="15" customHeight="1" x14ac:dyDescent="0.2">
      <c r="A133" s="1155"/>
      <c r="B133" s="1156"/>
      <c r="C133" s="1156"/>
      <c r="D133" s="237"/>
      <c r="E133" s="237"/>
      <c r="F133" s="237"/>
      <c r="G133" s="237"/>
      <c r="H133" s="237"/>
      <c r="I133" s="237"/>
      <c r="J133" s="237"/>
      <c r="K133" s="237"/>
      <c r="L133" s="237"/>
      <c r="M133" s="237"/>
      <c r="N133" s="237"/>
      <c r="O133" s="237"/>
      <c r="P133" s="237"/>
      <c r="Q133" s="237"/>
      <c r="R133" s="237"/>
      <c r="S133" s="237"/>
      <c r="T133" s="237"/>
    </row>
    <row r="134" spans="1:20" ht="45" customHeight="1" x14ac:dyDescent="0.2">
      <c r="A134" s="1155"/>
      <c r="B134" s="1156"/>
      <c r="C134" s="1156"/>
      <c r="D134" s="237"/>
      <c r="E134" s="237"/>
      <c r="F134" s="237"/>
      <c r="G134" s="237"/>
      <c r="H134" s="237"/>
      <c r="I134" s="237"/>
      <c r="J134" s="237"/>
      <c r="K134" s="237"/>
      <c r="L134" s="237"/>
      <c r="M134" s="237"/>
      <c r="N134" s="237"/>
      <c r="O134" s="237"/>
      <c r="P134" s="237"/>
      <c r="Q134" s="237"/>
      <c r="R134" s="237"/>
      <c r="S134" s="237"/>
      <c r="T134" s="237"/>
    </row>
    <row r="135" spans="1:20" ht="30" customHeight="1" x14ac:dyDescent="0.2">
      <c r="A135" s="1155"/>
      <c r="B135" s="1156"/>
      <c r="C135" s="1156"/>
      <c r="D135" s="237"/>
      <c r="E135" s="237"/>
      <c r="F135" s="237"/>
      <c r="G135" s="237"/>
      <c r="H135" s="237"/>
      <c r="I135" s="237"/>
      <c r="J135" s="237"/>
      <c r="K135" s="237"/>
      <c r="L135" s="237"/>
      <c r="M135" s="237"/>
      <c r="N135" s="237"/>
      <c r="O135" s="237"/>
      <c r="P135" s="237"/>
      <c r="Q135" s="237"/>
      <c r="R135" s="237"/>
      <c r="S135" s="237"/>
      <c r="T135" s="237"/>
    </row>
    <row r="136" spans="1:20" ht="30" customHeight="1" x14ac:dyDescent="0.2">
      <c r="A136" s="1155"/>
      <c r="B136" s="1156"/>
      <c r="C136" s="1156"/>
      <c r="D136" s="237"/>
      <c r="E136" s="237"/>
      <c r="F136" s="237"/>
      <c r="G136" s="237"/>
      <c r="H136" s="237"/>
      <c r="I136" s="237"/>
      <c r="J136" s="237"/>
      <c r="K136" s="237"/>
      <c r="L136" s="237"/>
      <c r="M136" s="237"/>
      <c r="N136" s="237"/>
      <c r="O136" s="237"/>
      <c r="P136" s="237"/>
      <c r="Q136" s="237"/>
      <c r="R136" s="237"/>
      <c r="S136" s="237"/>
      <c r="T136" s="237"/>
    </row>
    <row r="137" spans="1:20" ht="30" customHeight="1" x14ac:dyDescent="0.2">
      <c r="A137" s="1155"/>
      <c r="B137" s="1156"/>
      <c r="C137" s="1156"/>
      <c r="D137" s="237"/>
      <c r="E137" s="237"/>
      <c r="F137" s="237"/>
      <c r="G137" s="237"/>
      <c r="H137" s="237"/>
      <c r="I137" s="237"/>
      <c r="J137" s="237"/>
      <c r="K137" s="237"/>
      <c r="L137" s="237"/>
      <c r="M137" s="237"/>
      <c r="N137" s="237"/>
      <c r="O137" s="237"/>
      <c r="P137" s="237"/>
      <c r="Q137" s="237"/>
      <c r="R137" s="237"/>
      <c r="S137" s="237"/>
      <c r="T137" s="237"/>
    </row>
    <row r="138" spans="1:20" ht="30" customHeight="1" x14ac:dyDescent="0.2">
      <c r="A138" s="1155"/>
      <c r="B138" s="1156"/>
      <c r="C138" s="1156"/>
      <c r="D138" s="237"/>
      <c r="E138" s="237"/>
      <c r="F138" s="237"/>
      <c r="G138" s="237"/>
      <c r="H138" s="237"/>
      <c r="I138" s="237"/>
      <c r="J138" s="237"/>
      <c r="K138" s="237"/>
      <c r="L138" s="237"/>
      <c r="M138" s="237"/>
      <c r="N138" s="237"/>
      <c r="O138" s="237"/>
      <c r="P138" s="237"/>
      <c r="Q138" s="237"/>
      <c r="R138" s="237"/>
      <c r="S138" s="237"/>
      <c r="T138" s="237"/>
    </row>
    <row r="139" spans="1:20" ht="30" customHeight="1" x14ac:dyDescent="0.2">
      <c r="A139" s="1155"/>
      <c r="B139" s="1156"/>
      <c r="C139" s="1156"/>
      <c r="D139" s="237"/>
      <c r="E139" s="237"/>
      <c r="F139" s="237"/>
      <c r="G139" s="237"/>
      <c r="H139" s="237"/>
      <c r="I139" s="237"/>
      <c r="J139" s="237"/>
      <c r="K139" s="237"/>
      <c r="L139" s="237"/>
      <c r="M139" s="237"/>
      <c r="N139" s="237"/>
      <c r="O139" s="237"/>
      <c r="P139" s="237"/>
      <c r="Q139" s="237"/>
      <c r="R139" s="237"/>
      <c r="S139" s="237"/>
      <c r="T139" s="237"/>
    </row>
    <row r="140" spans="1:20" ht="30" customHeight="1" x14ac:dyDescent="0.2">
      <c r="A140" s="1155"/>
      <c r="B140" s="1156"/>
      <c r="C140" s="1156"/>
      <c r="D140" s="237"/>
      <c r="E140" s="237"/>
      <c r="F140" s="237"/>
      <c r="G140" s="237"/>
      <c r="H140" s="237"/>
      <c r="I140" s="237"/>
      <c r="J140" s="237"/>
      <c r="K140" s="237"/>
      <c r="L140" s="237"/>
      <c r="M140" s="237"/>
      <c r="N140" s="237"/>
      <c r="O140" s="237"/>
      <c r="P140" s="237"/>
      <c r="Q140" s="237"/>
      <c r="R140" s="237"/>
      <c r="S140" s="237"/>
      <c r="T140" s="237"/>
    </row>
    <row r="141" spans="1:20" ht="15" customHeight="1" x14ac:dyDescent="0.2">
      <c r="A141" s="1155"/>
      <c r="B141" s="1156"/>
      <c r="C141" s="1156"/>
      <c r="D141" s="237"/>
      <c r="E141" s="237"/>
      <c r="F141" s="237"/>
      <c r="G141" s="237"/>
      <c r="H141" s="237"/>
      <c r="I141" s="237"/>
      <c r="J141" s="237"/>
      <c r="K141" s="237"/>
      <c r="L141" s="237"/>
      <c r="M141" s="237"/>
      <c r="N141" s="237"/>
      <c r="O141" s="237"/>
      <c r="P141" s="237"/>
      <c r="Q141" s="237"/>
      <c r="R141" s="237"/>
      <c r="S141" s="237"/>
      <c r="T141" s="237"/>
    </row>
    <row r="142" spans="1:20" ht="20.100000000000001" customHeight="1" x14ac:dyDescent="0.2">
      <c r="A142" s="1155"/>
      <c r="B142" s="1156"/>
      <c r="C142" s="1156"/>
      <c r="D142" s="237"/>
      <c r="E142" s="237"/>
      <c r="F142" s="237"/>
      <c r="G142" s="237"/>
      <c r="H142" s="237"/>
      <c r="I142" s="237"/>
      <c r="J142" s="237"/>
      <c r="K142" s="237"/>
      <c r="L142" s="237"/>
      <c r="M142" s="237"/>
      <c r="N142" s="237"/>
      <c r="O142" s="237"/>
      <c r="P142" s="237"/>
      <c r="Q142" s="237"/>
      <c r="R142" s="237"/>
      <c r="S142" s="237"/>
      <c r="T142" s="237"/>
    </row>
    <row r="143" spans="1:20" ht="107.1" customHeight="1" x14ac:dyDescent="0.2">
      <c r="A143" s="1155"/>
      <c r="B143" s="1156"/>
      <c r="C143" s="1156"/>
      <c r="D143" s="237"/>
      <c r="E143" s="237"/>
      <c r="F143" s="237"/>
      <c r="G143" s="237"/>
      <c r="H143" s="237"/>
      <c r="I143" s="237"/>
      <c r="J143" s="237"/>
      <c r="K143" s="237"/>
      <c r="L143" s="237"/>
      <c r="M143" s="237"/>
      <c r="N143" s="237"/>
      <c r="O143" s="237"/>
      <c r="P143" s="237"/>
      <c r="Q143" s="237"/>
      <c r="R143" s="237"/>
      <c r="S143" s="237"/>
      <c r="T143" s="237"/>
    </row>
    <row r="144" spans="1:20" ht="15.75" x14ac:dyDescent="0.2">
      <c r="A144" s="1155"/>
      <c r="B144" s="1156"/>
      <c r="C144" s="1156"/>
      <c r="D144" s="237"/>
      <c r="E144" s="237"/>
      <c r="F144" s="237"/>
      <c r="G144" s="237"/>
      <c r="H144" s="237"/>
      <c r="I144" s="237"/>
      <c r="J144" s="237"/>
      <c r="K144" s="237"/>
      <c r="L144" s="237"/>
      <c r="M144" s="237"/>
      <c r="N144" s="237"/>
      <c r="O144" s="237"/>
      <c r="P144" s="237"/>
      <c r="Q144" s="237"/>
      <c r="R144" s="237"/>
      <c r="S144" s="237"/>
      <c r="T144" s="237"/>
    </row>
    <row r="145" spans="1:20" ht="20.100000000000001" customHeight="1" x14ac:dyDescent="0.2">
      <c r="A145" s="1155"/>
      <c r="B145" s="1156"/>
      <c r="C145" s="1156"/>
      <c r="D145" s="237"/>
      <c r="E145" s="237"/>
      <c r="F145" s="237"/>
      <c r="G145" s="237"/>
      <c r="H145" s="237"/>
      <c r="I145" s="237"/>
      <c r="J145" s="237"/>
      <c r="K145" s="237"/>
      <c r="L145" s="237"/>
      <c r="M145" s="237"/>
      <c r="N145" s="237"/>
      <c r="O145" s="237"/>
      <c r="P145" s="237"/>
      <c r="Q145" s="237"/>
      <c r="R145" s="237"/>
      <c r="S145" s="237"/>
      <c r="T145" s="237"/>
    </row>
    <row r="146" spans="1:20" ht="107.1" customHeight="1" x14ac:dyDescent="0.2">
      <c r="A146" s="1155"/>
      <c r="B146" s="1156"/>
      <c r="C146" s="1156"/>
      <c r="D146" s="237"/>
      <c r="E146" s="237"/>
      <c r="F146" s="237"/>
      <c r="G146" s="237"/>
      <c r="H146" s="237"/>
      <c r="I146" s="237"/>
      <c r="J146" s="237"/>
      <c r="K146" s="237"/>
      <c r="L146" s="237"/>
      <c r="M146" s="237"/>
      <c r="N146" s="237"/>
      <c r="O146" s="237"/>
      <c r="P146" s="237"/>
      <c r="Q146" s="237"/>
      <c r="R146" s="237"/>
      <c r="S146" s="237"/>
      <c r="T146" s="237"/>
    </row>
    <row r="147" spans="1:20" ht="15.75" x14ac:dyDescent="0.2">
      <c r="A147" s="1100"/>
      <c r="B147" s="1099"/>
      <c r="C147" s="1099"/>
      <c r="D147" s="237"/>
      <c r="E147" s="237"/>
      <c r="F147" s="237"/>
      <c r="G147" s="237"/>
      <c r="H147" s="237"/>
      <c r="I147" s="237"/>
      <c r="J147" s="237"/>
      <c r="K147" s="237"/>
      <c r="L147" s="237"/>
      <c r="M147" s="237"/>
      <c r="N147" s="237"/>
      <c r="O147" s="237"/>
      <c r="P147" s="237"/>
      <c r="Q147" s="237"/>
      <c r="R147" s="237"/>
      <c r="S147" s="237"/>
      <c r="T147" s="237"/>
    </row>
    <row r="148" spans="1:20" ht="15.75" x14ac:dyDescent="0.2">
      <c r="A148" s="1100"/>
      <c r="B148" s="1099"/>
      <c r="C148" s="1099"/>
      <c r="D148" s="237"/>
      <c r="E148" s="237"/>
      <c r="F148" s="237"/>
      <c r="G148" s="237"/>
      <c r="H148" s="237"/>
      <c r="I148" s="237"/>
      <c r="J148" s="237"/>
      <c r="K148" s="237"/>
      <c r="L148" s="237"/>
      <c r="M148" s="237"/>
      <c r="N148" s="237"/>
      <c r="O148" s="237"/>
      <c r="P148" s="237"/>
      <c r="Q148" s="237"/>
      <c r="R148" s="237"/>
      <c r="S148" s="237"/>
      <c r="T148" s="237"/>
    </row>
    <row r="149" spans="1:20" ht="15.75" x14ac:dyDescent="0.2">
      <c r="A149" s="1100"/>
      <c r="B149" s="1099"/>
      <c r="C149" s="1099"/>
      <c r="D149" s="237"/>
      <c r="E149" s="237"/>
      <c r="F149" s="237"/>
      <c r="G149" s="237"/>
      <c r="H149" s="237"/>
      <c r="I149" s="237"/>
      <c r="J149" s="237"/>
      <c r="K149" s="237"/>
      <c r="L149" s="237"/>
      <c r="M149" s="237"/>
      <c r="N149" s="237"/>
      <c r="O149" s="237"/>
      <c r="P149" s="237"/>
      <c r="Q149" s="237"/>
      <c r="R149" s="237"/>
      <c r="S149" s="237"/>
      <c r="T149" s="237"/>
    </row>
    <row r="150" spans="1:20" ht="15.75" x14ac:dyDescent="0.2">
      <c r="A150" s="1100"/>
      <c r="B150" s="1099"/>
      <c r="C150" s="1099"/>
      <c r="D150" s="237"/>
      <c r="E150" s="237"/>
      <c r="F150" s="237"/>
      <c r="G150" s="237"/>
      <c r="H150" s="237"/>
      <c r="I150" s="237"/>
      <c r="J150" s="237"/>
      <c r="K150" s="237"/>
      <c r="L150" s="237"/>
      <c r="M150" s="237"/>
      <c r="N150" s="237"/>
      <c r="O150" s="237"/>
      <c r="P150" s="237"/>
      <c r="Q150" s="237"/>
      <c r="R150" s="237"/>
      <c r="S150" s="237"/>
      <c r="T150" s="237"/>
    </row>
    <row r="151" spans="1:20" ht="15.75" x14ac:dyDescent="0.2">
      <c r="A151" s="1100"/>
      <c r="B151" s="1099"/>
      <c r="C151" s="1099"/>
      <c r="D151" s="237"/>
      <c r="E151" s="237"/>
      <c r="F151" s="237"/>
      <c r="G151" s="237"/>
      <c r="H151" s="237"/>
      <c r="I151" s="237"/>
      <c r="J151" s="237"/>
      <c r="K151" s="237"/>
      <c r="L151" s="237"/>
      <c r="M151" s="237"/>
      <c r="N151" s="237"/>
      <c r="O151" s="237"/>
      <c r="P151" s="237"/>
      <c r="Q151" s="237"/>
      <c r="R151" s="237"/>
      <c r="S151" s="237"/>
      <c r="T151" s="237"/>
    </row>
    <row r="152" spans="1:20" ht="15.75" x14ac:dyDescent="0.2">
      <c r="A152" s="1100"/>
      <c r="B152" s="1099"/>
      <c r="C152" s="1099"/>
      <c r="D152" s="237"/>
      <c r="E152" s="237"/>
      <c r="F152" s="237"/>
      <c r="G152" s="237"/>
      <c r="H152" s="237"/>
      <c r="I152" s="237"/>
      <c r="J152" s="237"/>
      <c r="K152" s="237"/>
      <c r="L152" s="237"/>
      <c r="M152" s="237"/>
      <c r="N152" s="237"/>
      <c r="O152" s="237"/>
      <c r="P152" s="237"/>
      <c r="Q152" s="237"/>
      <c r="R152" s="237"/>
      <c r="S152" s="237"/>
      <c r="T152" s="237"/>
    </row>
    <row r="153" spans="1:20" ht="15.75" x14ac:dyDescent="0.2">
      <c r="A153" s="1100"/>
      <c r="B153" s="1099"/>
      <c r="C153" s="1099"/>
      <c r="D153" s="237"/>
      <c r="E153" s="237"/>
      <c r="F153" s="237"/>
      <c r="G153" s="237"/>
      <c r="H153" s="237"/>
      <c r="I153" s="237"/>
      <c r="J153" s="237"/>
      <c r="K153" s="237"/>
      <c r="L153" s="237"/>
      <c r="M153" s="237"/>
      <c r="N153" s="237"/>
      <c r="O153" s="237"/>
      <c r="P153" s="237"/>
      <c r="Q153" s="237"/>
      <c r="R153" s="237"/>
      <c r="S153" s="237"/>
      <c r="T153" s="237"/>
    </row>
    <row r="154" spans="1:20" ht="15.75" x14ac:dyDescent="0.2">
      <c r="A154" s="1100"/>
      <c r="B154" s="1099"/>
      <c r="C154" s="1099"/>
      <c r="D154" s="237"/>
      <c r="E154" s="237"/>
      <c r="F154" s="237"/>
      <c r="G154" s="237"/>
      <c r="H154" s="237"/>
      <c r="I154" s="237"/>
      <c r="J154" s="237"/>
      <c r="K154" s="237"/>
      <c r="L154" s="237"/>
      <c r="M154" s="237"/>
      <c r="N154" s="237"/>
      <c r="O154" s="237"/>
      <c r="P154" s="237"/>
      <c r="Q154" s="237"/>
      <c r="R154" s="237"/>
      <c r="S154" s="237"/>
      <c r="T154" s="237"/>
    </row>
    <row r="155" spans="1:20" ht="15.75" x14ac:dyDescent="0.2">
      <c r="A155" s="1100"/>
      <c r="B155" s="1099"/>
      <c r="C155" s="1099"/>
      <c r="D155" s="237"/>
      <c r="E155" s="237"/>
      <c r="F155" s="237"/>
      <c r="G155" s="237"/>
      <c r="H155" s="237"/>
      <c r="I155" s="237"/>
      <c r="J155" s="237"/>
      <c r="K155" s="237"/>
      <c r="L155" s="237"/>
      <c r="M155" s="237"/>
      <c r="N155" s="237"/>
      <c r="O155" s="237"/>
      <c r="P155" s="237"/>
      <c r="Q155" s="237"/>
      <c r="R155" s="237"/>
      <c r="S155" s="237"/>
      <c r="T155" s="237"/>
    </row>
    <row r="156" spans="1:20" ht="15.75" x14ac:dyDescent="0.2">
      <c r="A156" s="1100"/>
      <c r="B156" s="1099"/>
      <c r="C156" s="1099"/>
      <c r="D156" s="237"/>
      <c r="E156" s="237"/>
      <c r="F156" s="237"/>
      <c r="G156" s="237"/>
      <c r="H156" s="237"/>
      <c r="I156" s="237"/>
      <c r="J156" s="237"/>
      <c r="K156" s="237"/>
      <c r="L156" s="237"/>
      <c r="M156" s="237"/>
      <c r="N156" s="237"/>
      <c r="O156" s="237"/>
      <c r="P156" s="237"/>
      <c r="Q156" s="237"/>
      <c r="R156" s="237"/>
      <c r="S156" s="237"/>
      <c r="T156" s="237"/>
    </row>
  </sheetData>
  <sheetProtection algorithmName="SHA-512" hashValue="VKrZeqj+FMcf3lTIKQ/8GxI0pzsooPC7z+dT8Hk1CseSx4Rfs26teGMu/aCgyuksGN7ZtiPu/ic1bj6F4oBc1g==" saltValue="oYgn66fE5LC7FF89qyu/IQ==" spinCount="100000" sheet="1" objects="1" scenarios="1"/>
  <mergeCells count="5">
    <mergeCell ref="A1:C3"/>
    <mergeCell ref="D1:Z3"/>
    <mergeCell ref="A4:T4"/>
    <mergeCell ref="Q6:S6"/>
    <mergeCell ref="T6:V6"/>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drawing r:id="rId2"/>
  <extLst>
    <ext xmlns:x14="http://schemas.microsoft.com/office/spreadsheetml/2009/9/main" uri="{05C60535-1F16-4fd2-B633-F4F36F0B64E0}">
      <x14:sparklineGroups xmlns:xm="http://schemas.microsoft.com/office/excel/2006/main">
        <x14:sparklineGroup type="column" displayEmptyCellsAs="gap" high="1" xr2:uid="{00000000-0003-0000-2100-00000B000000}">
          <x14:colorSeries rgb="FF000000"/>
          <x14:colorNegative rgb="FF0070C0"/>
          <x14:colorAxis rgb="FF000000"/>
          <x14:colorMarkers rgb="FF0070C0"/>
          <x14:colorFirst rgb="FF0070C0"/>
          <x14:colorLast rgb="FF0070C0"/>
          <x14:colorHigh rgb="FF0070C0"/>
          <x14:colorLow rgb="FF0070C0"/>
          <x14:sparklines>
            <x14:sparkline>
              <xm:f>'mili Pc &lt; '!E7:F7</xm:f>
              <xm:sqref>G7</xm:sqref>
            </x14:sparkline>
          </x14:sparklines>
        </x14:sparklineGroup>
        <x14:sparklineGroup type="column" displayEmptyCellsAs="gap" high="1" xr2:uid="{00000000-0003-0000-2100-00000A000000}">
          <x14:colorSeries rgb="FF000000"/>
          <x14:colorNegative rgb="FF0070C0"/>
          <x14:colorAxis rgb="FF000000"/>
          <x14:colorMarkers rgb="FF0070C0"/>
          <x14:colorFirst rgb="FF0070C0"/>
          <x14:colorLast rgb="FF0070C0"/>
          <x14:colorHigh rgb="FF0070C0"/>
          <x14:colorLow rgb="FF0070C0"/>
          <x14:sparklines>
            <x14:sparkline>
              <xm:f>'mili Pc &lt; '!E8:F8</xm:f>
              <xm:sqref>G8</xm:sqref>
            </x14:sparkline>
          </x14:sparklines>
        </x14:sparklineGroup>
        <x14:sparklineGroup type="column" displayEmptyCellsAs="gap" high="1" xr2:uid="{00000000-0003-0000-2100-000009000000}">
          <x14:colorSeries rgb="FF000000"/>
          <x14:colorNegative rgb="FF0070C0"/>
          <x14:colorAxis rgb="FF000000"/>
          <x14:colorMarkers rgb="FF0070C0"/>
          <x14:colorFirst rgb="FF0070C0"/>
          <x14:colorLast rgb="FF0070C0"/>
          <x14:colorHigh rgb="FF0070C0"/>
          <x14:colorLow rgb="FF0070C0"/>
          <x14:sparklines>
            <x14:sparkline>
              <xm:f>'mili Pc &lt; '!E9:F9</xm:f>
              <xm:sqref>G9</xm:sqref>
            </x14:sparkline>
          </x14:sparklines>
        </x14:sparklineGroup>
        <x14:sparklineGroup type="column" displayEmptyCellsAs="gap" high="1" xr2:uid="{00000000-0003-0000-2100-000008000000}">
          <x14:colorSeries rgb="FF000000"/>
          <x14:colorNegative rgb="FF0070C0"/>
          <x14:colorAxis rgb="FF000000"/>
          <x14:colorMarkers rgb="FF0070C0"/>
          <x14:colorFirst rgb="FF0070C0"/>
          <x14:colorLast rgb="FF0070C0"/>
          <x14:colorHigh rgb="FF0070C0"/>
          <x14:colorLow rgb="FF0070C0"/>
          <x14:sparklines>
            <x14:sparkline>
              <xm:f>'mili Pc &lt; '!E10:F10</xm:f>
              <xm:sqref>G10</xm:sqref>
            </x14:sparkline>
          </x14:sparklines>
        </x14:sparklineGroup>
        <x14:sparklineGroup type="column" displayEmptyCellsAs="gap" high="1" xr2:uid="{00000000-0003-0000-2100-000007000000}">
          <x14:colorSeries rgb="FF000000"/>
          <x14:colorNegative rgb="FF0070C0"/>
          <x14:colorAxis rgb="FF000000"/>
          <x14:colorMarkers rgb="FF0070C0"/>
          <x14:colorFirst rgb="FF0070C0"/>
          <x14:colorLast rgb="FF0070C0"/>
          <x14:colorHigh rgb="FF0070C0"/>
          <x14:colorLow rgb="FF0070C0"/>
          <x14:sparklines>
            <x14:sparkline>
              <xm:f>'mili Pc &lt; '!E11:F11</xm:f>
              <xm:sqref>G11</xm:sqref>
            </x14:sparkline>
          </x14:sparklines>
        </x14:sparklineGroup>
        <x14:sparklineGroup type="column" displayEmptyCellsAs="gap" high="1" xr2:uid="{00000000-0003-0000-2100-000006000000}">
          <x14:colorSeries rgb="FF000000"/>
          <x14:colorNegative rgb="FF0070C0"/>
          <x14:colorAxis rgb="FF000000"/>
          <x14:colorMarkers rgb="FF0070C0"/>
          <x14:colorFirst rgb="FF0070C0"/>
          <x14:colorLast rgb="FF0070C0"/>
          <x14:colorHigh rgb="FF0070C0"/>
          <x14:colorLow rgb="FF0070C0"/>
          <x14:sparklines>
            <x14:sparkline>
              <xm:f>'mili Pc &lt; '!E12:F12</xm:f>
              <xm:sqref>G12</xm:sqref>
            </x14:sparkline>
          </x14:sparklines>
        </x14:sparklineGroup>
        <x14:sparklineGroup type="column" displayEmptyCellsAs="gap" high="1" xr2:uid="{00000000-0003-0000-2100-000005000000}">
          <x14:colorSeries rgb="FF000000"/>
          <x14:colorNegative rgb="FF0070C0"/>
          <x14:colorAxis rgb="FF000000"/>
          <x14:colorMarkers rgb="FF0070C0"/>
          <x14:colorFirst rgb="FF0070C0"/>
          <x14:colorLast rgb="FF0070C0"/>
          <x14:colorHigh rgb="FF0070C0"/>
          <x14:colorLow rgb="FF0070C0"/>
          <x14:sparklines>
            <x14:sparkline>
              <xm:f>'mili Pc &lt; '!E13:F13</xm:f>
              <xm:sqref>G13</xm:sqref>
            </x14:sparkline>
          </x14:sparklines>
        </x14:sparklineGroup>
        <x14:sparklineGroup type="column" displayEmptyCellsAs="gap" high="1" xr2:uid="{00000000-0003-0000-2100-000004000000}">
          <x14:colorSeries rgb="FF000000"/>
          <x14:colorNegative rgb="FF0070C0"/>
          <x14:colorAxis rgb="FF000000"/>
          <x14:colorMarkers rgb="FF0070C0"/>
          <x14:colorFirst rgb="FF0070C0"/>
          <x14:colorLast rgb="FF0070C0"/>
          <x14:colorHigh rgb="FF0070C0"/>
          <x14:colorLow rgb="FF0070C0"/>
          <x14:sparklines>
            <x14:sparkline>
              <xm:f>'mili Pc &lt; '!E14:F14</xm:f>
              <xm:sqref>G14</xm:sqref>
            </x14:sparkline>
          </x14:sparklines>
        </x14:sparklineGroup>
        <x14:sparklineGroup type="column" displayEmptyCellsAs="gap" high="1" xr2:uid="{00000000-0003-0000-2100-000003000000}">
          <x14:colorSeries rgb="FF000000"/>
          <x14:colorNegative rgb="FF0070C0"/>
          <x14:colorAxis rgb="FF000000"/>
          <x14:colorMarkers rgb="FF0070C0"/>
          <x14:colorFirst rgb="FF0070C0"/>
          <x14:colorLast rgb="FF0070C0"/>
          <x14:colorHigh rgb="FF0070C0"/>
          <x14:colorLow rgb="FF0070C0"/>
          <x14:sparklines>
            <x14:sparkline>
              <xm:f>'mili Pc &lt; '!E15:F15</xm:f>
              <xm:sqref>G15</xm:sqref>
            </x14:sparkline>
          </x14:sparklines>
        </x14:sparklineGroup>
        <x14:sparklineGroup type="column" displayEmptyCellsAs="gap" high="1" xr2:uid="{00000000-0003-0000-2100-000002000000}">
          <x14:colorSeries rgb="FF000000"/>
          <x14:colorNegative rgb="FF0070C0"/>
          <x14:colorAxis rgb="FF000000"/>
          <x14:colorMarkers rgb="FF0070C0"/>
          <x14:colorFirst rgb="FF0070C0"/>
          <x14:colorLast rgb="FF0070C0"/>
          <x14:colorHigh rgb="FF0070C0"/>
          <x14:colorLow rgb="FF0070C0"/>
          <x14:sparklines>
            <x14:sparkline>
              <xm:f>'mili Pc &lt; '!E16:F16</xm:f>
              <xm:sqref>G16</xm:sqref>
            </x14:sparkline>
          </x14:sparklines>
        </x14:sparklineGroup>
        <x14:sparklineGroup type="column" displayEmptyCellsAs="gap" high="1" xr2:uid="{00000000-0003-0000-2100-000001000000}">
          <x14:colorSeries rgb="FF000000"/>
          <x14:colorNegative rgb="FF0070C0"/>
          <x14:colorAxis rgb="FF000000"/>
          <x14:colorMarkers rgb="FF0070C0"/>
          <x14:colorFirst rgb="FF0070C0"/>
          <x14:colorLast rgb="FF0070C0"/>
          <x14:colorHigh rgb="FF0070C0"/>
          <x14:colorLow rgb="FF0070C0"/>
          <x14:sparklines>
            <x14:sparkline>
              <xm:f>'mili Pc &lt; '!E17:F17</xm:f>
              <xm:sqref>G17</xm:sqref>
            </x14:sparkline>
          </x14:sparklines>
        </x14:sparklineGroup>
        <x14:sparklineGroup type="column" displayEmptyCellsAs="gap" high="1" xr2:uid="{00000000-0003-0000-2100-000000000000}">
          <x14:colorSeries rgb="FF000000"/>
          <x14:colorNegative rgb="FF0070C0"/>
          <x14:colorAxis rgb="FF000000"/>
          <x14:colorMarkers rgb="FF0070C0"/>
          <x14:colorFirst rgb="FF0070C0"/>
          <x14:colorLast rgb="FF0070C0"/>
          <x14:colorHigh rgb="FF0070C0"/>
          <x14:colorLow rgb="FF0070C0"/>
          <x14:sparklines>
            <x14:sparkline>
              <xm:f>'mili Pc &lt; '!E18:F18</xm:f>
              <xm:sqref>G18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8">
    <tabColor rgb="FF92D050"/>
  </sheetPr>
  <dimension ref="A1:AB156"/>
  <sheetViews>
    <sheetView showGridLines="0" view="pageBreakPreview" topLeftCell="C1" zoomScale="80" zoomScaleNormal="80" zoomScaleSheetLayoutView="80" workbookViewId="0">
      <selection activeCell="N48" sqref="N48"/>
    </sheetView>
  </sheetViews>
  <sheetFormatPr baseColWidth="10" defaultColWidth="10.85546875" defaultRowHeight="15" x14ac:dyDescent="0.2"/>
  <cols>
    <col min="1" max="1" width="13.7109375" style="380" customWidth="1"/>
    <col min="2" max="7" width="15.7109375" style="381" customWidth="1"/>
    <col min="8" max="9" width="12.7109375" style="381" customWidth="1"/>
    <col min="10" max="11" width="15.7109375" style="380" customWidth="1"/>
    <col min="12" max="13" width="10.7109375" style="380" customWidth="1"/>
    <col min="14" max="15" width="15.7109375" style="380" customWidth="1"/>
    <col min="16" max="20" width="13.7109375" style="380" customWidth="1"/>
    <col min="21" max="16384" width="10.85546875" style="380"/>
  </cols>
  <sheetData>
    <row r="1" spans="1:28" ht="30" customHeight="1" x14ac:dyDescent="0.2">
      <c r="A1" s="1775"/>
      <c r="B1" s="1776"/>
      <c r="C1" s="1776"/>
      <c r="D1" s="1781" t="s">
        <v>0</v>
      </c>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96"/>
    </row>
    <row r="2" spans="1:28" ht="30" customHeight="1" x14ac:dyDescent="0.2">
      <c r="A2" s="1777"/>
      <c r="B2" s="1778"/>
      <c r="C2" s="1778"/>
      <c r="D2" s="1783"/>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97"/>
    </row>
    <row r="3" spans="1:28" ht="30" customHeight="1" thickBot="1" x14ac:dyDescent="0.25">
      <c r="A3" s="1779"/>
      <c r="B3" s="1780"/>
      <c r="C3" s="1780"/>
      <c r="D3" s="1785"/>
      <c r="E3" s="1786"/>
      <c r="F3" s="1786"/>
      <c r="G3" s="1786"/>
      <c r="H3" s="1786"/>
      <c r="I3" s="1786"/>
      <c r="J3" s="1786"/>
      <c r="K3" s="1786"/>
      <c r="L3" s="1786"/>
      <c r="M3" s="1786"/>
      <c r="N3" s="1786"/>
      <c r="O3" s="1786"/>
      <c r="P3" s="1786"/>
      <c r="Q3" s="1786"/>
      <c r="R3" s="1786"/>
      <c r="S3" s="1786"/>
      <c r="T3" s="1786"/>
      <c r="U3" s="1786"/>
      <c r="V3" s="1786"/>
      <c r="W3" s="1786"/>
      <c r="X3" s="1786"/>
      <c r="Y3" s="1786"/>
      <c r="Z3" s="1786"/>
      <c r="AA3" s="1786"/>
      <c r="AB3" s="1798"/>
    </row>
    <row r="4" spans="1:28" ht="15" customHeight="1" x14ac:dyDescent="0.2">
      <c r="A4" s="1787"/>
      <c r="B4" s="1787"/>
      <c r="C4" s="1787"/>
      <c r="D4" s="1787"/>
      <c r="E4" s="1787"/>
      <c r="F4" s="1787"/>
      <c r="G4" s="1787"/>
      <c r="H4" s="1787"/>
      <c r="I4" s="1787"/>
      <c r="J4" s="1787"/>
      <c r="K4" s="1787"/>
      <c r="L4" s="1787"/>
      <c r="M4" s="1787"/>
      <c r="N4" s="1787"/>
      <c r="O4" s="1787"/>
      <c r="P4" s="1787"/>
      <c r="Q4" s="1787"/>
      <c r="R4" s="1787"/>
      <c r="S4" s="1787"/>
      <c r="T4" s="1787"/>
      <c r="U4" s="1100"/>
      <c r="V4" s="1100"/>
      <c r="W4" s="1100"/>
      <c r="X4" s="1100"/>
      <c r="Y4" s="1100"/>
      <c r="Z4" s="1100"/>
    </row>
    <row r="5" spans="1:28" ht="20.100000000000001" customHeight="1" thickBot="1" x14ac:dyDescent="0.25">
      <c r="A5" s="237"/>
      <c r="B5" s="237"/>
      <c r="C5" s="237"/>
      <c r="D5" s="237"/>
      <c r="E5" s="237"/>
      <c r="H5" s="237"/>
      <c r="I5" s="237"/>
      <c r="J5" s="237"/>
      <c r="K5" s="237"/>
      <c r="L5" s="237"/>
      <c r="M5" s="237"/>
      <c r="N5" s="237"/>
      <c r="O5" s="237"/>
      <c r="P5" s="237"/>
      <c r="Q5" s="237"/>
      <c r="R5" s="237"/>
      <c r="S5" s="237"/>
      <c r="T5" s="237"/>
      <c r="U5" s="1100"/>
      <c r="V5" s="1100"/>
      <c r="W5" s="1100"/>
      <c r="X5" s="1100"/>
      <c r="Y5" s="1100"/>
      <c r="Z5" s="1100"/>
    </row>
    <row r="6" spans="1:28" ht="60" customHeight="1" thickBot="1" x14ac:dyDescent="0.25">
      <c r="A6" s="390" t="s">
        <v>139</v>
      </c>
      <c r="B6" s="391" t="s">
        <v>140</v>
      </c>
      <c r="C6" s="391" t="s">
        <v>141</v>
      </c>
      <c r="D6" s="391" t="s">
        <v>142</v>
      </c>
      <c r="E6" s="391" t="s">
        <v>143</v>
      </c>
      <c r="F6" s="998" t="s">
        <v>569</v>
      </c>
      <c r="G6" s="1258" t="s">
        <v>570</v>
      </c>
      <c r="H6" s="391" t="s">
        <v>144</v>
      </c>
      <c r="I6" s="391" t="s">
        <v>144</v>
      </c>
      <c r="J6" s="391" t="s">
        <v>145</v>
      </c>
      <c r="K6" s="391" t="s">
        <v>146</v>
      </c>
      <c r="L6" s="391" t="s">
        <v>147</v>
      </c>
      <c r="M6" s="391" t="s">
        <v>148</v>
      </c>
      <c r="N6" s="391" t="s">
        <v>149</v>
      </c>
      <c r="O6" s="392" t="s">
        <v>150</v>
      </c>
      <c r="P6" s="1100"/>
      <c r="Q6" s="1792" t="s">
        <v>151</v>
      </c>
      <c r="R6" s="1793"/>
      <c r="S6" s="1794"/>
      <c r="T6" s="1795" t="s">
        <v>151</v>
      </c>
      <c r="U6" s="1793"/>
      <c r="V6" s="1794"/>
      <c r="W6" s="1788" t="s">
        <v>565</v>
      </c>
      <c r="X6" s="1789"/>
      <c r="Y6" s="1790"/>
      <c r="Z6" s="1788" t="s">
        <v>151</v>
      </c>
      <c r="AA6" s="1789"/>
      <c r="AB6" s="1790"/>
    </row>
    <row r="7" spans="1:28" ht="39.950000000000003" customHeight="1" x14ac:dyDescent="0.2">
      <c r="A7" s="1101">
        <v>1</v>
      </c>
      <c r="B7" s="1102" t="str">
        <f>'Cert Juego gramo &lt;'!B59</f>
        <v>1</v>
      </c>
      <c r="C7" s="1102" t="str">
        <f>'Cert Juego gramo &lt;'!C59</f>
        <v>1 g</v>
      </c>
      <c r="D7" s="1059" t="e">
        <f>'Cert Juego gramo &lt;'!D59</f>
        <v>#N/A</v>
      </c>
      <c r="E7" s="1283" t="e">
        <f>'1 g &lt;'!I75</f>
        <v>#DIV/0!</v>
      </c>
      <c r="F7" s="1180">
        <f>H7/1/3</f>
        <v>0.33333333333333331</v>
      </c>
      <c r="G7" s="1259"/>
      <c r="H7" s="1022">
        <f>'Cert Juego gramo &lt;'!F59</f>
        <v>1</v>
      </c>
      <c r="I7" s="1022">
        <v>-1</v>
      </c>
      <c r="J7" s="1104" t="e">
        <f>_xlfn.NORM.S.DIST(M7,1)</f>
        <v>#N/A</v>
      </c>
      <c r="K7" s="1105" t="e">
        <f>1-J7</f>
        <v>#N/A</v>
      </c>
      <c r="L7" s="247" t="e">
        <f t="shared" ref="L7:L26" si="0">ABS(D7)</f>
        <v>#N/A</v>
      </c>
      <c r="M7" s="1106" t="e">
        <f>(H7-L7)/(E7/2)</f>
        <v>#N/A</v>
      </c>
      <c r="N7" s="1107" t="e">
        <f>H7-E7</f>
        <v>#DIV/0!</v>
      </c>
      <c r="O7" s="999" t="e">
        <f>IF(AND(J7&gt;=97.5%,K7&lt;=2.5%,E7&lt;=F7),"SI","NO")</f>
        <v>#N/A</v>
      </c>
      <c r="P7" s="237"/>
      <c r="Q7" s="1240">
        <f>'DATOS &lt;'!$D$93</f>
        <v>1</v>
      </c>
      <c r="R7" s="1241">
        <f>'DATOS &lt;'!$D$93</f>
        <v>1</v>
      </c>
      <c r="S7" s="1242">
        <f>'DATOS &lt;'!$D$93</f>
        <v>1</v>
      </c>
      <c r="T7" s="1240">
        <f>-$Q$7</f>
        <v>-1</v>
      </c>
      <c r="U7" s="1241">
        <f>-$Q$7</f>
        <v>-1</v>
      </c>
      <c r="V7" s="1242">
        <f>-$Q$7</f>
        <v>-1</v>
      </c>
      <c r="W7" s="1108">
        <f>Q7/1/3</f>
        <v>0.33333333333333331</v>
      </c>
      <c r="X7" s="1109">
        <f t="shared" ref="X7:Y8" si="1">R7/1/3</f>
        <v>0.33333333333333331</v>
      </c>
      <c r="Y7" s="1110">
        <f t="shared" si="1"/>
        <v>0.33333333333333331</v>
      </c>
      <c r="Z7" s="1111">
        <f>T7/1/3</f>
        <v>-0.33333333333333331</v>
      </c>
      <c r="AA7" s="1109">
        <f t="shared" ref="AA7:AB7" si="2">U7/1/3</f>
        <v>-0.33333333333333331</v>
      </c>
      <c r="AB7" s="1110">
        <f t="shared" si="2"/>
        <v>-0.33333333333333331</v>
      </c>
    </row>
    <row r="8" spans="1:28" ht="39.950000000000003" customHeight="1" x14ac:dyDescent="0.2">
      <c r="A8" s="1112">
        <v>2</v>
      </c>
      <c r="B8" s="1113" t="str">
        <f>'Cert Juego gramo &lt;'!B60</f>
        <v>2</v>
      </c>
      <c r="C8" s="1113" t="str">
        <f>'Cert Juego gramo &lt;'!C60</f>
        <v>2 g</v>
      </c>
      <c r="D8" s="1060" t="e">
        <f>'Cert Juego gramo &lt;'!D60</f>
        <v>#N/A</v>
      </c>
      <c r="E8" s="1114" t="e">
        <f>'2 g &lt;'!I75</f>
        <v>#DIV/0!</v>
      </c>
      <c r="F8" s="1181">
        <f t="shared" ref="F8:F26" si="3">H8/1/3</f>
        <v>0.39999999999999997</v>
      </c>
      <c r="G8" s="1259"/>
      <c r="H8" s="1028">
        <f>'Cert Juego gramo &lt;'!F60</f>
        <v>1.2</v>
      </c>
      <c r="I8" s="1028">
        <v>-1.2</v>
      </c>
      <c r="J8" s="1115" t="e">
        <f t="shared" ref="J8:J25" si="4">_xlfn.NORM.S.DIST(M8,1)</f>
        <v>#N/A</v>
      </c>
      <c r="K8" s="1116" t="e">
        <f t="shared" ref="K8:K26" si="5">1-J8</f>
        <v>#N/A</v>
      </c>
      <c r="L8" s="243" t="e">
        <f t="shared" si="0"/>
        <v>#N/A</v>
      </c>
      <c r="M8" s="1117" t="e">
        <f t="shared" ref="M8:M26" si="6">(H8-L8)/(E8/2)</f>
        <v>#N/A</v>
      </c>
      <c r="N8" s="1118" t="e">
        <f t="shared" ref="N8:N22" si="7">H8-E8</f>
        <v>#DIV/0!</v>
      </c>
      <c r="O8" s="1000" t="e">
        <f t="shared" ref="O8:O26" si="8">IF(AND(J8&gt;=97.5%,K8&lt;=2.5%,E8&lt;=F8),"SI","NO")</f>
        <v>#N/A</v>
      </c>
      <c r="P8" s="997"/>
      <c r="Q8" s="1182">
        <f>'DATOS &lt;'!$D$94</f>
        <v>1.2</v>
      </c>
      <c r="R8" s="1183">
        <f>'DATOS &lt;'!$D$94</f>
        <v>1.2</v>
      </c>
      <c r="S8" s="1184">
        <f>'DATOS &lt;'!$D$94</f>
        <v>1.2</v>
      </c>
      <c r="T8" s="1182">
        <f>-$Q$8</f>
        <v>-1.2</v>
      </c>
      <c r="U8" s="1183">
        <f>-$Q$8</f>
        <v>-1.2</v>
      </c>
      <c r="V8" s="1184">
        <f>-$Q$8</f>
        <v>-1.2</v>
      </c>
      <c r="W8" s="1124">
        <f>Q8/1/3</f>
        <v>0.39999999999999997</v>
      </c>
      <c r="X8" s="1125">
        <f t="shared" si="1"/>
        <v>0.39999999999999997</v>
      </c>
      <c r="Y8" s="1126">
        <f t="shared" si="1"/>
        <v>0.39999999999999997</v>
      </c>
      <c r="Z8" s="1122">
        <f t="shared" ref="Z8:Z20" si="9">T8/1/3</f>
        <v>-0.39999999999999997</v>
      </c>
      <c r="AA8" s="1120">
        <f t="shared" ref="AA8:AA20" si="10">U8/1/3</f>
        <v>-0.39999999999999997</v>
      </c>
      <c r="AB8" s="1121">
        <f t="shared" ref="AB8:AB20" si="11">V8/1/3</f>
        <v>-0.39999999999999997</v>
      </c>
    </row>
    <row r="9" spans="1:28" ht="39.950000000000003" customHeight="1" x14ac:dyDescent="0.2">
      <c r="A9" s="1112">
        <v>3</v>
      </c>
      <c r="B9" s="1113" t="str">
        <f>'Cert Juego gramo &lt;'!B61</f>
        <v>2*</v>
      </c>
      <c r="C9" s="1113" t="str">
        <f>'Cert Juego gramo &lt;'!C61</f>
        <v>2 g</v>
      </c>
      <c r="D9" s="1060" t="e">
        <f>'Cert Juego gramo &lt;'!D61</f>
        <v>#N/A</v>
      </c>
      <c r="E9" s="1114" t="e">
        <f>'2 g + &lt;'!I75</f>
        <v>#DIV/0!</v>
      </c>
      <c r="F9" s="1181">
        <f t="shared" si="3"/>
        <v>0.39999999999999997</v>
      </c>
      <c r="G9" s="1181"/>
      <c r="H9" s="1028">
        <f>'Cert Juego gramo &lt;'!F61</f>
        <v>1.2</v>
      </c>
      <c r="I9" s="1028">
        <v>-1.2</v>
      </c>
      <c r="J9" s="1115" t="e">
        <f t="shared" si="4"/>
        <v>#N/A</v>
      </c>
      <c r="K9" s="1116" t="e">
        <f t="shared" si="5"/>
        <v>#N/A</v>
      </c>
      <c r="L9" s="243" t="e">
        <f t="shared" si="0"/>
        <v>#N/A</v>
      </c>
      <c r="M9" s="1117" t="e">
        <f t="shared" si="6"/>
        <v>#N/A</v>
      </c>
      <c r="N9" s="1118" t="e">
        <f t="shared" si="7"/>
        <v>#DIV/0!</v>
      </c>
      <c r="O9" s="1000" t="e">
        <f t="shared" si="8"/>
        <v>#N/A</v>
      </c>
      <c r="P9" s="997"/>
      <c r="Q9" s="1182">
        <f>'DATOS &lt;'!$D$96</f>
        <v>1.6</v>
      </c>
      <c r="R9" s="1183">
        <f>'DATOS &lt;'!$D$96</f>
        <v>1.6</v>
      </c>
      <c r="S9" s="1184">
        <f>'DATOS &lt;'!$D$96</f>
        <v>1.6</v>
      </c>
      <c r="T9" s="1182">
        <f>-$Q$9</f>
        <v>-1.6</v>
      </c>
      <c r="U9" s="1183">
        <f>-$Q$9</f>
        <v>-1.6</v>
      </c>
      <c r="V9" s="1184">
        <f>-$Q$9</f>
        <v>-1.6</v>
      </c>
      <c r="W9" s="1124">
        <f t="shared" ref="W9:W20" si="12">Q9/1/3</f>
        <v>0.53333333333333333</v>
      </c>
      <c r="X9" s="1125">
        <f t="shared" ref="X9:X20" si="13">R9/1/3</f>
        <v>0.53333333333333333</v>
      </c>
      <c r="Y9" s="1126">
        <f t="shared" ref="Y9:Y20" si="14">S9/1/3</f>
        <v>0.53333333333333333</v>
      </c>
      <c r="Z9" s="1122">
        <f t="shared" si="9"/>
        <v>-0.53333333333333333</v>
      </c>
      <c r="AA9" s="1120">
        <f t="shared" si="10"/>
        <v>-0.53333333333333333</v>
      </c>
      <c r="AB9" s="1121">
        <f t="shared" si="11"/>
        <v>-0.53333333333333333</v>
      </c>
    </row>
    <row r="10" spans="1:28" ht="39.950000000000003" customHeight="1" x14ac:dyDescent="0.2">
      <c r="A10" s="1112">
        <v>4</v>
      </c>
      <c r="B10" s="1113" t="str">
        <f>'Cert Juego gramo &lt;'!B62</f>
        <v>5 g</v>
      </c>
      <c r="C10" s="1113" t="str">
        <f>'Cert Juego gramo &lt;'!C62</f>
        <v xml:space="preserve">5 g </v>
      </c>
      <c r="D10" s="1060" t="e">
        <f>'Cert Juego gramo &lt;'!D62</f>
        <v>#N/A</v>
      </c>
      <c r="E10" s="1114" t="e">
        <f>'5 g &lt;'!I75</f>
        <v>#DIV/0!</v>
      </c>
      <c r="F10" s="1181">
        <f t="shared" si="3"/>
        <v>0.53333333333333333</v>
      </c>
      <c r="G10" s="1181"/>
      <c r="H10" s="1028">
        <f>'Cert Juego gramo &lt;'!F62</f>
        <v>1.6</v>
      </c>
      <c r="I10" s="1028">
        <v>-1.6</v>
      </c>
      <c r="J10" s="1115" t="e">
        <f t="shared" si="4"/>
        <v>#N/A</v>
      </c>
      <c r="K10" s="1116" t="e">
        <f t="shared" si="5"/>
        <v>#N/A</v>
      </c>
      <c r="L10" s="243" t="e">
        <f t="shared" si="0"/>
        <v>#N/A</v>
      </c>
      <c r="M10" s="1117" t="e">
        <f t="shared" si="6"/>
        <v>#N/A</v>
      </c>
      <c r="N10" s="1118" t="e">
        <f t="shared" si="7"/>
        <v>#DIV/0!</v>
      </c>
      <c r="O10" s="1000" t="e">
        <f t="shared" si="8"/>
        <v>#N/A</v>
      </c>
      <c r="P10" s="237"/>
      <c r="Q10" s="1124">
        <f>'DATOS &lt;'!$D$97</f>
        <v>2</v>
      </c>
      <c r="R10" s="1125">
        <f>'DATOS &lt;'!$D$97</f>
        <v>2</v>
      </c>
      <c r="S10" s="1185">
        <f>'DATOS &lt;'!$D$97</f>
        <v>2</v>
      </c>
      <c r="T10" s="1124">
        <f>-$Q$10</f>
        <v>-2</v>
      </c>
      <c r="U10" s="1125">
        <f>-$Q$10</f>
        <v>-2</v>
      </c>
      <c r="V10" s="1185">
        <f>-$Q$10</f>
        <v>-2</v>
      </c>
      <c r="W10" s="1124">
        <f t="shared" si="12"/>
        <v>0.66666666666666663</v>
      </c>
      <c r="X10" s="1125">
        <f t="shared" si="13"/>
        <v>0.66666666666666663</v>
      </c>
      <c r="Y10" s="1126">
        <f t="shared" si="14"/>
        <v>0.66666666666666663</v>
      </c>
      <c r="Z10" s="1122">
        <f t="shared" si="9"/>
        <v>-0.66666666666666663</v>
      </c>
      <c r="AA10" s="1120">
        <f t="shared" si="10"/>
        <v>-0.66666666666666663</v>
      </c>
      <c r="AB10" s="1121">
        <f t="shared" si="11"/>
        <v>-0.66666666666666663</v>
      </c>
    </row>
    <row r="11" spans="1:28" ht="39.950000000000003" customHeight="1" x14ac:dyDescent="0.2">
      <c r="A11" s="1112">
        <v>5</v>
      </c>
      <c r="B11" s="1113" t="str">
        <f>'Cert Juego gramo &lt;'!B63</f>
        <v>10 g</v>
      </c>
      <c r="C11" s="1113" t="str">
        <f>'Cert Juego gramo &lt;'!C63</f>
        <v>10 g</v>
      </c>
      <c r="D11" s="1060" t="e">
        <f>'Cert Juego gramo &lt;'!D63</f>
        <v>#N/A</v>
      </c>
      <c r="E11" s="1114" t="e">
        <f>'10 g &lt;'!I75</f>
        <v>#DIV/0!</v>
      </c>
      <c r="F11" s="1181">
        <f t="shared" si="3"/>
        <v>0.66666666666666663</v>
      </c>
      <c r="G11" s="1181"/>
      <c r="H11" s="1028">
        <f>'Cert Juego gramo &lt;'!F63</f>
        <v>2</v>
      </c>
      <c r="I11" s="1028">
        <v>-2</v>
      </c>
      <c r="J11" s="1115" t="e">
        <f t="shared" si="4"/>
        <v>#N/A</v>
      </c>
      <c r="K11" s="1116" t="e">
        <f t="shared" si="5"/>
        <v>#N/A</v>
      </c>
      <c r="L11" s="243" t="e">
        <f t="shared" si="0"/>
        <v>#N/A</v>
      </c>
      <c r="M11" s="1117" t="e">
        <f t="shared" si="6"/>
        <v>#N/A</v>
      </c>
      <c r="N11" s="1118" t="e">
        <f t="shared" si="7"/>
        <v>#DIV/0!</v>
      </c>
      <c r="O11" s="1000" t="e">
        <f t="shared" si="8"/>
        <v>#N/A</v>
      </c>
      <c r="P11" s="237"/>
      <c r="Q11" s="1182">
        <f>'DATOS &lt;'!$D$98</f>
        <v>2.5</v>
      </c>
      <c r="R11" s="1183">
        <f>'DATOS &lt;'!$D$98</f>
        <v>2.5</v>
      </c>
      <c r="S11" s="1184">
        <f>'DATOS &lt;'!$D$98</f>
        <v>2.5</v>
      </c>
      <c r="T11" s="1182">
        <f>-$Q$11</f>
        <v>-2.5</v>
      </c>
      <c r="U11" s="1183">
        <f>-$Q$11</f>
        <v>-2.5</v>
      </c>
      <c r="V11" s="1184">
        <f>-$Q$11</f>
        <v>-2.5</v>
      </c>
      <c r="W11" s="1124">
        <f t="shared" si="12"/>
        <v>0.83333333333333337</v>
      </c>
      <c r="X11" s="1125">
        <f t="shared" si="13"/>
        <v>0.83333333333333337</v>
      </c>
      <c r="Y11" s="1126">
        <f t="shared" si="14"/>
        <v>0.83333333333333337</v>
      </c>
      <c r="Z11" s="1122">
        <f t="shared" si="9"/>
        <v>-0.83333333333333337</v>
      </c>
      <c r="AA11" s="1120">
        <f t="shared" si="10"/>
        <v>-0.83333333333333337</v>
      </c>
      <c r="AB11" s="1121">
        <f t="shared" si="11"/>
        <v>-0.83333333333333337</v>
      </c>
    </row>
    <row r="12" spans="1:28" ht="39.950000000000003" customHeight="1" x14ac:dyDescent="0.2">
      <c r="A12" s="1112">
        <v>6</v>
      </c>
      <c r="B12" s="1113" t="str">
        <f>'Cert Juego gramo &lt;'!B64</f>
        <v>20 g</v>
      </c>
      <c r="C12" s="1113" t="str">
        <f>'Cert Juego gramo &lt;'!C64</f>
        <v>20 g</v>
      </c>
      <c r="D12" s="1060" t="e">
        <f>'Cert Juego gramo &lt;'!D64</f>
        <v>#N/A</v>
      </c>
      <c r="E12" s="1114" t="e">
        <f>'20 g &lt;'!I75</f>
        <v>#DIV/0!</v>
      </c>
      <c r="F12" s="1181">
        <f t="shared" si="3"/>
        <v>0.83333333333333337</v>
      </c>
      <c r="G12" s="1181"/>
      <c r="H12" s="1028">
        <f>'Cert Juego gramo &lt;'!F64</f>
        <v>2.5</v>
      </c>
      <c r="I12" s="1028">
        <v>-2.5</v>
      </c>
      <c r="J12" s="1115" t="e">
        <f t="shared" si="4"/>
        <v>#N/A</v>
      </c>
      <c r="K12" s="1116" t="e">
        <f t="shared" si="5"/>
        <v>#N/A</v>
      </c>
      <c r="L12" s="243" t="e">
        <f t="shared" si="0"/>
        <v>#N/A</v>
      </c>
      <c r="M12" s="1117" t="e">
        <f t="shared" si="6"/>
        <v>#N/A</v>
      </c>
      <c r="N12" s="1118" t="e">
        <f t="shared" si="7"/>
        <v>#DIV/0!</v>
      </c>
      <c r="O12" s="1000" t="e">
        <f t="shared" si="8"/>
        <v>#N/A</v>
      </c>
      <c r="P12" s="237"/>
      <c r="Q12" s="1124">
        <f>'DATOS &lt;'!$D$100</f>
        <v>3</v>
      </c>
      <c r="R12" s="1125">
        <f>'DATOS &lt;'!$D$100</f>
        <v>3</v>
      </c>
      <c r="S12" s="1185">
        <f>'DATOS &lt;'!$D$100</f>
        <v>3</v>
      </c>
      <c r="T12" s="1124">
        <f>-$Q$12</f>
        <v>-3</v>
      </c>
      <c r="U12" s="1125">
        <f>-$Q$12</f>
        <v>-3</v>
      </c>
      <c r="V12" s="1185">
        <f>-$Q$12</f>
        <v>-3</v>
      </c>
      <c r="W12" s="1124">
        <f t="shared" si="12"/>
        <v>1</v>
      </c>
      <c r="X12" s="1125">
        <f t="shared" si="13"/>
        <v>1</v>
      </c>
      <c r="Y12" s="1126">
        <f t="shared" si="14"/>
        <v>1</v>
      </c>
      <c r="Z12" s="1122">
        <f t="shared" si="9"/>
        <v>-1</v>
      </c>
      <c r="AA12" s="1120">
        <f t="shared" si="10"/>
        <v>-1</v>
      </c>
      <c r="AB12" s="1121">
        <f t="shared" si="11"/>
        <v>-1</v>
      </c>
    </row>
    <row r="13" spans="1:28" ht="39.950000000000003" customHeight="1" x14ac:dyDescent="0.2">
      <c r="A13" s="1112">
        <v>7</v>
      </c>
      <c r="B13" s="1113" t="str">
        <f>'Cert Juego gramo &lt;'!B65</f>
        <v xml:space="preserve">20 g* </v>
      </c>
      <c r="C13" s="1113" t="str">
        <f>'Cert Juego gramo &lt;'!C65</f>
        <v>20 g</v>
      </c>
      <c r="D13" s="1060" t="e">
        <f>'Cert Juego gramo &lt;'!D65</f>
        <v>#N/A</v>
      </c>
      <c r="E13" s="1114" t="e">
        <f>'20 g + &lt;'!I75</f>
        <v>#DIV/0!</v>
      </c>
      <c r="F13" s="1181">
        <f t="shared" si="3"/>
        <v>0.83333333333333337</v>
      </c>
      <c r="G13" s="1181"/>
      <c r="H13" s="1028">
        <f>'Cert Juego gramo &lt;'!F65</f>
        <v>2.5</v>
      </c>
      <c r="I13" s="1028">
        <v>-2.5</v>
      </c>
      <c r="J13" s="1115" t="e">
        <f t="shared" si="4"/>
        <v>#N/A</v>
      </c>
      <c r="K13" s="1116" t="e">
        <f t="shared" si="5"/>
        <v>#N/A</v>
      </c>
      <c r="L13" s="243" t="e">
        <f t="shared" si="0"/>
        <v>#N/A</v>
      </c>
      <c r="M13" s="1117" t="e">
        <f t="shared" si="6"/>
        <v>#N/A</v>
      </c>
      <c r="N13" s="1118" t="e">
        <f t="shared" si="7"/>
        <v>#DIV/0!</v>
      </c>
      <c r="O13" s="1000" t="e">
        <f t="shared" si="8"/>
        <v>#N/A</v>
      </c>
      <c r="P13" s="237"/>
      <c r="Q13" s="1124">
        <f>'DATOS &lt;'!$D$101</f>
        <v>5</v>
      </c>
      <c r="R13" s="1125">
        <f>'DATOS &lt;'!$D$101</f>
        <v>5</v>
      </c>
      <c r="S13" s="1185">
        <f>'DATOS &lt;'!$D$101</f>
        <v>5</v>
      </c>
      <c r="T13" s="1124">
        <f>-$Q$13</f>
        <v>-5</v>
      </c>
      <c r="U13" s="1125">
        <f>-$Q$13</f>
        <v>-5</v>
      </c>
      <c r="V13" s="1185">
        <f>-$Q$13</f>
        <v>-5</v>
      </c>
      <c r="W13" s="1124">
        <f t="shared" si="12"/>
        <v>1.6666666666666667</v>
      </c>
      <c r="X13" s="1125">
        <f t="shared" si="13"/>
        <v>1.6666666666666667</v>
      </c>
      <c r="Y13" s="1126">
        <f t="shared" si="14"/>
        <v>1.6666666666666667</v>
      </c>
      <c r="Z13" s="1122">
        <f t="shared" si="9"/>
        <v>-1.6666666666666667</v>
      </c>
      <c r="AA13" s="1120">
        <f t="shared" si="10"/>
        <v>-1.6666666666666667</v>
      </c>
      <c r="AB13" s="1121">
        <f t="shared" si="11"/>
        <v>-1.6666666666666667</v>
      </c>
    </row>
    <row r="14" spans="1:28" ht="39.950000000000003" customHeight="1" x14ac:dyDescent="0.2">
      <c r="A14" s="1112">
        <v>8</v>
      </c>
      <c r="B14" s="1113" t="str">
        <f>'Cert Juego gramo &lt;'!B66</f>
        <v>50 g</v>
      </c>
      <c r="C14" s="1113" t="str">
        <f>'Cert Juego gramo &lt;'!C66</f>
        <v>50 g</v>
      </c>
      <c r="D14" s="1028" t="e">
        <f>'Cert Juego gramo &lt;'!D66</f>
        <v>#N/A</v>
      </c>
      <c r="E14" s="1123" t="e">
        <f>'50 g &lt;'!I75</f>
        <v>#DIV/0!</v>
      </c>
      <c r="F14" s="1186">
        <f t="shared" si="3"/>
        <v>1</v>
      </c>
      <c r="G14" s="1186"/>
      <c r="H14" s="1028">
        <f>'Cert Juego gramo &lt;'!F66</f>
        <v>3</v>
      </c>
      <c r="I14" s="1028">
        <v>-3</v>
      </c>
      <c r="J14" s="1115" t="e">
        <f t="shared" si="4"/>
        <v>#N/A</v>
      </c>
      <c r="K14" s="1116" t="e">
        <f t="shared" si="5"/>
        <v>#N/A</v>
      </c>
      <c r="L14" s="243" t="e">
        <f t="shared" si="0"/>
        <v>#N/A</v>
      </c>
      <c r="M14" s="1117" t="e">
        <f t="shared" si="6"/>
        <v>#N/A</v>
      </c>
      <c r="N14" s="1118" t="e">
        <f t="shared" si="7"/>
        <v>#DIV/0!</v>
      </c>
      <c r="O14" s="1000" t="e">
        <f t="shared" si="8"/>
        <v>#N/A</v>
      </c>
      <c r="P14" s="237"/>
      <c r="Q14" s="1187">
        <f>'DATOS &lt;'!$D$102</f>
        <v>10</v>
      </c>
      <c r="R14" s="1188">
        <f>'DATOS &lt;'!$D$102</f>
        <v>10</v>
      </c>
      <c r="S14" s="1189">
        <f>'DATOS &lt;'!$D$102</f>
        <v>10</v>
      </c>
      <c r="T14" s="1187">
        <f>-$Q$14</f>
        <v>-10</v>
      </c>
      <c r="U14" s="1188">
        <f>-$Q$14</f>
        <v>-10</v>
      </c>
      <c r="V14" s="1189">
        <f>-$Q$14</f>
        <v>-10</v>
      </c>
      <c r="W14" s="1124">
        <f t="shared" si="12"/>
        <v>3.3333333333333335</v>
      </c>
      <c r="X14" s="1125">
        <f t="shared" si="13"/>
        <v>3.3333333333333335</v>
      </c>
      <c r="Y14" s="1126">
        <f t="shared" si="14"/>
        <v>3.3333333333333335</v>
      </c>
      <c r="Z14" s="1122">
        <f t="shared" si="9"/>
        <v>-3.3333333333333335</v>
      </c>
      <c r="AA14" s="1120">
        <f t="shared" si="10"/>
        <v>-3.3333333333333335</v>
      </c>
      <c r="AB14" s="1121">
        <f t="shared" si="11"/>
        <v>-3.3333333333333335</v>
      </c>
    </row>
    <row r="15" spans="1:28" ht="39.950000000000003" customHeight="1" x14ac:dyDescent="0.2">
      <c r="A15" s="1112">
        <v>9</v>
      </c>
      <c r="B15" s="1192" t="str">
        <f>'Cert Juego gramo &lt;'!B67</f>
        <v>100 g M LMS R</v>
      </c>
      <c r="C15" s="1113" t="str">
        <f>'Cert Juego gramo &lt;'!C67</f>
        <v>100 g</v>
      </c>
      <c r="D15" s="1028" t="e">
        <f>'Cert Juego gramo &lt;'!D67</f>
        <v>#N/A</v>
      </c>
      <c r="E15" s="1123" t="e">
        <f>'100 g &lt;'!I75</f>
        <v>#DIV/0!</v>
      </c>
      <c r="F15" s="1186">
        <f t="shared" si="3"/>
        <v>1.6666666666666667</v>
      </c>
      <c r="G15" s="1186"/>
      <c r="H15" s="1028">
        <f>'Cert Juego gramo &lt;'!F67</f>
        <v>5</v>
      </c>
      <c r="I15" s="1028">
        <v>-5</v>
      </c>
      <c r="J15" s="1115" t="e">
        <f t="shared" si="4"/>
        <v>#N/A</v>
      </c>
      <c r="K15" s="1116" t="e">
        <f t="shared" si="5"/>
        <v>#N/A</v>
      </c>
      <c r="L15" s="243" t="e">
        <f t="shared" si="0"/>
        <v>#N/A</v>
      </c>
      <c r="M15" s="1117" t="e">
        <f t="shared" si="6"/>
        <v>#N/A</v>
      </c>
      <c r="N15" s="1118" t="e">
        <f t="shared" si="7"/>
        <v>#DIV/0!</v>
      </c>
      <c r="O15" s="1000" t="e">
        <f t="shared" si="8"/>
        <v>#N/A</v>
      </c>
      <c r="P15" s="237"/>
      <c r="Q15" s="1182">
        <f>'DATOS &lt;'!$D$104</f>
        <v>25</v>
      </c>
      <c r="R15" s="1183">
        <f>'DATOS &lt;'!$D$104</f>
        <v>25</v>
      </c>
      <c r="S15" s="1184">
        <f>'DATOS &lt;'!$D$104</f>
        <v>25</v>
      </c>
      <c r="T15" s="1182">
        <f>-$Q$15</f>
        <v>-25</v>
      </c>
      <c r="U15" s="1183">
        <f>-$Q$15</f>
        <v>-25</v>
      </c>
      <c r="V15" s="1184">
        <f>-$Q$15</f>
        <v>-25</v>
      </c>
      <c r="W15" s="1124">
        <f t="shared" si="12"/>
        <v>8.3333333333333339</v>
      </c>
      <c r="X15" s="1125">
        <f t="shared" si="13"/>
        <v>8.3333333333333339</v>
      </c>
      <c r="Y15" s="1126">
        <f t="shared" si="14"/>
        <v>8.3333333333333339</v>
      </c>
      <c r="Z15" s="1122">
        <f t="shared" si="9"/>
        <v>-8.3333333333333339</v>
      </c>
      <c r="AA15" s="1120">
        <f t="shared" si="10"/>
        <v>-8.3333333333333339</v>
      </c>
      <c r="AB15" s="1121">
        <f t="shared" si="11"/>
        <v>-8.3333333333333339</v>
      </c>
    </row>
    <row r="16" spans="1:28" ht="39.950000000000003" customHeight="1" x14ac:dyDescent="0.2">
      <c r="A16" s="1112">
        <v>10</v>
      </c>
      <c r="B16" s="1192" t="str">
        <f>'Cert Juego gramo &lt;'!B68</f>
        <v>200 g M LMS R</v>
      </c>
      <c r="C16" s="1113" t="str">
        <f>'Cert Juego gramo &lt;'!C68</f>
        <v>200 g</v>
      </c>
      <c r="D16" s="1028" t="e">
        <f>'Cert Juego gramo &lt;'!D68</f>
        <v>#N/A</v>
      </c>
      <c r="E16" s="1123" t="e">
        <f>'200 g &lt;'!I75</f>
        <v>#DIV/0!</v>
      </c>
      <c r="F16" s="1186">
        <f t="shared" si="3"/>
        <v>3.3333333333333335</v>
      </c>
      <c r="G16" s="1186"/>
      <c r="H16" s="1028">
        <f>'Cert Juego gramo &lt;'!F68</f>
        <v>10</v>
      </c>
      <c r="I16" s="1033">
        <v>-10</v>
      </c>
      <c r="J16" s="1115" t="e">
        <f>_xlfn.NORM.S.DIST(M16,1)</f>
        <v>#N/A</v>
      </c>
      <c r="K16" s="1116" t="e">
        <f t="shared" si="5"/>
        <v>#N/A</v>
      </c>
      <c r="L16" s="243" t="e">
        <f t="shared" si="0"/>
        <v>#N/A</v>
      </c>
      <c r="M16" s="1117" t="e">
        <f t="shared" si="6"/>
        <v>#N/A</v>
      </c>
      <c r="N16" s="1118" t="e">
        <f t="shared" si="7"/>
        <v>#DIV/0!</v>
      </c>
      <c r="O16" s="1000" t="e">
        <f t="shared" si="8"/>
        <v>#N/A</v>
      </c>
      <c r="P16" s="237"/>
      <c r="Q16" s="1182">
        <f>'DATOS &lt;'!$D$105</f>
        <v>50</v>
      </c>
      <c r="R16" s="1183">
        <f>'DATOS &lt;'!$D$105</f>
        <v>50</v>
      </c>
      <c r="S16" s="1184">
        <f>'DATOS &lt;'!$D$105</f>
        <v>50</v>
      </c>
      <c r="T16" s="1182">
        <f>-$Q$16</f>
        <v>-50</v>
      </c>
      <c r="U16" s="1183">
        <f>-$Q$16</f>
        <v>-50</v>
      </c>
      <c r="V16" s="1184">
        <f>-$Q$16</f>
        <v>-50</v>
      </c>
      <c r="W16" s="1124">
        <f t="shared" si="12"/>
        <v>16.666666666666668</v>
      </c>
      <c r="X16" s="1125">
        <f t="shared" si="13"/>
        <v>16.666666666666668</v>
      </c>
      <c r="Y16" s="1126">
        <f t="shared" si="14"/>
        <v>16.666666666666668</v>
      </c>
      <c r="Z16" s="1122">
        <f t="shared" si="9"/>
        <v>-16.666666666666668</v>
      </c>
      <c r="AA16" s="1120">
        <f t="shared" si="10"/>
        <v>-16.666666666666668</v>
      </c>
      <c r="AB16" s="1121">
        <f t="shared" si="11"/>
        <v>-16.666666666666668</v>
      </c>
    </row>
    <row r="17" spans="1:28" ht="39.950000000000003" customHeight="1" x14ac:dyDescent="0.2">
      <c r="A17" s="1112">
        <v>11</v>
      </c>
      <c r="B17" s="1192" t="str">
        <f>'Cert Juego gramo &lt;'!B69</f>
        <v>200 g* M LMS R</v>
      </c>
      <c r="C17" s="1113" t="str">
        <f>'Cert Juego gramo &lt;'!C69</f>
        <v>200 g</v>
      </c>
      <c r="D17" s="1028" t="e">
        <f>'Cert Juego gramo &lt;'!D69</f>
        <v>#N/A</v>
      </c>
      <c r="E17" s="1123" t="e">
        <f>'200 g + &lt;'!I75</f>
        <v>#DIV/0!</v>
      </c>
      <c r="F17" s="1186">
        <f t="shared" si="3"/>
        <v>3.3333333333333335</v>
      </c>
      <c r="G17" s="1186"/>
      <c r="H17" s="1028">
        <f>'Cert Juego gramo &lt;'!F69</f>
        <v>10</v>
      </c>
      <c r="I17" s="1033">
        <v>-10</v>
      </c>
      <c r="J17" s="1115" t="e">
        <f t="shared" si="4"/>
        <v>#N/A</v>
      </c>
      <c r="K17" s="1116" t="e">
        <f t="shared" si="5"/>
        <v>#N/A</v>
      </c>
      <c r="L17" s="243" t="e">
        <f t="shared" si="0"/>
        <v>#N/A</v>
      </c>
      <c r="M17" s="1117" t="e">
        <f t="shared" si="6"/>
        <v>#N/A</v>
      </c>
      <c r="N17" s="1118" t="e">
        <f t="shared" si="7"/>
        <v>#DIV/0!</v>
      </c>
      <c r="O17" s="1000" t="e">
        <f t="shared" si="8"/>
        <v>#N/A</v>
      </c>
      <c r="P17" s="237"/>
      <c r="Q17" s="1182">
        <f>'DATOS &lt;'!$D$106</f>
        <v>100</v>
      </c>
      <c r="R17" s="1183">
        <f>'DATOS &lt;'!$D$106</f>
        <v>100</v>
      </c>
      <c r="S17" s="1184">
        <f>'DATOS &lt;'!$D$106</f>
        <v>100</v>
      </c>
      <c r="T17" s="1182">
        <f>-$Q$17</f>
        <v>-100</v>
      </c>
      <c r="U17" s="1183">
        <f>-$Q$17</f>
        <v>-100</v>
      </c>
      <c r="V17" s="1184">
        <f>-$Q$17</f>
        <v>-100</v>
      </c>
      <c r="W17" s="1124">
        <f t="shared" si="12"/>
        <v>33.333333333333336</v>
      </c>
      <c r="X17" s="1125">
        <f t="shared" si="13"/>
        <v>33.333333333333336</v>
      </c>
      <c r="Y17" s="1126">
        <f t="shared" si="14"/>
        <v>33.333333333333336</v>
      </c>
      <c r="Z17" s="1122">
        <f t="shared" si="9"/>
        <v>-33.333333333333336</v>
      </c>
      <c r="AA17" s="1120">
        <f t="shared" si="10"/>
        <v>-33.333333333333336</v>
      </c>
      <c r="AB17" s="1121">
        <f t="shared" si="11"/>
        <v>-33.333333333333336</v>
      </c>
    </row>
    <row r="18" spans="1:28" ht="39.950000000000003" customHeight="1" x14ac:dyDescent="0.2">
      <c r="A18" s="1112">
        <v>12</v>
      </c>
      <c r="B18" s="1192" t="str">
        <f>'Cert Juego gramo &lt;'!B70</f>
        <v>500 g M LMS R</v>
      </c>
      <c r="C18" s="1113" t="str">
        <f>'Cert Juego gramo &lt;'!C70</f>
        <v>500 g</v>
      </c>
      <c r="D18" s="1033" t="e">
        <f>'Cert Juego gramo &lt;'!D70</f>
        <v>#N/A</v>
      </c>
      <c r="E18" s="1251" t="e">
        <f>'500 g &lt;'!I75</f>
        <v>#DIV/0!</v>
      </c>
      <c r="F18" s="1186">
        <f t="shared" si="3"/>
        <v>8.3333333333333339</v>
      </c>
      <c r="G18" s="1186"/>
      <c r="H18" s="1028">
        <f>'Cert Juego gramo &lt;'!F70</f>
        <v>25</v>
      </c>
      <c r="I18" s="1033">
        <v>-25</v>
      </c>
      <c r="J18" s="1115" t="e">
        <f>_xlfn.NORM.S.DIST(M18,1)</f>
        <v>#N/A</v>
      </c>
      <c r="K18" s="1116" t="e">
        <f>1-J18</f>
        <v>#N/A</v>
      </c>
      <c r="L18" s="243" t="e">
        <f t="shared" si="0"/>
        <v>#N/A</v>
      </c>
      <c r="M18" s="1117" t="e">
        <f t="shared" si="6"/>
        <v>#N/A</v>
      </c>
      <c r="N18" s="1118" t="e">
        <f t="shared" si="7"/>
        <v>#DIV/0!</v>
      </c>
      <c r="O18" s="1000" t="e">
        <f t="shared" si="8"/>
        <v>#N/A</v>
      </c>
      <c r="P18" s="237"/>
      <c r="Q18" s="1182">
        <f>'DATOS &lt;'!$D$108</f>
        <v>250</v>
      </c>
      <c r="R18" s="1183">
        <f>'DATOS &lt;'!$D$108</f>
        <v>250</v>
      </c>
      <c r="S18" s="1184">
        <f>'DATOS &lt;'!$D$108</f>
        <v>250</v>
      </c>
      <c r="T18" s="1182">
        <f>-$Q$18</f>
        <v>-250</v>
      </c>
      <c r="U18" s="1183">
        <f>-$Q$18</f>
        <v>-250</v>
      </c>
      <c r="V18" s="1184">
        <f>-$Q$18</f>
        <v>-250</v>
      </c>
      <c r="W18" s="1124">
        <f t="shared" si="12"/>
        <v>83.333333333333329</v>
      </c>
      <c r="X18" s="1125">
        <f t="shared" si="13"/>
        <v>83.333333333333329</v>
      </c>
      <c r="Y18" s="1126">
        <f t="shared" si="14"/>
        <v>83.333333333333329</v>
      </c>
      <c r="Z18" s="1122">
        <f t="shared" si="9"/>
        <v>-83.333333333333329</v>
      </c>
      <c r="AA18" s="1120">
        <f t="shared" si="10"/>
        <v>-83.333333333333329</v>
      </c>
      <c r="AB18" s="1121">
        <f t="shared" si="11"/>
        <v>-83.333333333333329</v>
      </c>
    </row>
    <row r="19" spans="1:28" ht="39.950000000000003" customHeight="1" x14ac:dyDescent="0.2">
      <c r="A19" s="1112">
        <v>13</v>
      </c>
      <c r="B19" s="1192" t="str">
        <f>'Cert Juego gramo &lt;'!B71</f>
        <v>1 kg M LMS R</v>
      </c>
      <c r="C19" s="1113" t="str">
        <f>'Cert Juego gramo &lt;'!C71</f>
        <v>1 kg</v>
      </c>
      <c r="D19" s="1033" t="e">
        <f>'Cert Juego gramo &lt;'!D71</f>
        <v>#N/A</v>
      </c>
      <c r="E19" s="1251" t="e">
        <f>'1 kg &lt;'!I75</f>
        <v>#DIV/0!</v>
      </c>
      <c r="F19" s="1190">
        <f t="shared" si="3"/>
        <v>16.666666666666668</v>
      </c>
      <c r="G19" s="1190"/>
      <c r="H19" s="1028">
        <f>'Cert Juego gramo &lt;'!F71</f>
        <v>50</v>
      </c>
      <c r="I19" s="1028">
        <v>-50</v>
      </c>
      <c r="J19" s="1115" t="e">
        <f>_xlfn.NORM.S.DIST(M19,1)</f>
        <v>#N/A</v>
      </c>
      <c r="K19" s="1116" t="e">
        <f>1-J19</f>
        <v>#N/A</v>
      </c>
      <c r="L19" s="243" t="e">
        <f t="shared" si="0"/>
        <v>#N/A</v>
      </c>
      <c r="M19" s="1117" t="e">
        <f t="shared" si="6"/>
        <v>#N/A</v>
      </c>
      <c r="N19" s="1118" t="e">
        <f t="shared" si="7"/>
        <v>#DIV/0!</v>
      </c>
      <c r="O19" s="1000" t="e">
        <f t="shared" si="8"/>
        <v>#N/A</v>
      </c>
      <c r="P19" s="237"/>
      <c r="Q19" s="1119">
        <f>'DATOS &lt;'!$D$109</f>
        <v>0.5</v>
      </c>
      <c r="R19" s="1120">
        <f>'DATOS &lt;'!$D$109</f>
        <v>0.5</v>
      </c>
      <c r="S19" s="1191">
        <f>'DATOS &lt;'!$D$109</f>
        <v>0.5</v>
      </c>
      <c r="T19" s="1119">
        <f>-$Q$19</f>
        <v>-0.5</v>
      </c>
      <c r="U19" s="1120">
        <f>-$Q$19</f>
        <v>-0.5</v>
      </c>
      <c r="V19" s="1191">
        <f>-$Q$19</f>
        <v>-0.5</v>
      </c>
      <c r="W19" s="1124">
        <f t="shared" si="12"/>
        <v>0.16666666666666666</v>
      </c>
      <c r="X19" s="1125">
        <f t="shared" si="13"/>
        <v>0.16666666666666666</v>
      </c>
      <c r="Y19" s="1126">
        <f t="shared" si="14"/>
        <v>0.16666666666666666</v>
      </c>
      <c r="Z19" s="1122">
        <f t="shared" si="9"/>
        <v>-0.16666666666666666</v>
      </c>
      <c r="AA19" s="1120">
        <f t="shared" si="10"/>
        <v>-0.16666666666666666</v>
      </c>
      <c r="AB19" s="1121">
        <f t="shared" si="11"/>
        <v>-0.16666666666666666</v>
      </c>
    </row>
    <row r="20" spans="1:28" ht="39.950000000000003" customHeight="1" thickBot="1" x14ac:dyDescent="0.25">
      <c r="A20" s="1112">
        <v>14</v>
      </c>
      <c r="B20" s="1192" t="str">
        <f>'Cert Juego gramo &lt;'!B72</f>
        <v>2 kg M LMS R</v>
      </c>
      <c r="C20" s="1113" t="str">
        <f>'Cert Juego gramo &lt;'!C72</f>
        <v>2 kg</v>
      </c>
      <c r="D20" s="1033" t="e">
        <f>'Cert Juego gramo &lt;'!D72</f>
        <v>#N/A</v>
      </c>
      <c r="E20" s="1252" t="e">
        <f>'2 kg &lt;'!I75</f>
        <v>#DIV/0!</v>
      </c>
      <c r="F20" s="1190">
        <f t="shared" si="3"/>
        <v>33.333333333333336</v>
      </c>
      <c r="G20" s="1190"/>
      <c r="H20" s="1028">
        <f>'Cert Juego gramo &lt;'!F72</f>
        <v>100</v>
      </c>
      <c r="I20" s="1028">
        <v>-100</v>
      </c>
      <c r="J20" s="1115" t="e">
        <f t="shared" si="4"/>
        <v>#N/A</v>
      </c>
      <c r="K20" s="1116" t="e">
        <f t="shared" si="5"/>
        <v>#N/A</v>
      </c>
      <c r="L20" s="243" t="e">
        <f t="shared" si="0"/>
        <v>#N/A</v>
      </c>
      <c r="M20" s="1117" t="e">
        <f t="shared" si="6"/>
        <v>#N/A</v>
      </c>
      <c r="N20" s="1118" t="e">
        <f t="shared" si="7"/>
        <v>#DIV/0!</v>
      </c>
      <c r="O20" s="1000" t="e">
        <f t="shared" si="8"/>
        <v>#N/A</v>
      </c>
      <c r="P20" s="237"/>
      <c r="Q20" s="1193">
        <f>'DATOS &lt;'!$D$110</f>
        <v>1</v>
      </c>
      <c r="R20" s="1194">
        <f>'DATOS &lt;'!$D$110</f>
        <v>1</v>
      </c>
      <c r="S20" s="1195">
        <f>'DATOS &lt;'!$D$110</f>
        <v>1</v>
      </c>
      <c r="T20" s="1193">
        <f>-$Q$20</f>
        <v>-1</v>
      </c>
      <c r="U20" s="1194">
        <f>-$Q$20</f>
        <v>-1</v>
      </c>
      <c r="V20" s="1195">
        <f>-$Q$20</f>
        <v>-1</v>
      </c>
      <c r="W20" s="1140">
        <f t="shared" si="12"/>
        <v>0.33333333333333331</v>
      </c>
      <c r="X20" s="1141">
        <f t="shared" si="13"/>
        <v>0.33333333333333331</v>
      </c>
      <c r="Y20" s="1142">
        <f t="shared" si="14"/>
        <v>0.33333333333333331</v>
      </c>
      <c r="Z20" s="1246">
        <f t="shared" si="9"/>
        <v>-0.33333333333333331</v>
      </c>
      <c r="AA20" s="1244">
        <f t="shared" si="10"/>
        <v>-0.33333333333333331</v>
      </c>
      <c r="AB20" s="1245">
        <f t="shared" si="11"/>
        <v>-0.33333333333333331</v>
      </c>
    </row>
    <row r="21" spans="1:28" ht="39.950000000000003" customHeight="1" x14ac:dyDescent="0.2">
      <c r="A21" s="1112">
        <v>15</v>
      </c>
      <c r="B21" s="1192" t="str">
        <f>'Cert Juego gramo &lt;'!B73</f>
        <v>2 kg* M LMS R</v>
      </c>
      <c r="C21" s="1113" t="str">
        <f>'Cert Juego gramo &lt;'!C73</f>
        <v>2 kg</v>
      </c>
      <c r="D21" s="1033" t="e">
        <f>'Cert Juego gramo &lt;'!D73</f>
        <v>#N/A</v>
      </c>
      <c r="E21" s="1252" t="e">
        <f>'2 kg + &lt;'!I75</f>
        <v>#DIV/0!</v>
      </c>
      <c r="F21" s="1190">
        <f t="shared" si="3"/>
        <v>33.333333333333336</v>
      </c>
      <c r="G21" s="1190"/>
      <c r="H21" s="1028">
        <f>'Cert Juego gramo &lt;'!F73</f>
        <v>100</v>
      </c>
      <c r="I21" s="1028">
        <v>-100</v>
      </c>
      <c r="J21" s="1115" t="e">
        <f t="shared" si="4"/>
        <v>#N/A</v>
      </c>
      <c r="K21" s="1116" t="e">
        <f t="shared" si="5"/>
        <v>#N/A</v>
      </c>
      <c r="L21" s="243" t="e">
        <f t="shared" si="0"/>
        <v>#N/A</v>
      </c>
      <c r="M21" s="1117" t="e">
        <f t="shared" si="6"/>
        <v>#N/A</v>
      </c>
      <c r="N21" s="1118" t="e">
        <f t="shared" si="7"/>
        <v>#DIV/0!</v>
      </c>
      <c r="O21" s="1000" t="e">
        <f t="shared" si="8"/>
        <v>#N/A</v>
      </c>
      <c r="P21" s="237"/>
      <c r="Q21" s="237"/>
      <c r="R21" s="237"/>
      <c r="S21" s="237"/>
      <c r="T21" s="237"/>
      <c r="U21" s="1100"/>
      <c r="V21" s="1100"/>
      <c r="W21" s="1100"/>
      <c r="X21" s="1100"/>
      <c r="Y21" s="1100"/>
    </row>
    <row r="22" spans="1:28" ht="39.950000000000003" customHeight="1" x14ac:dyDescent="0.2">
      <c r="A22" s="1112">
        <v>16</v>
      </c>
      <c r="B22" s="1192" t="str">
        <f>'Cert Juego gramo &lt;'!B74</f>
        <v>5 kg M LMS R</v>
      </c>
      <c r="C22" s="1113" t="str">
        <f>'Cert Juego gramo &lt;'!C74</f>
        <v>5 kg</v>
      </c>
      <c r="D22" s="1033" t="e">
        <f>'Cert Juego gramo &lt;'!D74</f>
        <v>#N/A</v>
      </c>
      <c r="E22" s="1252" t="e">
        <f>'5 kg &lt;'!I75</f>
        <v>#DIV/0!</v>
      </c>
      <c r="F22" s="1190">
        <f t="shared" si="3"/>
        <v>83.333333333333329</v>
      </c>
      <c r="G22" s="1190"/>
      <c r="H22" s="1033">
        <f>'Cert Juego gramo &lt;'!F74</f>
        <v>250</v>
      </c>
      <c r="I22" s="1033">
        <v>-250</v>
      </c>
      <c r="J22" s="1115" t="e">
        <f t="shared" si="4"/>
        <v>#N/A</v>
      </c>
      <c r="K22" s="1116" t="e">
        <f t="shared" si="5"/>
        <v>#N/A</v>
      </c>
      <c r="L22" s="243" t="e">
        <f t="shared" si="0"/>
        <v>#N/A</v>
      </c>
      <c r="M22" s="1117" t="e">
        <f t="shared" si="6"/>
        <v>#N/A</v>
      </c>
      <c r="N22" s="1192" t="e">
        <f t="shared" si="7"/>
        <v>#DIV/0!</v>
      </c>
      <c r="O22" s="1000" t="e">
        <f t="shared" si="8"/>
        <v>#N/A</v>
      </c>
      <c r="P22" s="237"/>
      <c r="Q22" s="237"/>
      <c r="R22" s="237"/>
      <c r="S22" s="237"/>
      <c r="T22" s="237"/>
      <c r="U22" s="1100"/>
      <c r="V22" s="1100"/>
      <c r="W22" s="1100"/>
      <c r="X22" s="1100"/>
      <c r="Y22" s="1100"/>
    </row>
    <row r="23" spans="1:28" ht="39.950000000000003" customHeight="1" x14ac:dyDescent="0.2">
      <c r="A23" s="1112">
        <v>17</v>
      </c>
      <c r="B23" s="1192" t="str">
        <f>'Cert Juego gramo &lt;'!B75</f>
        <v>10 kg M LMS &amp;</v>
      </c>
      <c r="C23" s="1113" t="str">
        <f>'Cert Juego gramo &lt;'!C75</f>
        <v>10 kg</v>
      </c>
      <c r="D23" s="1035" t="e">
        <f>'Cert Juego gramo &lt;'!D75</f>
        <v>#N/A</v>
      </c>
      <c r="E23" s="1253" t="e">
        <f>'10 kg &lt;'!I76</f>
        <v>#DIV/0!</v>
      </c>
      <c r="F23" s="1181">
        <f t="shared" si="3"/>
        <v>0.16666666666666666</v>
      </c>
      <c r="G23" s="1181"/>
      <c r="H23" s="1035">
        <f>'Cert Juego gramo &lt;'!F75</f>
        <v>0.5</v>
      </c>
      <c r="I23" s="1035">
        <v>-0.5</v>
      </c>
      <c r="J23" s="1115" t="e">
        <f t="shared" si="4"/>
        <v>#N/A</v>
      </c>
      <c r="K23" s="1116" t="e">
        <f t="shared" si="5"/>
        <v>#N/A</v>
      </c>
      <c r="L23" s="243" t="e">
        <f t="shared" si="0"/>
        <v>#N/A</v>
      </c>
      <c r="M23" s="1117" t="e">
        <f t="shared" si="6"/>
        <v>#N/A</v>
      </c>
      <c r="N23" s="1118" t="e">
        <f>H23-E23</f>
        <v>#DIV/0!</v>
      </c>
      <c r="O23" s="1000" t="e">
        <f t="shared" si="8"/>
        <v>#N/A</v>
      </c>
      <c r="P23" s="237"/>
      <c r="Q23" s="237"/>
      <c r="R23" s="237"/>
      <c r="S23" s="237"/>
      <c r="T23" s="237"/>
      <c r="U23" s="1100"/>
      <c r="V23" s="1100"/>
      <c r="W23" s="1100"/>
      <c r="X23" s="1100"/>
      <c r="Y23" s="1100"/>
    </row>
    <row r="24" spans="1:28" ht="39.950000000000003" customHeight="1" x14ac:dyDescent="0.2">
      <c r="A24" s="1112">
        <v>18</v>
      </c>
      <c r="B24" s="1192" t="str">
        <f>' Certi 5 kg &lt; (C)'!B59</f>
        <v>5 kg Pex</v>
      </c>
      <c r="C24" s="1117" t="str">
        <f>' Certi 5 kg &lt; (C)'!C59</f>
        <v>5 kg</v>
      </c>
      <c r="D24" s="1035" t="e">
        <f>' Certi 5 kg &lt; (C)'!D59</f>
        <v>#N/A</v>
      </c>
      <c r="E24" s="1254" t="e">
        <f>'5 kg &lt; (C)'!I75</f>
        <v>#DIV/0!</v>
      </c>
      <c r="F24" s="1190">
        <f t="shared" si="3"/>
        <v>83.333333333333329</v>
      </c>
      <c r="G24" s="1190"/>
      <c r="H24" s="1196">
        <f>' Certi 5 kg &lt; (C)'!F59</f>
        <v>250</v>
      </c>
      <c r="I24" s="1196">
        <v>-250</v>
      </c>
      <c r="J24" s="1115" t="e">
        <f t="shared" si="4"/>
        <v>#N/A</v>
      </c>
      <c r="K24" s="1116" t="e">
        <f t="shared" si="5"/>
        <v>#N/A</v>
      </c>
      <c r="L24" s="243" t="e">
        <f t="shared" si="0"/>
        <v>#N/A</v>
      </c>
      <c r="M24" s="1117" t="e">
        <f t="shared" si="6"/>
        <v>#N/A</v>
      </c>
      <c r="N24" s="1192" t="e">
        <f>H24-E24</f>
        <v>#DIV/0!</v>
      </c>
      <c r="O24" s="1000" t="e">
        <f t="shared" si="8"/>
        <v>#N/A</v>
      </c>
      <c r="P24" s="237"/>
      <c r="Q24" s="237"/>
      <c r="R24" s="237"/>
      <c r="S24" s="237"/>
      <c r="T24" s="237"/>
      <c r="U24" s="1100"/>
      <c r="V24" s="1100"/>
      <c r="W24" s="1100"/>
      <c r="X24" s="1100"/>
      <c r="Y24" s="1100"/>
    </row>
    <row r="25" spans="1:28" ht="39.950000000000003" customHeight="1" x14ac:dyDescent="0.2">
      <c r="A25" s="1112">
        <v>19</v>
      </c>
      <c r="B25" s="1192" t="str">
        <f>'Certi 10 kg &lt; (C)'!B58</f>
        <v>10 kg Pex</v>
      </c>
      <c r="C25" s="1192" t="str">
        <f>'Certi 10 kg &lt; (C)'!C58</f>
        <v>10 kg</v>
      </c>
      <c r="D25" s="1035" t="e">
        <f>'Certi 10 kg &lt; (C)'!D58</f>
        <v>#N/A</v>
      </c>
      <c r="E25" s="1253" t="e">
        <f>'10 kg &lt; (C)'!I76</f>
        <v>#DIV/0!</v>
      </c>
      <c r="F25" s="1181">
        <f t="shared" si="3"/>
        <v>0.16666666666666666</v>
      </c>
      <c r="G25" s="1181"/>
      <c r="H25" s="1035">
        <f>'Certi 10 kg &lt; (C)'!F58</f>
        <v>0.5</v>
      </c>
      <c r="I25" s="1035">
        <v>-0.5</v>
      </c>
      <c r="J25" s="1115" t="e">
        <f t="shared" si="4"/>
        <v>#N/A</v>
      </c>
      <c r="K25" s="1116" t="e">
        <f t="shared" si="5"/>
        <v>#N/A</v>
      </c>
      <c r="L25" s="243" t="e">
        <f t="shared" si="0"/>
        <v>#N/A</v>
      </c>
      <c r="M25" s="1117" t="e">
        <f t="shared" si="6"/>
        <v>#N/A</v>
      </c>
      <c r="N25" s="1118" t="e">
        <f>H25-E25</f>
        <v>#DIV/0!</v>
      </c>
      <c r="O25" s="1000" t="e">
        <f t="shared" si="8"/>
        <v>#N/A</v>
      </c>
      <c r="P25" s="237"/>
      <c r="Q25" s="237"/>
      <c r="R25" s="237"/>
      <c r="S25" s="237"/>
      <c r="T25" s="237"/>
      <c r="U25" s="1100"/>
      <c r="V25" s="1100"/>
      <c r="W25" s="1100"/>
      <c r="X25" s="1100"/>
      <c r="Y25" s="1100"/>
    </row>
    <row r="26" spans="1:28" ht="39.950000000000003" customHeight="1" thickBot="1" x14ac:dyDescent="0.25">
      <c r="A26" s="1131">
        <v>20</v>
      </c>
      <c r="B26" s="1197" t="str">
        <f>'Certi 20 kg &lt; (C)'!B58</f>
        <v>20 kg Pex</v>
      </c>
      <c r="C26" s="1197" t="str">
        <f>'Certi 20 kg &lt; (C)'!C58</f>
        <v>20 kg</v>
      </c>
      <c r="D26" s="1198" t="e">
        <f>'Certi 20 kg &lt; (C)'!D58</f>
        <v>#N/A</v>
      </c>
      <c r="E26" s="1255" t="e">
        <f>'20 kg &lt; (C)'!J76</f>
        <v>#DIV/0!</v>
      </c>
      <c r="F26" s="1199">
        <f t="shared" si="3"/>
        <v>0.33333333333333331</v>
      </c>
      <c r="G26" s="1181"/>
      <c r="H26" s="1198">
        <f>'Certi 20 kg &lt; (C)'!F58</f>
        <v>1</v>
      </c>
      <c r="I26" s="1198">
        <v>-1</v>
      </c>
      <c r="J26" s="1136" t="e">
        <f>_xlfn.NORM.S.DIST(M26,1)</f>
        <v>#N/A</v>
      </c>
      <c r="K26" s="1137" t="e">
        <f t="shared" si="5"/>
        <v>#N/A</v>
      </c>
      <c r="L26" s="244" t="e">
        <f t="shared" si="0"/>
        <v>#N/A</v>
      </c>
      <c r="M26" s="1138" t="e">
        <f t="shared" si="6"/>
        <v>#N/A</v>
      </c>
      <c r="N26" s="1139" t="e">
        <f>H26-E26</f>
        <v>#DIV/0!</v>
      </c>
      <c r="O26" s="1001" t="e">
        <f t="shared" si="8"/>
        <v>#N/A</v>
      </c>
      <c r="P26" s="237"/>
      <c r="Q26" s="237"/>
      <c r="R26" s="237"/>
      <c r="S26" s="237"/>
      <c r="T26" s="237"/>
      <c r="U26" s="1100"/>
      <c r="V26" s="1100"/>
      <c r="W26" s="1100"/>
      <c r="X26" s="1100"/>
      <c r="Y26" s="1100"/>
    </row>
    <row r="27" spans="1:28" ht="30" customHeight="1" x14ac:dyDescent="0.2">
      <c r="A27" s="1100"/>
      <c r="B27" s="1100"/>
      <c r="C27" s="1100"/>
      <c r="D27" s="1100"/>
      <c r="E27" s="1100"/>
      <c r="F27" s="1100"/>
      <c r="G27" s="1100"/>
      <c r="H27" s="1100"/>
      <c r="I27" s="1100"/>
      <c r="J27" s="1100"/>
      <c r="K27" s="1100"/>
      <c r="L27" s="237"/>
      <c r="M27" s="237"/>
      <c r="N27" s="237"/>
      <c r="O27" s="237"/>
      <c r="P27" s="237"/>
      <c r="Q27" s="237"/>
      <c r="R27" s="237"/>
      <c r="S27" s="237"/>
      <c r="T27" s="237"/>
      <c r="U27" s="1100"/>
      <c r="V27" s="1100"/>
      <c r="W27" s="1100"/>
      <c r="X27" s="1100"/>
      <c r="Y27" s="1100"/>
    </row>
    <row r="28" spans="1:28" ht="30" customHeight="1" x14ac:dyDescent="0.2">
      <c r="A28" s="237"/>
      <c r="B28" s="237"/>
      <c r="C28" s="237"/>
      <c r="D28" s="237"/>
      <c r="E28" s="237"/>
      <c r="F28" s="237"/>
      <c r="G28" s="237"/>
      <c r="H28" s="237"/>
      <c r="I28" s="237"/>
      <c r="J28" s="237"/>
      <c r="K28" s="237"/>
      <c r="L28" s="237"/>
      <c r="M28" s="237"/>
      <c r="N28" s="237"/>
      <c r="O28" s="237"/>
      <c r="P28" s="237"/>
      <c r="Q28" s="237"/>
      <c r="R28" s="237"/>
      <c r="S28" s="237"/>
      <c r="T28" s="237"/>
      <c r="U28" s="1100"/>
      <c r="V28" s="1100"/>
      <c r="W28" s="1100"/>
      <c r="X28" s="1100"/>
      <c r="Y28" s="1100"/>
    </row>
    <row r="29" spans="1:28" ht="30" customHeight="1" x14ac:dyDescent="0.2">
      <c r="A29" s="245"/>
      <c r="B29" s="245"/>
      <c r="C29" s="245"/>
      <c r="D29" s="245"/>
      <c r="E29" s="245"/>
      <c r="F29" s="245"/>
      <c r="G29" s="245"/>
      <c r="H29" s="245"/>
      <c r="I29" s="245"/>
      <c r="J29" s="245"/>
      <c r="K29" s="245"/>
      <c r="L29" s="245"/>
      <c r="M29" s="245"/>
      <c r="N29" s="245"/>
      <c r="O29" s="237"/>
      <c r="P29" s="237"/>
      <c r="Q29" s="237"/>
      <c r="R29" s="237"/>
      <c r="S29" s="237"/>
      <c r="T29" s="237"/>
      <c r="U29" s="1100"/>
      <c r="V29" s="1100"/>
      <c r="W29" s="1100"/>
      <c r="X29" s="1100"/>
      <c r="Y29" s="1100"/>
    </row>
    <row r="30" spans="1:28" ht="30" customHeight="1" x14ac:dyDescent="0.2">
      <c r="A30" s="246"/>
      <c r="B30" s="246"/>
      <c r="C30" s="246"/>
      <c r="D30" s="246"/>
      <c r="E30" s="246"/>
      <c r="F30" s="246"/>
      <c r="G30" s="246"/>
      <c r="H30" s="246"/>
      <c r="I30" s="246"/>
      <c r="J30" s="246"/>
      <c r="K30" s="246"/>
      <c r="L30" s="246"/>
      <c r="M30" s="246"/>
      <c r="N30" s="246"/>
      <c r="O30" s="237"/>
      <c r="P30" s="237"/>
      <c r="Q30" s="237"/>
      <c r="R30" s="237"/>
      <c r="S30" s="237"/>
      <c r="T30" s="237"/>
      <c r="U30" s="1100"/>
      <c r="V30" s="1100"/>
      <c r="W30" s="1100"/>
      <c r="X30" s="1100"/>
      <c r="Y30" s="1100"/>
    </row>
    <row r="31" spans="1:28" ht="30" customHeight="1" x14ac:dyDescent="0.2">
      <c r="A31" s="246"/>
      <c r="B31" s="246"/>
      <c r="C31" s="246"/>
      <c r="D31" s="246"/>
      <c r="E31" s="246"/>
      <c r="F31" s="246"/>
      <c r="G31" s="246"/>
      <c r="H31" s="246"/>
      <c r="I31" s="246"/>
      <c r="J31" s="246"/>
      <c r="K31" s="246"/>
      <c r="L31" s="246"/>
      <c r="M31" s="246"/>
      <c r="N31" s="246"/>
      <c r="O31" s="237"/>
      <c r="P31" s="237"/>
      <c r="Q31" s="237"/>
      <c r="R31" s="237"/>
      <c r="S31" s="237"/>
      <c r="T31" s="237"/>
      <c r="U31" s="1100"/>
      <c r="V31" s="1100"/>
      <c r="W31" s="1100"/>
      <c r="X31" s="1100"/>
      <c r="Y31" s="1100"/>
    </row>
    <row r="32" spans="1:28" ht="30" customHeight="1" x14ac:dyDescent="0.2">
      <c r="A32" s="246"/>
      <c r="B32" s="246"/>
      <c r="C32" s="246"/>
      <c r="D32" s="246"/>
      <c r="E32" s="246"/>
      <c r="F32" s="246"/>
      <c r="G32" s="246"/>
      <c r="H32" s="246"/>
      <c r="I32" s="246"/>
      <c r="J32" s="246"/>
      <c r="K32" s="246"/>
      <c r="L32" s="246"/>
      <c r="M32" s="246"/>
      <c r="N32" s="246"/>
      <c r="O32" s="237"/>
      <c r="P32" s="237"/>
      <c r="Q32" s="237"/>
      <c r="R32" s="237"/>
      <c r="S32" s="237"/>
      <c r="T32" s="237"/>
      <c r="U32" s="1100"/>
      <c r="V32" s="1100"/>
      <c r="W32" s="1100"/>
      <c r="X32" s="1100"/>
      <c r="Y32" s="1100"/>
    </row>
    <row r="33" spans="1:20" ht="30" customHeight="1" x14ac:dyDescent="0.2">
      <c r="A33" s="246"/>
      <c r="B33" s="246"/>
      <c r="C33" s="246"/>
      <c r="D33" s="246"/>
      <c r="E33" s="246"/>
      <c r="F33" s="246"/>
      <c r="G33" s="246"/>
      <c r="H33" s="246"/>
      <c r="I33" s="246"/>
      <c r="J33" s="246"/>
      <c r="K33" s="246"/>
      <c r="L33" s="246"/>
      <c r="M33" s="246"/>
      <c r="N33" s="246"/>
      <c r="O33" s="237"/>
      <c r="P33" s="237"/>
      <c r="Q33" s="237"/>
      <c r="R33" s="237"/>
      <c r="S33" s="237"/>
      <c r="T33" s="237"/>
    </row>
    <row r="34" spans="1:20" ht="30" customHeight="1" x14ac:dyDescent="0.2">
      <c r="A34" s="246"/>
      <c r="B34" s="246"/>
      <c r="C34" s="246"/>
      <c r="D34" s="246"/>
      <c r="E34" s="246"/>
      <c r="F34" s="246"/>
      <c r="G34" s="246"/>
      <c r="H34" s="246"/>
      <c r="I34" s="246"/>
      <c r="J34" s="246"/>
      <c r="K34" s="246"/>
      <c r="L34" s="246"/>
      <c r="M34" s="246"/>
      <c r="N34" s="246"/>
      <c r="O34" s="237"/>
      <c r="P34" s="237"/>
      <c r="Q34" s="237"/>
      <c r="R34" s="237"/>
      <c r="S34" s="237"/>
      <c r="T34" s="237"/>
    </row>
    <row r="35" spans="1:20" ht="30" customHeight="1" x14ac:dyDescent="0.2">
      <c r="A35" s="246"/>
      <c r="B35" s="246"/>
      <c r="C35" s="246"/>
      <c r="D35" s="246"/>
      <c r="E35" s="246"/>
      <c r="F35" s="246"/>
      <c r="G35" s="246"/>
      <c r="H35" s="246"/>
      <c r="I35" s="246"/>
      <c r="J35" s="246"/>
      <c r="K35" s="246"/>
      <c r="L35" s="246"/>
      <c r="M35" s="246"/>
      <c r="N35" s="246"/>
      <c r="O35" s="237"/>
      <c r="P35" s="237"/>
      <c r="Q35" s="237"/>
      <c r="R35" s="237"/>
      <c r="S35" s="237"/>
      <c r="T35" s="237"/>
    </row>
    <row r="36" spans="1:20" ht="30" customHeight="1" x14ac:dyDescent="0.2">
      <c r="A36" s="246"/>
      <c r="B36" s="246"/>
      <c r="C36" s="246"/>
      <c r="D36" s="246"/>
      <c r="E36" s="246"/>
      <c r="F36" s="246"/>
      <c r="G36" s="246"/>
      <c r="H36" s="246"/>
      <c r="I36" s="246"/>
      <c r="J36" s="246"/>
      <c r="K36" s="246"/>
      <c r="L36" s="246"/>
      <c r="M36" s="246"/>
      <c r="N36" s="246"/>
      <c r="O36" s="237"/>
      <c r="P36" s="237"/>
      <c r="Q36" s="237"/>
      <c r="R36" s="237"/>
      <c r="S36" s="237"/>
      <c r="T36" s="237"/>
    </row>
    <row r="37" spans="1:20" ht="30" customHeight="1" x14ac:dyDescent="0.2">
      <c r="A37" s="246"/>
      <c r="B37" s="246"/>
      <c r="C37" s="246"/>
      <c r="D37" s="246"/>
      <c r="E37" s="246"/>
      <c r="F37" s="246"/>
      <c r="G37" s="246"/>
      <c r="H37" s="246"/>
      <c r="I37" s="246"/>
      <c r="J37" s="246"/>
      <c r="K37" s="246"/>
      <c r="L37" s="246"/>
      <c r="M37" s="246"/>
      <c r="N37" s="246"/>
      <c r="O37" s="237"/>
      <c r="P37" s="237"/>
      <c r="Q37" s="237"/>
      <c r="R37" s="237"/>
      <c r="S37" s="237"/>
      <c r="T37" s="237"/>
    </row>
    <row r="38" spans="1:20" ht="30" customHeight="1" x14ac:dyDescent="0.2">
      <c r="A38" s="246"/>
      <c r="B38" s="246"/>
      <c r="C38" s="246"/>
      <c r="D38" s="246"/>
      <c r="E38" s="246"/>
      <c r="F38" s="246"/>
      <c r="G38" s="246"/>
      <c r="H38" s="246"/>
      <c r="I38" s="246"/>
      <c r="J38" s="246"/>
      <c r="K38" s="246"/>
      <c r="L38" s="246"/>
      <c r="M38" s="246"/>
      <c r="N38" s="246"/>
      <c r="O38" s="237"/>
      <c r="P38" s="237"/>
      <c r="Q38" s="237"/>
      <c r="R38" s="237"/>
      <c r="S38" s="237"/>
      <c r="T38" s="237"/>
    </row>
    <row r="39" spans="1:20" ht="30" customHeight="1" x14ac:dyDescent="0.2">
      <c r="A39" s="246"/>
      <c r="B39" s="246"/>
      <c r="C39" s="246"/>
      <c r="D39" s="246"/>
      <c r="E39" s="246"/>
      <c r="F39" s="246"/>
      <c r="G39" s="246"/>
      <c r="H39" s="246"/>
      <c r="I39" s="246"/>
      <c r="J39" s="246"/>
      <c r="K39" s="246"/>
      <c r="L39" s="246"/>
      <c r="M39" s="246"/>
      <c r="N39" s="246"/>
      <c r="O39" s="237"/>
      <c r="P39" s="237"/>
      <c r="Q39" s="237"/>
      <c r="R39" s="237"/>
      <c r="S39" s="237"/>
      <c r="T39" s="237"/>
    </row>
    <row r="40" spans="1:20" ht="30" customHeight="1" x14ac:dyDescent="0.2">
      <c r="A40" s="246"/>
      <c r="B40" s="246"/>
      <c r="C40" s="246"/>
      <c r="D40" s="246"/>
      <c r="E40" s="246"/>
      <c r="F40" s="246"/>
      <c r="G40" s="246"/>
      <c r="H40" s="246"/>
      <c r="I40" s="246"/>
      <c r="J40" s="246"/>
      <c r="K40" s="246"/>
      <c r="L40" s="246"/>
      <c r="M40" s="246"/>
      <c r="N40" s="246"/>
      <c r="O40" s="237"/>
      <c r="P40" s="237"/>
      <c r="Q40" s="237"/>
      <c r="R40" s="237"/>
      <c r="S40" s="237"/>
      <c r="T40" s="237"/>
    </row>
    <row r="41" spans="1:20" ht="30" customHeight="1" x14ac:dyDescent="0.2">
      <c r="A41" s="246"/>
      <c r="B41" s="246"/>
      <c r="C41" s="246"/>
      <c r="D41" s="246"/>
      <c r="E41" s="246"/>
      <c r="F41" s="246"/>
      <c r="G41" s="246"/>
      <c r="H41" s="246"/>
      <c r="I41" s="246"/>
      <c r="J41" s="246"/>
      <c r="K41" s="246"/>
      <c r="L41" s="246"/>
      <c r="M41" s="246"/>
      <c r="N41" s="246"/>
      <c r="O41" s="237"/>
      <c r="P41" s="237"/>
      <c r="Q41" s="237"/>
      <c r="R41" s="237"/>
      <c r="S41" s="237"/>
      <c r="T41" s="237"/>
    </row>
    <row r="42" spans="1:20" ht="30" customHeight="1" x14ac:dyDescent="0.2">
      <c r="A42" s="246"/>
      <c r="B42" s="246"/>
      <c r="C42" s="246"/>
      <c r="D42" s="246"/>
      <c r="E42" s="246"/>
      <c r="F42" s="246"/>
      <c r="G42" s="246"/>
      <c r="H42" s="246"/>
      <c r="I42" s="246"/>
      <c r="J42" s="246"/>
      <c r="K42" s="246"/>
      <c r="L42" s="246"/>
      <c r="M42" s="246"/>
      <c r="N42" s="246"/>
      <c r="O42" s="237"/>
      <c r="P42" s="237"/>
      <c r="Q42" s="237"/>
      <c r="R42" s="237"/>
      <c r="S42" s="237"/>
      <c r="T42" s="237"/>
    </row>
    <row r="43" spans="1:20" ht="30" customHeight="1" x14ac:dyDescent="0.2">
      <c r="A43" s="246"/>
      <c r="B43" s="246"/>
      <c r="C43" s="246"/>
      <c r="D43" s="246"/>
      <c r="E43" s="246"/>
      <c r="F43" s="246"/>
      <c r="G43" s="246"/>
      <c r="H43" s="246"/>
      <c r="I43" s="246"/>
      <c r="J43" s="246"/>
      <c r="K43" s="246"/>
      <c r="L43" s="246"/>
      <c r="M43" s="246"/>
      <c r="N43" s="246"/>
      <c r="O43" s="237"/>
      <c r="P43" s="237"/>
      <c r="Q43" s="237"/>
      <c r="R43" s="237"/>
      <c r="S43" s="237"/>
      <c r="T43" s="237"/>
    </row>
    <row r="44" spans="1:20" ht="30" customHeight="1" x14ac:dyDescent="0.2">
      <c r="A44" s="246"/>
      <c r="B44" s="246"/>
      <c r="C44" s="246"/>
      <c r="D44" s="246"/>
      <c r="E44" s="246"/>
      <c r="F44" s="246"/>
      <c r="G44" s="246"/>
      <c r="H44" s="246"/>
      <c r="I44" s="246"/>
      <c r="J44" s="246"/>
      <c r="K44" s="246"/>
      <c r="L44" s="246"/>
      <c r="M44" s="246"/>
      <c r="N44" s="246"/>
      <c r="O44" s="237"/>
      <c r="P44" s="237"/>
      <c r="Q44" s="237"/>
      <c r="R44" s="237"/>
      <c r="S44" s="237"/>
      <c r="T44" s="237"/>
    </row>
    <row r="45" spans="1:20" ht="30" customHeight="1" x14ac:dyDescent="0.2">
      <c r="A45" s="246"/>
      <c r="B45" s="246"/>
      <c r="C45" s="246"/>
      <c r="D45" s="246"/>
      <c r="E45" s="246"/>
      <c r="F45" s="246"/>
      <c r="G45" s="246"/>
      <c r="H45" s="246"/>
      <c r="I45" s="246"/>
      <c r="J45" s="246"/>
      <c r="K45" s="246"/>
      <c r="L45" s="246"/>
      <c r="M45" s="246"/>
      <c r="N45" s="246"/>
      <c r="O45" s="237"/>
      <c r="P45" s="237"/>
      <c r="Q45" s="237"/>
      <c r="R45" s="237"/>
      <c r="S45" s="237"/>
      <c r="T45" s="237"/>
    </row>
    <row r="46" spans="1:20" ht="30" customHeight="1" x14ac:dyDescent="0.2">
      <c r="A46" s="246"/>
      <c r="B46" s="246"/>
      <c r="C46" s="246"/>
      <c r="D46" s="246"/>
      <c r="E46" s="246"/>
      <c r="F46" s="246"/>
      <c r="G46" s="246"/>
      <c r="H46" s="246"/>
      <c r="I46" s="246"/>
      <c r="J46" s="246"/>
      <c r="K46" s="246"/>
      <c r="L46" s="246"/>
      <c r="M46" s="246"/>
      <c r="N46" s="246"/>
      <c r="O46" s="237"/>
      <c r="P46" s="237"/>
      <c r="Q46" s="237"/>
      <c r="R46" s="237"/>
      <c r="S46" s="237"/>
      <c r="T46" s="237"/>
    </row>
    <row r="47" spans="1:20" ht="30" customHeight="1" x14ac:dyDescent="0.2">
      <c r="A47" s="246"/>
      <c r="B47" s="246"/>
      <c r="C47" s="246"/>
      <c r="D47" s="246"/>
      <c r="E47" s="246"/>
      <c r="F47" s="246"/>
      <c r="G47" s="246"/>
      <c r="H47" s="246"/>
      <c r="I47" s="246"/>
      <c r="J47" s="246"/>
      <c r="K47" s="246"/>
      <c r="L47" s="246"/>
      <c r="M47" s="246"/>
      <c r="N47" s="246"/>
      <c r="O47" s="237"/>
      <c r="P47" s="237"/>
      <c r="Q47" s="237"/>
      <c r="R47" s="237"/>
      <c r="S47" s="237"/>
      <c r="T47" s="237"/>
    </row>
    <row r="48" spans="1:20" ht="30" customHeight="1" x14ac:dyDescent="0.2">
      <c r="A48" s="246"/>
      <c r="B48" s="246"/>
      <c r="C48" s="246"/>
      <c r="D48" s="246"/>
      <c r="E48" s="246"/>
      <c r="F48" s="246"/>
      <c r="G48" s="246"/>
      <c r="H48" s="246"/>
      <c r="I48" s="246"/>
      <c r="J48" s="246"/>
      <c r="K48" s="246"/>
      <c r="L48" s="246"/>
      <c r="M48" s="246"/>
      <c r="N48" s="246"/>
      <c r="O48" s="237"/>
      <c r="P48" s="237"/>
      <c r="Q48" s="237"/>
      <c r="R48" s="237"/>
      <c r="S48" s="237"/>
      <c r="T48" s="237"/>
    </row>
    <row r="49" spans="1:20" ht="30" customHeight="1" x14ac:dyDescent="0.2">
      <c r="A49" s="246"/>
      <c r="B49" s="246"/>
      <c r="C49" s="246"/>
      <c r="D49" s="246"/>
      <c r="E49" s="246"/>
      <c r="F49" s="246"/>
      <c r="G49" s="246"/>
      <c r="H49" s="246"/>
      <c r="I49" s="246"/>
      <c r="J49" s="246"/>
      <c r="K49" s="246"/>
      <c r="L49" s="246"/>
      <c r="M49" s="246"/>
      <c r="N49" s="246"/>
      <c r="O49" s="237"/>
      <c r="P49" s="237"/>
      <c r="Q49" s="237"/>
      <c r="R49" s="237"/>
      <c r="S49" s="237"/>
      <c r="T49" s="237"/>
    </row>
    <row r="50" spans="1:20" ht="30" customHeight="1" x14ac:dyDescent="0.2">
      <c r="A50" s="246"/>
      <c r="B50" s="246"/>
      <c r="C50" s="246"/>
      <c r="D50" s="246"/>
      <c r="E50" s="246"/>
      <c r="F50" s="246"/>
      <c r="G50" s="246"/>
      <c r="H50" s="246"/>
      <c r="I50" s="246"/>
      <c r="J50" s="246"/>
      <c r="K50" s="246"/>
      <c r="L50" s="246"/>
      <c r="M50" s="246"/>
      <c r="N50" s="246"/>
      <c r="O50" s="237"/>
      <c r="P50" s="237"/>
      <c r="Q50" s="237"/>
      <c r="R50" s="237"/>
      <c r="S50" s="237"/>
      <c r="T50" s="237"/>
    </row>
    <row r="51" spans="1:20" ht="30" customHeight="1" x14ac:dyDescent="0.2">
      <c r="A51" s="1155"/>
      <c r="B51" s="1156"/>
      <c r="C51" s="1156"/>
      <c r="D51" s="237"/>
      <c r="E51" s="237"/>
      <c r="F51" s="237"/>
      <c r="G51" s="237"/>
      <c r="H51" s="237"/>
      <c r="I51" s="237"/>
      <c r="J51" s="237"/>
      <c r="K51" s="237"/>
      <c r="L51" s="237"/>
      <c r="M51" s="237"/>
      <c r="N51" s="237"/>
      <c r="O51" s="237"/>
      <c r="P51" s="237"/>
      <c r="Q51" s="237"/>
      <c r="R51" s="237"/>
      <c r="S51" s="237"/>
      <c r="T51" s="237"/>
    </row>
    <row r="52" spans="1:20" ht="30" customHeight="1" x14ac:dyDescent="0.2">
      <c r="A52" s="1155"/>
      <c r="B52" s="1156"/>
      <c r="C52" s="1156"/>
      <c r="D52" s="237"/>
      <c r="E52" s="237"/>
      <c r="F52" s="237"/>
      <c r="G52" s="237"/>
      <c r="H52" s="237"/>
      <c r="I52" s="237"/>
      <c r="J52" s="237"/>
      <c r="K52" s="237"/>
      <c r="L52" s="237"/>
      <c r="M52" s="237"/>
      <c r="N52" s="237"/>
      <c r="O52" s="237"/>
      <c r="P52" s="237"/>
      <c r="Q52" s="237"/>
      <c r="R52" s="237"/>
      <c r="S52" s="237"/>
      <c r="T52" s="237"/>
    </row>
    <row r="53" spans="1:20" ht="30" customHeight="1" x14ac:dyDescent="0.2">
      <c r="A53" s="1155"/>
      <c r="B53" s="1156"/>
      <c r="C53" s="1156"/>
      <c r="D53" s="237"/>
      <c r="E53" s="237"/>
      <c r="F53" s="237"/>
      <c r="G53" s="237"/>
      <c r="H53" s="237"/>
      <c r="I53" s="237"/>
      <c r="J53" s="237"/>
      <c r="K53" s="237"/>
      <c r="L53" s="237"/>
      <c r="M53" s="237"/>
      <c r="N53" s="237"/>
      <c r="O53" s="237"/>
      <c r="P53" s="237"/>
      <c r="Q53" s="237"/>
      <c r="R53" s="237"/>
      <c r="S53" s="237"/>
      <c r="T53" s="237"/>
    </row>
    <row r="54" spans="1:20" ht="30" customHeight="1" x14ac:dyDescent="0.2">
      <c r="A54" s="1155"/>
      <c r="B54" s="1156"/>
      <c r="C54" s="1156"/>
      <c r="D54" s="237"/>
      <c r="E54" s="237"/>
      <c r="F54" s="237"/>
      <c r="G54" s="237"/>
      <c r="H54" s="237"/>
      <c r="I54" s="237"/>
      <c r="J54" s="237"/>
      <c r="K54" s="237"/>
      <c r="L54" s="237"/>
      <c r="M54" s="237"/>
      <c r="N54" s="237"/>
      <c r="O54" s="237"/>
      <c r="P54" s="237"/>
      <c r="Q54" s="237"/>
      <c r="R54" s="237"/>
      <c r="S54" s="237"/>
      <c r="T54" s="237"/>
    </row>
    <row r="55" spans="1:20" ht="30" customHeight="1" x14ac:dyDescent="0.2">
      <c r="A55" s="1155"/>
      <c r="B55" s="1156"/>
      <c r="C55" s="1156"/>
      <c r="D55" s="237"/>
      <c r="E55" s="237"/>
      <c r="F55" s="237"/>
      <c r="G55" s="237"/>
      <c r="H55" s="237"/>
      <c r="I55" s="237"/>
      <c r="J55" s="237"/>
      <c r="K55" s="237"/>
      <c r="L55" s="237"/>
      <c r="M55" s="237"/>
      <c r="N55" s="237"/>
      <c r="O55" s="237"/>
      <c r="P55" s="237"/>
      <c r="Q55" s="237"/>
      <c r="R55" s="237"/>
      <c r="S55" s="237"/>
      <c r="T55" s="237"/>
    </row>
    <row r="56" spans="1:20" ht="30" customHeight="1" x14ac:dyDescent="0.2">
      <c r="A56" s="1155"/>
      <c r="B56" s="1156"/>
      <c r="C56" s="1156"/>
      <c r="D56" s="237"/>
      <c r="E56" s="237"/>
      <c r="F56" s="237"/>
      <c r="G56" s="237"/>
      <c r="H56" s="237"/>
      <c r="I56" s="237"/>
      <c r="J56" s="237"/>
      <c r="K56" s="237"/>
      <c r="L56" s="237"/>
      <c r="M56" s="237"/>
      <c r="N56" s="237"/>
      <c r="O56" s="237"/>
      <c r="P56" s="237"/>
      <c r="Q56" s="237"/>
      <c r="R56" s="237"/>
      <c r="S56" s="237"/>
      <c r="T56" s="237"/>
    </row>
    <row r="57" spans="1:20" ht="30" customHeight="1" x14ac:dyDescent="0.2">
      <c r="A57" s="1155"/>
      <c r="B57" s="1156"/>
      <c r="C57" s="1156"/>
      <c r="D57" s="237"/>
      <c r="E57" s="237"/>
      <c r="F57" s="237"/>
      <c r="G57" s="237"/>
      <c r="H57" s="237"/>
      <c r="I57" s="237"/>
      <c r="J57" s="237"/>
      <c r="K57" s="237"/>
      <c r="L57" s="237"/>
      <c r="M57" s="237"/>
      <c r="N57" s="237"/>
      <c r="O57" s="237"/>
      <c r="P57" s="237"/>
      <c r="Q57" s="237"/>
      <c r="R57" s="237"/>
      <c r="S57" s="237"/>
      <c r="T57" s="237"/>
    </row>
    <row r="58" spans="1:20" ht="30" customHeight="1" x14ac:dyDescent="0.2">
      <c r="A58" s="1155"/>
      <c r="B58" s="1156"/>
      <c r="C58" s="1156"/>
      <c r="D58" s="237"/>
      <c r="E58" s="237"/>
      <c r="F58" s="237"/>
      <c r="G58" s="237"/>
      <c r="H58" s="237"/>
      <c r="I58" s="237"/>
      <c r="J58" s="237"/>
      <c r="K58" s="237"/>
      <c r="L58" s="237"/>
      <c r="M58" s="237"/>
      <c r="N58" s="237"/>
      <c r="O58" s="237"/>
      <c r="P58" s="237"/>
      <c r="Q58" s="237"/>
      <c r="R58" s="237"/>
      <c r="S58" s="237"/>
      <c r="T58" s="237"/>
    </row>
    <row r="59" spans="1:20" ht="30" customHeight="1" x14ac:dyDescent="0.2">
      <c r="A59" s="1155"/>
      <c r="B59" s="1156"/>
      <c r="C59" s="1156"/>
      <c r="D59" s="237"/>
      <c r="E59" s="237"/>
      <c r="F59" s="237"/>
      <c r="G59" s="237"/>
      <c r="H59" s="237"/>
      <c r="I59" s="237"/>
      <c r="J59" s="237"/>
      <c r="K59" s="237"/>
      <c r="L59" s="237"/>
      <c r="M59" s="237"/>
      <c r="N59" s="237"/>
      <c r="O59" s="237"/>
      <c r="P59" s="237"/>
      <c r="Q59" s="237"/>
      <c r="R59" s="237"/>
      <c r="S59" s="237"/>
      <c r="T59" s="237"/>
    </row>
    <row r="60" spans="1:20" ht="30" customHeight="1" x14ac:dyDescent="0.2">
      <c r="A60" s="1155"/>
      <c r="B60" s="1156"/>
      <c r="C60" s="1156"/>
      <c r="D60" s="237"/>
      <c r="E60" s="237"/>
      <c r="F60" s="237"/>
      <c r="G60" s="237"/>
      <c r="H60" s="237"/>
      <c r="I60" s="237"/>
      <c r="J60" s="237"/>
      <c r="K60" s="237"/>
      <c r="L60" s="237"/>
      <c r="M60" s="237"/>
      <c r="N60" s="237"/>
      <c r="O60" s="237"/>
      <c r="P60" s="237"/>
      <c r="Q60" s="237"/>
      <c r="R60" s="237"/>
      <c r="S60" s="237"/>
      <c r="T60" s="237"/>
    </row>
    <row r="61" spans="1:20" ht="30" customHeight="1" x14ac:dyDescent="0.2">
      <c r="A61" s="1155"/>
      <c r="B61" s="1156"/>
      <c r="C61" s="1156"/>
      <c r="D61" s="237"/>
      <c r="E61" s="237"/>
      <c r="F61" s="237"/>
      <c r="G61" s="237"/>
      <c r="H61" s="237"/>
      <c r="I61" s="237"/>
      <c r="J61" s="237"/>
      <c r="K61" s="237"/>
      <c r="L61" s="237"/>
      <c r="M61" s="237"/>
      <c r="N61" s="237"/>
      <c r="O61" s="237"/>
      <c r="P61" s="237"/>
      <c r="Q61" s="237"/>
      <c r="R61" s="237"/>
      <c r="S61" s="237"/>
      <c r="T61" s="237"/>
    </row>
    <row r="62" spans="1:20" ht="30" customHeight="1" x14ac:dyDescent="0.2">
      <c r="A62" s="1155"/>
      <c r="B62" s="1156"/>
      <c r="C62" s="1156"/>
      <c r="D62" s="237"/>
      <c r="E62" s="237"/>
      <c r="F62" s="237"/>
      <c r="G62" s="237"/>
      <c r="H62" s="237"/>
      <c r="I62" s="237"/>
      <c r="J62" s="237"/>
      <c r="K62" s="237"/>
      <c r="L62" s="237"/>
      <c r="M62" s="237"/>
      <c r="N62" s="237"/>
      <c r="O62" s="237"/>
      <c r="P62" s="237"/>
      <c r="Q62" s="237"/>
      <c r="R62" s="237"/>
      <c r="S62" s="237"/>
      <c r="T62" s="237"/>
    </row>
    <row r="63" spans="1:20" ht="30" customHeight="1" x14ac:dyDescent="0.2">
      <c r="A63" s="1155"/>
      <c r="B63" s="1156"/>
      <c r="C63" s="1156"/>
      <c r="D63" s="237"/>
      <c r="E63" s="237"/>
      <c r="F63" s="237"/>
      <c r="G63" s="237"/>
      <c r="H63" s="237"/>
      <c r="I63" s="237"/>
      <c r="J63" s="237"/>
      <c r="K63" s="237"/>
      <c r="L63" s="237"/>
      <c r="M63" s="237"/>
      <c r="N63" s="237"/>
      <c r="O63" s="237"/>
      <c r="P63" s="237"/>
      <c r="Q63" s="237"/>
      <c r="R63" s="237"/>
      <c r="S63" s="237"/>
      <c r="T63" s="237"/>
    </row>
    <row r="64" spans="1:20" ht="30" customHeight="1" x14ac:dyDescent="0.2">
      <c r="A64" s="1155"/>
      <c r="B64" s="1156"/>
      <c r="C64" s="1156"/>
      <c r="D64" s="237"/>
      <c r="E64" s="237"/>
      <c r="F64" s="237"/>
      <c r="G64" s="237"/>
      <c r="H64" s="237"/>
      <c r="I64" s="237"/>
      <c r="J64" s="237"/>
      <c r="K64" s="237"/>
      <c r="L64" s="237"/>
      <c r="M64" s="237"/>
      <c r="N64" s="237"/>
      <c r="O64" s="237"/>
      <c r="P64" s="237"/>
      <c r="Q64" s="237"/>
      <c r="R64" s="237"/>
      <c r="S64" s="237"/>
      <c r="T64" s="237"/>
    </row>
    <row r="65" spans="1:20" ht="30" customHeight="1" x14ac:dyDescent="0.2">
      <c r="A65" s="1155"/>
      <c r="B65" s="1156"/>
      <c r="C65" s="1156"/>
      <c r="D65" s="237"/>
      <c r="E65" s="237"/>
      <c r="F65" s="237"/>
      <c r="G65" s="237"/>
      <c r="H65" s="237"/>
      <c r="I65" s="237"/>
      <c r="J65" s="237"/>
      <c r="K65" s="237"/>
      <c r="L65" s="237"/>
      <c r="M65" s="237"/>
      <c r="N65" s="237"/>
      <c r="O65" s="237"/>
      <c r="P65" s="237"/>
      <c r="Q65" s="237"/>
      <c r="R65" s="237"/>
      <c r="S65" s="237"/>
      <c r="T65" s="237"/>
    </row>
    <row r="66" spans="1:20" ht="30" customHeight="1" x14ac:dyDescent="0.2">
      <c r="A66" s="1155"/>
      <c r="B66" s="1156"/>
      <c r="C66" s="1156"/>
      <c r="D66" s="237"/>
      <c r="E66" s="237"/>
      <c r="F66" s="237"/>
      <c r="G66" s="237"/>
      <c r="H66" s="237"/>
      <c r="I66" s="237"/>
      <c r="J66" s="237"/>
      <c r="K66" s="237"/>
      <c r="L66" s="237"/>
      <c r="M66" s="237"/>
      <c r="N66" s="237"/>
      <c r="O66" s="237"/>
      <c r="P66" s="237"/>
      <c r="Q66" s="237"/>
      <c r="R66" s="237"/>
      <c r="S66" s="237"/>
      <c r="T66" s="237"/>
    </row>
    <row r="67" spans="1:20" ht="30" customHeight="1" x14ac:dyDescent="0.2">
      <c r="A67" s="1155"/>
      <c r="B67" s="1156"/>
      <c r="C67" s="1156"/>
      <c r="D67" s="237"/>
      <c r="E67" s="237"/>
      <c r="F67" s="237"/>
      <c r="G67" s="237"/>
      <c r="H67" s="237"/>
      <c r="I67" s="237"/>
      <c r="J67" s="237"/>
      <c r="K67" s="237"/>
      <c r="L67" s="237"/>
      <c r="M67" s="237"/>
      <c r="N67" s="237"/>
      <c r="O67" s="237"/>
      <c r="P67" s="237"/>
      <c r="Q67" s="237"/>
      <c r="R67" s="237"/>
      <c r="S67" s="237"/>
      <c r="T67" s="237"/>
    </row>
    <row r="68" spans="1:20" ht="30" customHeight="1" x14ac:dyDescent="0.2">
      <c r="A68" s="1155"/>
      <c r="B68" s="1156"/>
      <c r="C68" s="1156"/>
      <c r="D68" s="237"/>
      <c r="E68" s="237"/>
      <c r="F68" s="237"/>
      <c r="G68" s="237"/>
      <c r="H68" s="237"/>
      <c r="I68" s="237"/>
      <c r="J68" s="237"/>
      <c r="K68" s="237"/>
      <c r="L68" s="237"/>
      <c r="M68" s="237"/>
      <c r="N68" s="237"/>
      <c r="O68" s="237"/>
      <c r="P68" s="237"/>
      <c r="Q68" s="237"/>
      <c r="R68" s="237"/>
      <c r="S68" s="237"/>
      <c r="T68" s="237"/>
    </row>
    <row r="69" spans="1:20" ht="15" customHeight="1" x14ac:dyDescent="0.2">
      <c r="A69" s="1155"/>
      <c r="B69" s="1156"/>
      <c r="C69" s="1156"/>
      <c r="D69" s="237"/>
      <c r="E69" s="237"/>
      <c r="F69" s="237"/>
      <c r="G69" s="237"/>
      <c r="H69" s="237"/>
      <c r="I69" s="237"/>
      <c r="J69" s="237"/>
      <c r="K69" s="237"/>
      <c r="L69" s="237"/>
      <c r="M69" s="237"/>
      <c r="N69" s="237"/>
      <c r="O69" s="237"/>
      <c r="P69" s="237"/>
      <c r="Q69" s="237"/>
      <c r="R69" s="237"/>
      <c r="S69" s="237"/>
      <c r="T69" s="237"/>
    </row>
    <row r="70" spans="1:20" ht="45" customHeight="1" x14ac:dyDescent="0.2">
      <c r="A70" s="1155"/>
      <c r="B70" s="1156"/>
      <c r="C70" s="1156"/>
      <c r="D70" s="237"/>
      <c r="E70" s="237"/>
      <c r="F70" s="237"/>
      <c r="G70" s="237"/>
      <c r="H70" s="237"/>
      <c r="I70" s="237"/>
      <c r="J70" s="237"/>
      <c r="K70" s="237"/>
      <c r="L70" s="237"/>
      <c r="M70" s="237"/>
      <c r="N70" s="237"/>
      <c r="O70" s="237"/>
      <c r="P70" s="237"/>
      <c r="Q70" s="237"/>
      <c r="R70" s="237"/>
      <c r="S70" s="237"/>
      <c r="T70" s="237"/>
    </row>
    <row r="71" spans="1:20" ht="30" customHeight="1" x14ac:dyDescent="0.2">
      <c r="A71" s="1155"/>
      <c r="B71" s="1156"/>
      <c r="C71" s="1156"/>
      <c r="D71" s="237"/>
      <c r="E71" s="237"/>
      <c r="F71" s="237"/>
      <c r="G71" s="237"/>
      <c r="H71" s="237"/>
      <c r="I71" s="237"/>
      <c r="J71" s="237"/>
      <c r="K71" s="237"/>
      <c r="L71" s="237"/>
      <c r="M71" s="237"/>
      <c r="N71" s="237"/>
      <c r="O71" s="237"/>
      <c r="P71" s="237"/>
      <c r="Q71" s="237"/>
      <c r="R71" s="237"/>
      <c r="S71" s="237"/>
      <c r="T71" s="237"/>
    </row>
    <row r="72" spans="1:20" ht="30" customHeight="1" x14ac:dyDescent="0.2">
      <c r="A72" s="1155"/>
      <c r="B72" s="1156"/>
      <c r="C72" s="1156"/>
      <c r="D72" s="237"/>
      <c r="E72" s="237"/>
      <c r="F72" s="237"/>
      <c r="G72" s="237"/>
      <c r="H72" s="237"/>
      <c r="I72" s="237"/>
      <c r="J72" s="237"/>
      <c r="K72" s="237"/>
      <c r="L72" s="237"/>
      <c r="M72" s="237"/>
      <c r="N72" s="237"/>
      <c r="O72" s="237"/>
      <c r="P72" s="237"/>
      <c r="Q72" s="237"/>
      <c r="R72" s="237"/>
      <c r="S72" s="237"/>
      <c r="T72" s="237"/>
    </row>
    <row r="73" spans="1:20" ht="30" customHeight="1" x14ac:dyDescent="0.2">
      <c r="A73" s="1155"/>
      <c r="B73" s="1156"/>
      <c r="C73" s="1156"/>
      <c r="D73" s="237"/>
      <c r="E73" s="237"/>
      <c r="F73" s="237"/>
      <c r="G73" s="237"/>
      <c r="H73" s="237"/>
      <c r="I73" s="237"/>
      <c r="J73" s="237"/>
      <c r="K73" s="237"/>
      <c r="L73" s="237"/>
      <c r="M73" s="237"/>
      <c r="N73" s="237"/>
      <c r="O73" s="237"/>
      <c r="P73" s="237"/>
      <c r="Q73" s="237"/>
      <c r="R73" s="237"/>
      <c r="S73" s="237"/>
      <c r="T73" s="237"/>
    </row>
    <row r="74" spans="1:20" ht="30" customHeight="1" x14ac:dyDescent="0.2">
      <c r="A74" s="1155"/>
      <c r="B74" s="1156"/>
      <c r="C74" s="1156"/>
      <c r="D74" s="237"/>
      <c r="E74" s="237"/>
      <c r="F74" s="237"/>
      <c r="G74" s="237"/>
      <c r="H74" s="237"/>
      <c r="I74" s="237"/>
      <c r="J74" s="237"/>
      <c r="K74" s="237"/>
      <c r="L74" s="237"/>
      <c r="M74" s="237"/>
      <c r="N74" s="237"/>
      <c r="O74" s="237"/>
      <c r="P74" s="237"/>
      <c r="Q74" s="237"/>
      <c r="R74" s="237"/>
      <c r="S74" s="237"/>
      <c r="T74" s="237"/>
    </row>
    <row r="75" spans="1:20" ht="30" customHeight="1" x14ac:dyDescent="0.2">
      <c r="A75" s="1155"/>
      <c r="B75" s="1156"/>
      <c r="C75" s="1156"/>
      <c r="D75" s="237"/>
      <c r="E75" s="237"/>
      <c r="F75" s="237"/>
      <c r="G75" s="237"/>
      <c r="H75" s="237"/>
      <c r="I75" s="237"/>
      <c r="J75" s="237"/>
      <c r="K75" s="237"/>
      <c r="L75" s="237"/>
      <c r="M75" s="237"/>
      <c r="N75" s="237"/>
      <c r="O75" s="237"/>
      <c r="P75" s="237"/>
      <c r="Q75" s="237"/>
      <c r="R75" s="237"/>
      <c r="S75" s="237"/>
      <c r="T75" s="237"/>
    </row>
    <row r="76" spans="1:20" ht="30" customHeight="1" x14ac:dyDescent="0.2">
      <c r="A76" s="1155"/>
      <c r="B76" s="1156"/>
      <c r="C76" s="1156"/>
      <c r="D76" s="237"/>
      <c r="E76" s="237"/>
      <c r="F76" s="237"/>
      <c r="G76" s="237"/>
      <c r="H76" s="237"/>
      <c r="I76" s="237"/>
      <c r="J76" s="237"/>
      <c r="K76" s="237"/>
      <c r="L76" s="237"/>
      <c r="M76" s="237"/>
      <c r="N76" s="237"/>
      <c r="O76" s="237"/>
      <c r="P76" s="237"/>
      <c r="Q76" s="237"/>
      <c r="R76" s="237"/>
      <c r="S76" s="237"/>
      <c r="T76" s="237"/>
    </row>
    <row r="77" spans="1:20" ht="15" customHeight="1" x14ac:dyDescent="0.2">
      <c r="A77" s="1155"/>
      <c r="B77" s="1156"/>
      <c r="C77" s="1156"/>
      <c r="D77" s="237"/>
      <c r="E77" s="237"/>
      <c r="F77" s="237"/>
      <c r="G77" s="237"/>
      <c r="H77" s="237"/>
      <c r="I77" s="237"/>
      <c r="J77" s="237"/>
      <c r="K77" s="237"/>
      <c r="L77" s="237"/>
      <c r="M77" s="237"/>
      <c r="N77" s="237"/>
      <c r="O77" s="237"/>
      <c r="P77" s="237"/>
      <c r="Q77" s="237"/>
      <c r="R77" s="237"/>
      <c r="S77" s="237"/>
      <c r="T77" s="237"/>
    </row>
    <row r="78" spans="1:20" ht="45" customHeight="1" x14ac:dyDescent="0.2">
      <c r="A78" s="1155"/>
      <c r="B78" s="1156"/>
      <c r="C78" s="1156"/>
      <c r="D78" s="237"/>
      <c r="E78" s="237"/>
      <c r="F78" s="237"/>
      <c r="G78" s="237"/>
      <c r="H78" s="237"/>
      <c r="I78" s="237"/>
      <c r="J78" s="237"/>
      <c r="K78" s="237"/>
      <c r="L78" s="237"/>
      <c r="M78" s="237"/>
      <c r="N78" s="237"/>
      <c r="O78" s="237"/>
      <c r="P78" s="237"/>
      <c r="Q78" s="237"/>
      <c r="R78" s="237"/>
      <c r="S78" s="237"/>
      <c r="T78" s="237"/>
    </row>
    <row r="79" spans="1:20" ht="30" customHeight="1" x14ac:dyDescent="0.2">
      <c r="A79" s="1155"/>
      <c r="B79" s="1156"/>
      <c r="C79" s="1156"/>
      <c r="D79" s="237"/>
      <c r="E79" s="237"/>
      <c r="F79" s="237"/>
      <c r="G79" s="237"/>
      <c r="H79" s="237"/>
      <c r="I79" s="237"/>
      <c r="J79" s="237"/>
      <c r="K79" s="237"/>
      <c r="L79" s="237"/>
      <c r="M79" s="237"/>
      <c r="N79" s="237"/>
      <c r="O79" s="237"/>
      <c r="P79" s="237"/>
      <c r="Q79" s="237"/>
      <c r="R79" s="237"/>
      <c r="S79" s="237"/>
      <c r="T79" s="237"/>
    </row>
    <row r="80" spans="1:20" ht="30" customHeight="1" x14ac:dyDescent="0.2">
      <c r="A80" s="1155"/>
      <c r="B80" s="1156"/>
      <c r="C80" s="1156"/>
      <c r="D80" s="237"/>
      <c r="E80" s="237"/>
      <c r="F80" s="237"/>
      <c r="G80" s="237"/>
      <c r="H80" s="237"/>
      <c r="I80" s="237"/>
      <c r="J80" s="237"/>
      <c r="K80" s="237"/>
      <c r="L80" s="237"/>
      <c r="M80" s="237"/>
      <c r="N80" s="237"/>
      <c r="O80" s="237"/>
      <c r="P80" s="237"/>
      <c r="Q80" s="237"/>
      <c r="R80" s="237"/>
      <c r="S80" s="237"/>
      <c r="T80" s="237"/>
    </row>
    <row r="81" spans="1:20" ht="30" customHeight="1" x14ac:dyDescent="0.2">
      <c r="A81" s="1155"/>
      <c r="B81" s="1156"/>
      <c r="C81" s="1156"/>
      <c r="D81" s="237"/>
      <c r="E81" s="237"/>
      <c r="F81" s="237"/>
      <c r="G81" s="237"/>
      <c r="H81" s="237"/>
      <c r="I81" s="237"/>
      <c r="J81" s="237"/>
      <c r="K81" s="237"/>
      <c r="L81" s="237"/>
      <c r="M81" s="237"/>
      <c r="N81" s="237"/>
      <c r="O81" s="237"/>
      <c r="P81" s="237"/>
      <c r="Q81" s="237"/>
      <c r="R81" s="237"/>
      <c r="S81" s="237"/>
      <c r="T81" s="237"/>
    </row>
    <row r="82" spans="1:20" ht="30" customHeight="1" x14ac:dyDescent="0.2">
      <c r="A82" s="1155"/>
      <c r="B82" s="1156"/>
      <c r="C82" s="1156"/>
      <c r="D82" s="237"/>
      <c r="E82" s="237"/>
      <c r="F82" s="237"/>
      <c r="G82" s="237"/>
      <c r="H82" s="237"/>
      <c r="I82" s="237"/>
      <c r="J82" s="237"/>
      <c r="K82" s="237"/>
      <c r="L82" s="237"/>
      <c r="M82" s="237"/>
      <c r="N82" s="237"/>
      <c r="O82" s="237"/>
      <c r="P82" s="237"/>
      <c r="Q82" s="237"/>
      <c r="R82" s="237"/>
      <c r="S82" s="237"/>
      <c r="T82" s="237"/>
    </row>
    <row r="83" spans="1:20" ht="30" customHeight="1" x14ac:dyDescent="0.2">
      <c r="A83" s="1155"/>
      <c r="B83" s="1156"/>
      <c r="C83" s="1156"/>
      <c r="D83" s="237"/>
      <c r="E83" s="237"/>
      <c r="F83" s="237"/>
      <c r="G83" s="237"/>
      <c r="H83" s="237"/>
      <c r="I83" s="237"/>
      <c r="J83" s="237"/>
      <c r="K83" s="237"/>
      <c r="L83" s="237"/>
      <c r="M83" s="237"/>
      <c r="N83" s="237"/>
      <c r="O83" s="237"/>
      <c r="P83" s="237"/>
      <c r="Q83" s="237"/>
      <c r="R83" s="237"/>
      <c r="S83" s="237"/>
      <c r="T83" s="237"/>
    </row>
    <row r="84" spans="1:20" ht="30" customHeight="1" x14ac:dyDescent="0.2">
      <c r="A84" s="1155"/>
      <c r="B84" s="1156"/>
      <c r="C84" s="1156"/>
      <c r="D84" s="237"/>
      <c r="E84" s="237"/>
      <c r="F84" s="237"/>
      <c r="G84" s="237"/>
      <c r="H84" s="237"/>
      <c r="I84" s="237"/>
      <c r="J84" s="237"/>
      <c r="K84" s="237"/>
      <c r="L84" s="237"/>
      <c r="M84" s="237"/>
      <c r="N84" s="237"/>
      <c r="O84" s="237"/>
      <c r="P84" s="237"/>
      <c r="Q84" s="237"/>
      <c r="R84" s="237"/>
      <c r="S84" s="237"/>
      <c r="T84" s="237"/>
    </row>
    <row r="85" spans="1:20" ht="15" customHeight="1" x14ac:dyDescent="0.2">
      <c r="A85" s="1155"/>
      <c r="B85" s="1156"/>
      <c r="C85" s="1156"/>
      <c r="D85" s="237"/>
      <c r="E85" s="237"/>
      <c r="F85" s="237"/>
      <c r="G85" s="237"/>
      <c r="H85" s="237"/>
      <c r="I85" s="237"/>
      <c r="J85" s="237"/>
      <c r="K85" s="237"/>
      <c r="L85" s="237"/>
      <c r="M85" s="237"/>
      <c r="N85" s="237"/>
      <c r="O85" s="237"/>
      <c r="P85" s="237"/>
      <c r="Q85" s="237"/>
      <c r="R85" s="237"/>
      <c r="S85" s="237"/>
      <c r="T85" s="237"/>
    </row>
    <row r="86" spans="1:20" ht="45" customHeight="1" x14ac:dyDescent="0.2">
      <c r="A86" s="1155"/>
      <c r="B86" s="1156"/>
      <c r="C86" s="1156"/>
      <c r="D86" s="237"/>
      <c r="E86" s="237"/>
      <c r="F86" s="237"/>
      <c r="G86" s="237"/>
      <c r="H86" s="237"/>
      <c r="I86" s="237"/>
      <c r="J86" s="237"/>
      <c r="K86" s="237"/>
      <c r="L86" s="237"/>
      <c r="M86" s="237"/>
      <c r="N86" s="237"/>
      <c r="O86" s="237"/>
      <c r="P86" s="237"/>
      <c r="Q86" s="237"/>
      <c r="R86" s="237"/>
      <c r="S86" s="237"/>
      <c r="T86" s="237"/>
    </row>
    <row r="87" spans="1:20" ht="30" customHeight="1" x14ac:dyDescent="0.2">
      <c r="A87" s="1155"/>
      <c r="B87" s="1156"/>
      <c r="C87" s="1156"/>
      <c r="D87" s="237"/>
      <c r="E87" s="237"/>
      <c r="F87" s="237"/>
      <c r="G87" s="237"/>
      <c r="H87" s="237"/>
      <c r="I87" s="237"/>
      <c r="J87" s="237"/>
      <c r="K87" s="237"/>
      <c r="L87" s="237"/>
      <c r="M87" s="237"/>
      <c r="N87" s="237"/>
      <c r="O87" s="237"/>
      <c r="P87" s="237"/>
      <c r="Q87" s="237"/>
      <c r="R87" s="237"/>
      <c r="S87" s="237"/>
      <c r="T87" s="237"/>
    </row>
    <row r="88" spans="1:20" ht="30" customHeight="1" x14ac:dyDescent="0.2">
      <c r="A88" s="1155"/>
      <c r="B88" s="1156"/>
      <c r="C88" s="1156"/>
      <c r="D88" s="237"/>
      <c r="E88" s="237"/>
      <c r="F88" s="237"/>
      <c r="G88" s="237"/>
      <c r="H88" s="237"/>
      <c r="I88" s="237"/>
      <c r="J88" s="237"/>
      <c r="K88" s="237"/>
      <c r="L88" s="237"/>
      <c r="M88" s="237"/>
      <c r="N88" s="237"/>
      <c r="O88" s="237"/>
      <c r="P88" s="237"/>
      <c r="Q88" s="237"/>
      <c r="R88" s="237"/>
      <c r="S88" s="237"/>
      <c r="T88" s="237"/>
    </row>
    <row r="89" spans="1:20" ht="30" customHeight="1" x14ac:dyDescent="0.2">
      <c r="A89" s="1155"/>
      <c r="B89" s="1156"/>
      <c r="C89" s="1156"/>
      <c r="D89" s="237"/>
      <c r="E89" s="237"/>
      <c r="F89" s="237"/>
      <c r="G89" s="237"/>
      <c r="H89" s="237"/>
      <c r="I89" s="237"/>
      <c r="J89" s="237"/>
      <c r="K89" s="237"/>
      <c r="L89" s="237"/>
      <c r="M89" s="237"/>
      <c r="N89" s="237"/>
      <c r="O89" s="237"/>
      <c r="P89" s="237"/>
      <c r="Q89" s="237"/>
      <c r="R89" s="237"/>
      <c r="S89" s="237"/>
      <c r="T89" s="237"/>
    </row>
    <row r="90" spans="1:20" ht="30" customHeight="1" x14ac:dyDescent="0.2">
      <c r="A90" s="1155"/>
      <c r="B90" s="1156"/>
      <c r="C90" s="1156"/>
      <c r="D90" s="237"/>
      <c r="E90" s="237"/>
      <c r="F90" s="237"/>
      <c r="G90" s="237"/>
      <c r="H90" s="237"/>
      <c r="I90" s="237"/>
      <c r="J90" s="237"/>
      <c r="K90" s="237"/>
      <c r="L90" s="237"/>
      <c r="M90" s="237"/>
      <c r="N90" s="237"/>
      <c r="O90" s="237"/>
      <c r="P90" s="237"/>
      <c r="Q90" s="237"/>
      <c r="R90" s="237"/>
      <c r="S90" s="237"/>
      <c r="T90" s="237"/>
    </row>
    <row r="91" spans="1:20" ht="30" customHeight="1" x14ac:dyDescent="0.2">
      <c r="A91" s="1155"/>
      <c r="B91" s="1156"/>
      <c r="C91" s="1156"/>
      <c r="D91" s="237"/>
      <c r="E91" s="237"/>
      <c r="F91" s="237"/>
      <c r="G91" s="237"/>
      <c r="H91" s="237"/>
      <c r="I91" s="237"/>
      <c r="J91" s="237"/>
      <c r="K91" s="237"/>
      <c r="L91" s="237"/>
      <c r="M91" s="237"/>
      <c r="N91" s="237"/>
      <c r="O91" s="237"/>
      <c r="P91" s="237"/>
      <c r="Q91" s="237"/>
      <c r="R91" s="237"/>
      <c r="S91" s="237"/>
      <c r="T91" s="237"/>
    </row>
    <row r="92" spans="1:20" ht="30" customHeight="1" x14ac:dyDescent="0.2">
      <c r="A92" s="1155"/>
      <c r="B92" s="1156"/>
      <c r="C92" s="1156"/>
      <c r="D92" s="237"/>
      <c r="E92" s="237"/>
      <c r="F92" s="237"/>
      <c r="G92" s="237"/>
      <c r="H92" s="237"/>
      <c r="I92" s="237"/>
      <c r="J92" s="237"/>
      <c r="K92" s="237"/>
      <c r="L92" s="237"/>
      <c r="M92" s="237"/>
      <c r="N92" s="237"/>
      <c r="O92" s="237"/>
      <c r="P92" s="237"/>
      <c r="Q92" s="237"/>
      <c r="R92" s="237"/>
      <c r="S92" s="237"/>
      <c r="T92" s="237"/>
    </row>
    <row r="93" spans="1:20" ht="15" customHeight="1" x14ac:dyDescent="0.2">
      <c r="A93" s="1155"/>
      <c r="B93" s="1156"/>
      <c r="C93" s="1156"/>
      <c r="D93" s="237"/>
      <c r="E93" s="237"/>
      <c r="F93" s="237"/>
      <c r="G93" s="237"/>
      <c r="H93" s="237"/>
      <c r="I93" s="237"/>
      <c r="J93" s="237"/>
      <c r="K93" s="237"/>
      <c r="L93" s="237"/>
      <c r="M93" s="237"/>
      <c r="N93" s="237"/>
      <c r="O93" s="237"/>
      <c r="P93" s="237"/>
      <c r="Q93" s="237"/>
      <c r="R93" s="237"/>
      <c r="S93" s="237"/>
      <c r="T93" s="237"/>
    </row>
    <row r="94" spans="1:20" ht="45" customHeight="1" x14ac:dyDescent="0.2">
      <c r="A94" s="1155"/>
      <c r="B94" s="1156"/>
      <c r="C94" s="1156"/>
      <c r="D94" s="237"/>
      <c r="E94" s="237"/>
      <c r="F94" s="237"/>
      <c r="G94" s="237"/>
      <c r="H94" s="237"/>
      <c r="I94" s="237"/>
      <c r="J94" s="237"/>
      <c r="K94" s="237"/>
      <c r="L94" s="237"/>
      <c r="M94" s="237"/>
      <c r="N94" s="237"/>
      <c r="O94" s="237"/>
      <c r="P94" s="237"/>
      <c r="Q94" s="237"/>
      <c r="R94" s="237"/>
      <c r="S94" s="237"/>
      <c r="T94" s="237"/>
    </row>
    <row r="95" spans="1:20" ht="30" customHeight="1" x14ac:dyDescent="0.2">
      <c r="A95" s="1155"/>
      <c r="B95" s="1156"/>
      <c r="C95" s="1156"/>
      <c r="D95" s="237"/>
      <c r="E95" s="237"/>
      <c r="F95" s="237"/>
      <c r="G95" s="237"/>
      <c r="H95" s="237"/>
      <c r="I95" s="237"/>
      <c r="J95" s="237"/>
      <c r="K95" s="237"/>
      <c r="L95" s="237"/>
      <c r="M95" s="237"/>
      <c r="N95" s="237"/>
      <c r="O95" s="237"/>
      <c r="P95" s="237"/>
      <c r="Q95" s="237"/>
      <c r="R95" s="237"/>
      <c r="S95" s="237"/>
      <c r="T95" s="237"/>
    </row>
    <row r="96" spans="1:20" ht="30" customHeight="1" x14ac:dyDescent="0.2">
      <c r="A96" s="1155"/>
      <c r="B96" s="1156"/>
      <c r="C96" s="1156"/>
      <c r="D96" s="237"/>
      <c r="E96" s="237"/>
      <c r="F96" s="237"/>
      <c r="G96" s="237"/>
      <c r="H96" s="237"/>
      <c r="I96" s="237"/>
      <c r="J96" s="237"/>
      <c r="K96" s="237"/>
      <c r="L96" s="237"/>
      <c r="M96" s="237"/>
      <c r="N96" s="237"/>
      <c r="O96" s="237"/>
      <c r="P96" s="237"/>
      <c r="Q96" s="237"/>
      <c r="R96" s="237"/>
      <c r="S96" s="237"/>
      <c r="T96" s="237"/>
    </row>
    <row r="97" spans="1:20" ht="30" customHeight="1" x14ac:dyDescent="0.2">
      <c r="A97" s="1155"/>
      <c r="B97" s="1156"/>
      <c r="C97" s="1156"/>
      <c r="D97" s="237"/>
      <c r="E97" s="237"/>
      <c r="F97" s="237"/>
      <c r="G97" s="237"/>
      <c r="H97" s="237"/>
      <c r="I97" s="237"/>
      <c r="J97" s="237"/>
      <c r="K97" s="237"/>
      <c r="L97" s="237"/>
      <c r="M97" s="237"/>
      <c r="N97" s="237"/>
      <c r="O97" s="237"/>
      <c r="P97" s="237"/>
      <c r="Q97" s="237"/>
      <c r="R97" s="237"/>
      <c r="S97" s="237"/>
      <c r="T97" s="237"/>
    </row>
    <row r="98" spans="1:20" ht="30" customHeight="1" x14ac:dyDescent="0.2">
      <c r="A98" s="1155"/>
      <c r="B98" s="1156"/>
      <c r="C98" s="1156"/>
      <c r="D98" s="237"/>
      <c r="E98" s="237"/>
      <c r="F98" s="237"/>
      <c r="G98" s="237"/>
      <c r="H98" s="237"/>
      <c r="I98" s="237"/>
      <c r="J98" s="237"/>
      <c r="K98" s="237"/>
      <c r="L98" s="237"/>
      <c r="M98" s="237"/>
      <c r="N98" s="237"/>
      <c r="O98" s="237"/>
      <c r="P98" s="237"/>
      <c r="Q98" s="237"/>
      <c r="R98" s="237"/>
      <c r="S98" s="237"/>
      <c r="T98" s="237"/>
    </row>
    <row r="99" spans="1:20" ht="30" customHeight="1" x14ac:dyDescent="0.2">
      <c r="A99" s="1155"/>
      <c r="B99" s="1156"/>
      <c r="C99" s="1156"/>
      <c r="D99" s="237"/>
      <c r="E99" s="237"/>
      <c r="F99" s="237"/>
      <c r="G99" s="237"/>
      <c r="H99" s="237"/>
      <c r="I99" s="237"/>
      <c r="J99" s="237"/>
      <c r="K99" s="237"/>
      <c r="L99" s="237"/>
      <c r="M99" s="237"/>
      <c r="N99" s="237"/>
      <c r="O99" s="237"/>
      <c r="P99" s="237"/>
      <c r="Q99" s="237"/>
      <c r="R99" s="237"/>
      <c r="S99" s="237"/>
      <c r="T99" s="237"/>
    </row>
    <row r="100" spans="1:20" ht="30" customHeight="1" x14ac:dyDescent="0.2">
      <c r="A100" s="1155"/>
      <c r="B100" s="1156"/>
      <c r="C100" s="1156"/>
      <c r="D100" s="237"/>
      <c r="E100" s="237"/>
      <c r="F100" s="237"/>
      <c r="G100" s="237"/>
      <c r="H100" s="237"/>
      <c r="I100" s="237"/>
      <c r="J100" s="237"/>
      <c r="K100" s="237"/>
      <c r="L100" s="237"/>
      <c r="M100" s="237"/>
      <c r="N100" s="237"/>
      <c r="O100" s="237"/>
      <c r="P100" s="237"/>
      <c r="Q100" s="237"/>
      <c r="R100" s="237"/>
      <c r="S100" s="237"/>
      <c r="T100" s="237"/>
    </row>
    <row r="101" spans="1:20" ht="15" customHeight="1" x14ac:dyDescent="0.2">
      <c r="A101" s="1155"/>
      <c r="B101" s="1156"/>
      <c r="C101" s="1156"/>
      <c r="D101" s="237"/>
      <c r="E101" s="237"/>
      <c r="F101" s="237"/>
      <c r="G101" s="237"/>
      <c r="H101" s="237"/>
      <c r="I101" s="237"/>
      <c r="J101" s="237"/>
      <c r="K101" s="237"/>
      <c r="L101" s="237"/>
      <c r="M101" s="237"/>
      <c r="N101" s="237"/>
      <c r="O101" s="237"/>
      <c r="P101" s="237"/>
      <c r="Q101" s="237"/>
      <c r="R101" s="237"/>
      <c r="S101" s="237"/>
      <c r="T101" s="237"/>
    </row>
    <row r="102" spans="1:20" ht="45" customHeight="1" x14ac:dyDescent="0.2">
      <c r="A102" s="1155"/>
      <c r="B102" s="1156"/>
      <c r="C102" s="1156"/>
      <c r="D102" s="237"/>
      <c r="E102" s="237"/>
      <c r="F102" s="237"/>
      <c r="G102" s="237"/>
      <c r="H102" s="237"/>
      <c r="I102" s="237"/>
      <c r="J102" s="237"/>
      <c r="K102" s="237"/>
      <c r="L102" s="237"/>
      <c r="M102" s="237"/>
      <c r="N102" s="237"/>
      <c r="O102" s="237"/>
      <c r="P102" s="237"/>
      <c r="Q102" s="237"/>
      <c r="R102" s="237"/>
      <c r="S102" s="237"/>
      <c r="T102" s="237"/>
    </row>
    <row r="103" spans="1:20" ht="30" customHeight="1" x14ac:dyDescent="0.2">
      <c r="A103" s="1155"/>
      <c r="B103" s="1156"/>
      <c r="C103" s="1156"/>
      <c r="D103" s="237"/>
      <c r="E103" s="237"/>
      <c r="F103" s="237"/>
      <c r="G103" s="237"/>
      <c r="H103" s="237"/>
      <c r="I103" s="237"/>
      <c r="J103" s="237"/>
      <c r="K103" s="237"/>
      <c r="L103" s="237"/>
      <c r="M103" s="237"/>
      <c r="N103" s="237"/>
      <c r="O103" s="237"/>
      <c r="P103" s="237"/>
      <c r="Q103" s="237"/>
      <c r="R103" s="237"/>
      <c r="S103" s="237"/>
      <c r="T103" s="237"/>
    </row>
    <row r="104" spans="1:20" ht="30" customHeight="1" x14ac:dyDescent="0.2">
      <c r="A104" s="1155"/>
      <c r="B104" s="1156"/>
      <c r="C104" s="1156"/>
      <c r="D104" s="237"/>
      <c r="E104" s="237"/>
      <c r="F104" s="237"/>
      <c r="G104" s="237"/>
      <c r="H104" s="237"/>
      <c r="I104" s="237"/>
      <c r="J104" s="237"/>
      <c r="K104" s="237"/>
      <c r="L104" s="237"/>
      <c r="M104" s="237"/>
      <c r="N104" s="237"/>
      <c r="O104" s="237"/>
      <c r="P104" s="237"/>
      <c r="Q104" s="237"/>
      <c r="R104" s="237"/>
      <c r="S104" s="237"/>
      <c r="T104" s="237"/>
    </row>
    <row r="105" spans="1:20" ht="30" customHeight="1" x14ac:dyDescent="0.2">
      <c r="A105" s="1155"/>
      <c r="B105" s="1156"/>
      <c r="C105" s="1156"/>
      <c r="D105" s="237"/>
      <c r="E105" s="237"/>
      <c r="F105" s="237"/>
      <c r="G105" s="237"/>
      <c r="H105" s="237"/>
      <c r="I105" s="237"/>
      <c r="J105" s="237"/>
      <c r="K105" s="237"/>
      <c r="L105" s="237"/>
      <c r="M105" s="237"/>
      <c r="N105" s="237"/>
      <c r="O105" s="237"/>
      <c r="P105" s="237"/>
      <c r="Q105" s="237"/>
      <c r="R105" s="237"/>
      <c r="S105" s="237"/>
      <c r="T105" s="237"/>
    </row>
    <row r="106" spans="1:20" ht="30" customHeight="1" x14ac:dyDescent="0.2">
      <c r="A106" s="1155"/>
      <c r="B106" s="1156"/>
      <c r="C106" s="1156"/>
      <c r="D106" s="237"/>
      <c r="E106" s="237"/>
      <c r="F106" s="237"/>
      <c r="G106" s="237"/>
      <c r="H106" s="237"/>
      <c r="I106" s="237"/>
      <c r="J106" s="237"/>
      <c r="K106" s="237"/>
      <c r="L106" s="237"/>
      <c r="M106" s="237"/>
      <c r="N106" s="237"/>
      <c r="O106" s="237"/>
      <c r="P106" s="237"/>
      <c r="Q106" s="237"/>
      <c r="R106" s="237"/>
      <c r="S106" s="237"/>
      <c r="T106" s="237"/>
    </row>
    <row r="107" spans="1:20" ht="30" customHeight="1" x14ac:dyDescent="0.2">
      <c r="A107" s="1155"/>
      <c r="B107" s="1156"/>
      <c r="C107" s="1156"/>
      <c r="D107" s="237"/>
      <c r="E107" s="237"/>
      <c r="F107" s="237"/>
      <c r="G107" s="237"/>
      <c r="H107" s="237"/>
      <c r="I107" s="237"/>
      <c r="J107" s="237"/>
      <c r="K107" s="237"/>
      <c r="L107" s="237"/>
      <c r="M107" s="237"/>
      <c r="N107" s="237"/>
      <c r="O107" s="237"/>
      <c r="P107" s="237"/>
      <c r="Q107" s="237"/>
      <c r="R107" s="237"/>
      <c r="S107" s="237"/>
      <c r="T107" s="237"/>
    </row>
    <row r="108" spans="1:20" ht="30" customHeight="1" x14ac:dyDescent="0.2">
      <c r="A108" s="1155"/>
      <c r="B108" s="1156"/>
      <c r="C108" s="1156"/>
      <c r="D108" s="237"/>
      <c r="E108" s="237"/>
      <c r="F108" s="237"/>
      <c r="G108" s="237"/>
      <c r="H108" s="237"/>
      <c r="I108" s="237"/>
      <c r="J108" s="237"/>
      <c r="K108" s="237"/>
      <c r="L108" s="237"/>
      <c r="M108" s="237"/>
      <c r="N108" s="237"/>
      <c r="O108" s="237"/>
      <c r="P108" s="237"/>
      <c r="Q108" s="237"/>
      <c r="R108" s="237"/>
      <c r="S108" s="237"/>
      <c r="T108" s="237"/>
    </row>
    <row r="109" spans="1:20" ht="15" customHeight="1" x14ac:dyDescent="0.2">
      <c r="A109" s="1155"/>
      <c r="B109" s="1156"/>
      <c r="C109" s="1156"/>
      <c r="D109" s="237"/>
      <c r="E109" s="237"/>
      <c r="F109" s="237"/>
      <c r="G109" s="237"/>
      <c r="H109" s="237"/>
      <c r="I109" s="237"/>
      <c r="J109" s="237"/>
      <c r="K109" s="237"/>
      <c r="L109" s="237"/>
      <c r="M109" s="237"/>
      <c r="N109" s="237"/>
      <c r="O109" s="237"/>
      <c r="P109" s="237"/>
      <c r="Q109" s="237"/>
      <c r="R109" s="237"/>
      <c r="S109" s="237"/>
      <c r="T109" s="237"/>
    </row>
    <row r="110" spans="1:20" ht="45" customHeight="1" x14ac:dyDescent="0.2">
      <c r="A110" s="1155"/>
      <c r="B110" s="1156"/>
      <c r="C110" s="1156"/>
      <c r="D110" s="237"/>
      <c r="E110" s="237"/>
      <c r="F110" s="237"/>
      <c r="G110" s="237"/>
      <c r="H110" s="237"/>
      <c r="I110" s="237"/>
      <c r="J110" s="237"/>
      <c r="K110" s="237"/>
      <c r="L110" s="237"/>
      <c r="M110" s="237"/>
      <c r="N110" s="237"/>
      <c r="O110" s="237"/>
      <c r="P110" s="237"/>
      <c r="Q110" s="237"/>
      <c r="R110" s="237"/>
      <c r="S110" s="237"/>
      <c r="T110" s="237"/>
    </row>
    <row r="111" spans="1:20" ht="30" customHeight="1" x14ac:dyDescent="0.2">
      <c r="A111" s="1155"/>
      <c r="B111" s="1156"/>
      <c r="C111" s="1156"/>
      <c r="D111" s="237"/>
      <c r="E111" s="237"/>
      <c r="F111" s="237"/>
      <c r="G111" s="237"/>
      <c r="H111" s="237"/>
      <c r="I111" s="237"/>
      <c r="J111" s="237"/>
      <c r="K111" s="237"/>
      <c r="L111" s="237"/>
      <c r="M111" s="237"/>
      <c r="N111" s="237"/>
      <c r="O111" s="237"/>
      <c r="P111" s="237"/>
      <c r="Q111" s="237"/>
      <c r="R111" s="237"/>
      <c r="S111" s="237"/>
      <c r="T111" s="237"/>
    </row>
    <row r="112" spans="1:20" ht="30" customHeight="1" x14ac:dyDescent="0.2">
      <c r="A112" s="1155"/>
      <c r="B112" s="1156"/>
      <c r="C112" s="1156"/>
      <c r="D112" s="237"/>
      <c r="E112" s="237"/>
      <c r="F112" s="237"/>
      <c r="G112" s="237"/>
      <c r="H112" s="237"/>
      <c r="I112" s="237"/>
      <c r="J112" s="237"/>
      <c r="K112" s="237"/>
      <c r="L112" s="237"/>
      <c r="M112" s="237"/>
      <c r="N112" s="237"/>
      <c r="O112" s="237"/>
      <c r="P112" s="237"/>
      <c r="Q112" s="237"/>
      <c r="R112" s="237"/>
      <c r="S112" s="237"/>
      <c r="T112" s="237"/>
    </row>
    <row r="113" spans="1:20" ht="30" customHeight="1" x14ac:dyDescent="0.2">
      <c r="A113" s="1155"/>
      <c r="B113" s="1156"/>
      <c r="C113" s="1156"/>
      <c r="D113" s="237"/>
      <c r="E113" s="237"/>
      <c r="F113" s="237"/>
      <c r="G113" s="237"/>
      <c r="H113" s="237"/>
      <c r="I113" s="237"/>
      <c r="J113" s="237"/>
      <c r="K113" s="237"/>
      <c r="L113" s="237"/>
      <c r="M113" s="237"/>
      <c r="N113" s="237"/>
      <c r="O113" s="237"/>
      <c r="P113" s="237"/>
      <c r="Q113" s="237"/>
      <c r="R113" s="237"/>
      <c r="S113" s="237"/>
      <c r="T113" s="237"/>
    </row>
    <row r="114" spans="1:20" ht="30" customHeight="1" x14ac:dyDescent="0.2">
      <c r="A114" s="1155"/>
      <c r="B114" s="1156"/>
      <c r="C114" s="1156"/>
      <c r="D114" s="237"/>
      <c r="E114" s="237"/>
      <c r="F114" s="237"/>
      <c r="G114" s="237"/>
      <c r="H114" s="237"/>
      <c r="I114" s="237"/>
      <c r="J114" s="237"/>
      <c r="K114" s="237"/>
      <c r="L114" s="237"/>
      <c r="M114" s="237"/>
      <c r="N114" s="237"/>
      <c r="O114" s="237"/>
      <c r="P114" s="237"/>
      <c r="Q114" s="237"/>
      <c r="R114" s="237"/>
      <c r="S114" s="237"/>
      <c r="T114" s="237"/>
    </row>
    <row r="115" spans="1:20" ht="30" customHeight="1" x14ac:dyDescent="0.2">
      <c r="A115" s="1155"/>
      <c r="B115" s="1156"/>
      <c r="C115" s="1156"/>
      <c r="D115" s="237"/>
      <c r="E115" s="237"/>
      <c r="F115" s="237"/>
      <c r="G115" s="237"/>
      <c r="H115" s="237"/>
      <c r="I115" s="237"/>
      <c r="J115" s="237"/>
      <c r="K115" s="237"/>
      <c r="L115" s="237"/>
      <c r="M115" s="237"/>
      <c r="N115" s="237"/>
      <c r="O115" s="237"/>
      <c r="P115" s="237"/>
      <c r="Q115" s="237"/>
      <c r="R115" s="237"/>
      <c r="S115" s="237"/>
      <c r="T115" s="237"/>
    </row>
    <row r="116" spans="1:20" ht="30" customHeight="1" x14ac:dyDescent="0.2">
      <c r="A116" s="1155"/>
      <c r="B116" s="1156"/>
      <c r="C116" s="1156"/>
      <c r="D116" s="237"/>
      <c r="E116" s="237"/>
      <c r="F116" s="237"/>
      <c r="G116" s="237"/>
      <c r="H116" s="237"/>
      <c r="I116" s="237"/>
      <c r="J116" s="237"/>
      <c r="K116" s="237"/>
      <c r="L116" s="237"/>
      <c r="M116" s="237"/>
      <c r="N116" s="237"/>
      <c r="O116" s="237"/>
      <c r="P116" s="237"/>
      <c r="Q116" s="237"/>
      <c r="R116" s="237"/>
      <c r="S116" s="237"/>
      <c r="T116" s="237"/>
    </row>
    <row r="117" spans="1:20" ht="15" customHeight="1" x14ac:dyDescent="0.2">
      <c r="A117" s="1155"/>
      <c r="B117" s="1156"/>
      <c r="C117" s="1156"/>
      <c r="D117" s="237"/>
      <c r="E117" s="237"/>
      <c r="F117" s="237"/>
      <c r="G117" s="237"/>
      <c r="H117" s="237"/>
      <c r="I117" s="237"/>
      <c r="J117" s="237"/>
      <c r="K117" s="237"/>
      <c r="L117" s="237"/>
      <c r="M117" s="237"/>
      <c r="N117" s="237"/>
      <c r="O117" s="237"/>
      <c r="P117" s="237"/>
      <c r="Q117" s="237"/>
      <c r="R117" s="237"/>
      <c r="S117" s="237"/>
      <c r="T117" s="237"/>
    </row>
    <row r="118" spans="1:20" ht="45" customHeight="1" x14ac:dyDescent="0.2">
      <c r="A118" s="1155"/>
      <c r="B118" s="1156"/>
      <c r="C118" s="1156"/>
      <c r="D118" s="237"/>
      <c r="E118" s="237"/>
      <c r="F118" s="237"/>
      <c r="G118" s="237"/>
      <c r="H118" s="237"/>
      <c r="I118" s="237"/>
      <c r="J118" s="237"/>
      <c r="K118" s="237"/>
      <c r="L118" s="237"/>
      <c r="M118" s="237"/>
      <c r="N118" s="237"/>
      <c r="O118" s="237"/>
      <c r="P118" s="237"/>
      <c r="Q118" s="237"/>
      <c r="R118" s="237"/>
      <c r="S118" s="237"/>
      <c r="T118" s="237"/>
    </row>
    <row r="119" spans="1:20" ht="30" customHeight="1" x14ac:dyDescent="0.2">
      <c r="A119" s="1155"/>
      <c r="B119" s="1156"/>
      <c r="C119" s="1156"/>
      <c r="D119" s="237"/>
      <c r="E119" s="237"/>
      <c r="F119" s="237"/>
      <c r="G119" s="237"/>
      <c r="H119" s="237"/>
      <c r="I119" s="237"/>
      <c r="J119" s="237"/>
      <c r="K119" s="237"/>
      <c r="L119" s="237"/>
      <c r="M119" s="237"/>
      <c r="N119" s="237"/>
      <c r="O119" s="237"/>
      <c r="P119" s="237"/>
      <c r="Q119" s="237"/>
      <c r="R119" s="237"/>
      <c r="S119" s="237"/>
      <c r="T119" s="237"/>
    </row>
    <row r="120" spans="1:20" ht="30" customHeight="1" x14ac:dyDescent="0.2">
      <c r="A120" s="1155"/>
      <c r="B120" s="1156"/>
      <c r="C120" s="1156"/>
      <c r="D120" s="237"/>
      <c r="E120" s="237"/>
      <c r="F120" s="237"/>
      <c r="G120" s="237"/>
      <c r="H120" s="237"/>
      <c r="I120" s="237"/>
      <c r="J120" s="237"/>
      <c r="K120" s="237"/>
      <c r="L120" s="237"/>
      <c r="M120" s="237"/>
      <c r="N120" s="237"/>
      <c r="O120" s="237"/>
      <c r="P120" s="237"/>
      <c r="Q120" s="237"/>
      <c r="R120" s="237"/>
      <c r="S120" s="237"/>
      <c r="T120" s="237"/>
    </row>
    <row r="121" spans="1:20" ht="30" customHeight="1" x14ac:dyDescent="0.2">
      <c r="A121" s="1155"/>
      <c r="B121" s="1156"/>
      <c r="C121" s="1156"/>
      <c r="D121" s="237"/>
      <c r="E121" s="237"/>
      <c r="F121" s="237"/>
      <c r="G121" s="237"/>
      <c r="H121" s="237"/>
      <c r="I121" s="237"/>
      <c r="J121" s="237"/>
      <c r="K121" s="237"/>
      <c r="L121" s="237"/>
      <c r="M121" s="237"/>
      <c r="N121" s="237"/>
      <c r="O121" s="237"/>
      <c r="P121" s="237"/>
      <c r="Q121" s="237"/>
      <c r="R121" s="237"/>
      <c r="S121" s="237"/>
      <c r="T121" s="237"/>
    </row>
    <row r="122" spans="1:20" ht="30" customHeight="1" x14ac:dyDescent="0.2">
      <c r="A122" s="1155"/>
      <c r="B122" s="1156"/>
      <c r="C122" s="1156"/>
      <c r="D122" s="237"/>
      <c r="E122" s="237"/>
      <c r="F122" s="237"/>
      <c r="G122" s="237"/>
      <c r="H122" s="237"/>
      <c r="I122" s="237"/>
      <c r="J122" s="237"/>
      <c r="K122" s="237"/>
      <c r="L122" s="237"/>
      <c r="M122" s="237"/>
      <c r="N122" s="237"/>
      <c r="O122" s="237"/>
      <c r="P122" s="237"/>
      <c r="Q122" s="237"/>
      <c r="R122" s="237"/>
      <c r="S122" s="237"/>
      <c r="T122" s="237"/>
    </row>
    <row r="123" spans="1:20" ht="30" customHeight="1" x14ac:dyDescent="0.2">
      <c r="A123" s="1155"/>
      <c r="B123" s="1156"/>
      <c r="C123" s="1156"/>
      <c r="D123" s="237"/>
      <c r="E123" s="237"/>
      <c r="F123" s="237"/>
      <c r="G123" s="237"/>
      <c r="H123" s="237"/>
      <c r="I123" s="237"/>
      <c r="J123" s="237"/>
      <c r="K123" s="237"/>
      <c r="L123" s="237"/>
      <c r="M123" s="237"/>
      <c r="N123" s="237"/>
      <c r="O123" s="237"/>
      <c r="P123" s="237"/>
      <c r="Q123" s="237"/>
      <c r="R123" s="237"/>
      <c r="S123" s="237"/>
      <c r="T123" s="237"/>
    </row>
    <row r="124" spans="1:20" ht="30" customHeight="1" x14ac:dyDescent="0.2">
      <c r="A124" s="1155"/>
      <c r="B124" s="1156"/>
      <c r="C124" s="1156"/>
      <c r="D124" s="237"/>
      <c r="E124" s="237"/>
      <c r="F124" s="237"/>
      <c r="G124" s="237"/>
      <c r="H124" s="237"/>
      <c r="I124" s="237"/>
      <c r="J124" s="237"/>
      <c r="K124" s="237"/>
      <c r="L124" s="237"/>
      <c r="M124" s="237"/>
      <c r="N124" s="237"/>
      <c r="O124" s="237"/>
      <c r="P124" s="237"/>
      <c r="Q124" s="237"/>
      <c r="R124" s="237"/>
      <c r="S124" s="237"/>
      <c r="T124" s="237"/>
    </row>
    <row r="125" spans="1:20" ht="15" customHeight="1" x14ac:dyDescent="0.2">
      <c r="A125" s="1155"/>
      <c r="B125" s="1156"/>
      <c r="C125" s="1156"/>
      <c r="D125" s="237"/>
      <c r="E125" s="237"/>
      <c r="F125" s="237"/>
      <c r="G125" s="237"/>
      <c r="H125" s="237"/>
      <c r="I125" s="237"/>
      <c r="J125" s="237"/>
      <c r="K125" s="237"/>
      <c r="L125" s="237"/>
      <c r="M125" s="237"/>
      <c r="N125" s="237"/>
      <c r="O125" s="237"/>
      <c r="P125" s="237"/>
      <c r="Q125" s="237"/>
      <c r="R125" s="237"/>
      <c r="S125" s="237"/>
      <c r="T125" s="237"/>
    </row>
    <row r="126" spans="1:20" ht="45" customHeight="1" x14ac:dyDescent="0.2">
      <c r="A126" s="1155"/>
      <c r="B126" s="1156"/>
      <c r="C126" s="1156"/>
      <c r="D126" s="237"/>
      <c r="E126" s="237"/>
      <c r="F126" s="237"/>
      <c r="G126" s="237"/>
      <c r="H126" s="237"/>
      <c r="I126" s="237"/>
      <c r="J126" s="237"/>
      <c r="K126" s="237"/>
      <c r="L126" s="237"/>
      <c r="M126" s="237"/>
      <c r="N126" s="237"/>
      <c r="O126" s="237"/>
      <c r="P126" s="237"/>
      <c r="Q126" s="237"/>
      <c r="R126" s="237"/>
      <c r="S126" s="237"/>
      <c r="T126" s="237"/>
    </row>
    <row r="127" spans="1:20" ht="30" customHeight="1" x14ac:dyDescent="0.2">
      <c r="A127" s="1155"/>
      <c r="B127" s="1156"/>
      <c r="C127" s="1156"/>
      <c r="D127" s="237"/>
      <c r="E127" s="237"/>
      <c r="F127" s="237"/>
      <c r="G127" s="237"/>
      <c r="H127" s="237"/>
      <c r="I127" s="237"/>
      <c r="J127" s="237"/>
      <c r="K127" s="237"/>
      <c r="L127" s="237"/>
      <c r="M127" s="237"/>
      <c r="N127" s="237"/>
      <c r="O127" s="237"/>
      <c r="P127" s="237"/>
      <c r="Q127" s="237"/>
      <c r="R127" s="237"/>
      <c r="S127" s="237"/>
      <c r="T127" s="237"/>
    </row>
    <row r="128" spans="1:20" ht="30" customHeight="1" x14ac:dyDescent="0.2">
      <c r="A128" s="1155"/>
      <c r="B128" s="1156"/>
      <c r="C128" s="1156"/>
      <c r="D128" s="237"/>
      <c r="E128" s="237"/>
      <c r="F128" s="237"/>
      <c r="G128" s="237"/>
      <c r="H128" s="237"/>
      <c r="I128" s="237"/>
      <c r="J128" s="237"/>
      <c r="K128" s="237"/>
      <c r="L128" s="237"/>
      <c r="M128" s="237"/>
      <c r="N128" s="237"/>
      <c r="O128" s="237"/>
      <c r="P128" s="237"/>
      <c r="Q128" s="237"/>
      <c r="R128" s="237"/>
      <c r="S128" s="237"/>
      <c r="T128" s="237"/>
    </row>
    <row r="129" spans="1:20" ht="30" customHeight="1" x14ac:dyDescent="0.2">
      <c r="A129" s="1155"/>
      <c r="B129" s="1156"/>
      <c r="C129" s="1156"/>
      <c r="D129" s="237"/>
      <c r="E129" s="237"/>
      <c r="F129" s="237"/>
      <c r="G129" s="237"/>
      <c r="H129" s="237"/>
      <c r="I129" s="237"/>
      <c r="J129" s="237"/>
      <c r="K129" s="237"/>
      <c r="L129" s="237"/>
      <c r="M129" s="237"/>
      <c r="N129" s="237"/>
      <c r="O129" s="237"/>
      <c r="P129" s="237"/>
      <c r="Q129" s="237"/>
      <c r="R129" s="237"/>
      <c r="S129" s="237"/>
      <c r="T129" s="237"/>
    </row>
    <row r="130" spans="1:20" ht="30" customHeight="1" x14ac:dyDescent="0.2">
      <c r="A130" s="1155"/>
      <c r="B130" s="1156"/>
      <c r="C130" s="1156"/>
      <c r="D130" s="237"/>
      <c r="E130" s="237"/>
      <c r="F130" s="237"/>
      <c r="G130" s="237"/>
      <c r="H130" s="237"/>
      <c r="I130" s="237"/>
      <c r="J130" s="237"/>
      <c r="K130" s="237"/>
      <c r="L130" s="237"/>
      <c r="M130" s="237"/>
      <c r="N130" s="237"/>
      <c r="O130" s="237"/>
      <c r="P130" s="237"/>
      <c r="Q130" s="237"/>
      <c r="R130" s="237"/>
      <c r="S130" s="237"/>
      <c r="T130" s="237"/>
    </row>
    <row r="131" spans="1:20" ht="30" customHeight="1" x14ac:dyDescent="0.2">
      <c r="A131" s="1155"/>
      <c r="B131" s="1156"/>
      <c r="C131" s="1156"/>
      <c r="D131" s="237"/>
      <c r="E131" s="237"/>
      <c r="F131" s="237"/>
      <c r="G131" s="237"/>
      <c r="H131" s="237"/>
      <c r="I131" s="237"/>
      <c r="J131" s="237"/>
      <c r="K131" s="237"/>
      <c r="L131" s="237"/>
      <c r="M131" s="237"/>
      <c r="N131" s="237"/>
      <c r="O131" s="237"/>
      <c r="P131" s="237"/>
      <c r="Q131" s="237"/>
      <c r="R131" s="237"/>
      <c r="S131" s="237"/>
      <c r="T131" s="237"/>
    </row>
    <row r="132" spans="1:20" ht="30" customHeight="1" x14ac:dyDescent="0.2">
      <c r="A132" s="1155"/>
      <c r="B132" s="1156"/>
      <c r="C132" s="1156"/>
      <c r="D132" s="237"/>
      <c r="E132" s="237"/>
      <c r="F132" s="237"/>
      <c r="G132" s="237"/>
      <c r="H132" s="237"/>
      <c r="I132" s="237"/>
      <c r="J132" s="237"/>
      <c r="K132" s="237"/>
      <c r="L132" s="237"/>
      <c r="M132" s="237"/>
      <c r="N132" s="237"/>
      <c r="O132" s="237"/>
      <c r="P132" s="237"/>
      <c r="Q132" s="237"/>
      <c r="R132" s="237"/>
      <c r="S132" s="237"/>
      <c r="T132" s="237"/>
    </row>
    <row r="133" spans="1:20" ht="15" customHeight="1" x14ac:dyDescent="0.2">
      <c r="A133" s="1155"/>
      <c r="B133" s="1156"/>
      <c r="C133" s="1156"/>
      <c r="D133" s="237"/>
      <c r="E133" s="237"/>
      <c r="F133" s="237"/>
      <c r="G133" s="237"/>
      <c r="H133" s="237"/>
      <c r="I133" s="237"/>
      <c r="J133" s="237"/>
      <c r="K133" s="237"/>
      <c r="L133" s="237"/>
      <c r="M133" s="237"/>
      <c r="N133" s="237"/>
      <c r="O133" s="237"/>
      <c r="P133" s="237"/>
      <c r="Q133" s="237"/>
      <c r="R133" s="237"/>
      <c r="S133" s="237"/>
      <c r="T133" s="237"/>
    </row>
    <row r="134" spans="1:20" ht="45" customHeight="1" x14ac:dyDescent="0.2">
      <c r="A134" s="1155"/>
      <c r="B134" s="1156"/>
      <c r="C134" s="1156"/>
      <c r="D134" s="237"/>
      <c r="E134" s="237"/>
      <c r="F134" s="237"/>
      <c r="G134" s="237"/>
      <c r="H134" s="237"/>
      <c r="I134" s="237"/>
      <c r="J134" s="237"/>
      <c r="K134" s="237"/>
      <c r="L134" s="237"/>
      <c r="M134" s="237"/>
      <c r="N134" s="237"/>
      <c r="O134" s="237"/>
      <c r="P134" s="237"/>
      <c r="Q134" s="237"/>
      <c r="R134" s="237"/>
      <c r="S134" s="237"/>
      <c r="T134" s="237"/>
    </row>
    <row r="135" spans="1:20" ht="30" customHeight="1" x14ac:dyDescent="0.2">
      <c r="A135" s="1155"/>
      <c r="B135" s="1156"/>
      <c r="C135" s="1156"/>
      <c r="D135" s="237"/>
      <c r="E135" s="237"/>
      <c r="F135" s="237"/>
      <c r="G135" s="237"/>
      <c r="H135" s="237"/>
      <c r="I135" s="237"/>
      <c r="J135" s="237"/>
      <c r="K135" s="237"/>
      <c r="L135" s="237"/>
      <c r="M135" s="237"/>
      <c r="N135" s="237"/>
      <c r="O135" s="237"/>
      <c r="P135" s="237"/>
      <c r="Q135" s="237"/>
      <c r="R135" s="237"/>
      <c r="S135" s="237"/>
      <c r="T135" s="237"/>
    </row>
    <row r="136" spans="1:20" ht="30" customHeight="1" x14ac:dyDescent="0.2">
      <c r="A136" s="1155"/>
      <c r="B136" s="1156"/>
      <c r="C136" s="1156"/>
      <c r="D136" s="237"/>
      <c r="E136" s="237"/>
      <c r="F136" s="237"/>
      <c r="G136" s="237"/>
      <c r="H136" s="237"/>
      <c r="I136" s="237"/>
      <c r="J136" s="237"/>
      <c r="K136" s="237"/>
      <c r="L136" s="237"/>
      <c r="M136" s="237"/>
      <c r="N136" s="237"/>
      <c r="O136" s="237"/>
      <c r="P136" s="237"/>
      <c r="Q136" s="237"/>
      <c r="R136" s="237"/>
      <c r="S136" s="237"/>
      <c r="T136" s="237"/>
    </row>
    <row r="137" spans="1:20" ht="30" customHeight="1" x14ac:dyDescent="0.2">
      <c r="A137" s="1155"/>
      <c r="B137" s="1156"/>
      <c r="C137" s="1156"/>
      <c r="D137" s="237"/>
      <c r="E137" s="237"/>
      <c r="F137" s="237"/>
      <c r="G137" s="237"/>
      <c r="H137" s="237"/>
      <c r="I137" s="237"/>
      <c r="J137" s="237"/>
      <c r="K137" s="237"/>
      <c r="L137" s="237"/>
      <c r="M137" s="237"/>
      <c r="N137" s="237"/>
      <c r="O137" s="237"/>
      <c r="P137" s="237"/>
      <c r="Q137" s="237"/>
      <c r="R137" s="237"/>
      <c r="S137" s="237"/>
      <c r="T137" s="237"/>
    </row>
    <row r="138" spans="1:20" ht="30" customHeight="1" x14ac:dyDescent="0.2">
      <c r="A138" s="1155"/>
      <c r="B138" s="1156"/>
      <c r="C138" s="1156"/>
      <c r="D138" s="237"/>
      <c r="E138" s="237"/>
      <c r="F138" s="237"/>
      <c r="G138" s="237"/>
      <c r="H138" s="237"/>
      <c r="I138" s="237"/>
      <c r="J138" s="237"/>
      <c r="K138" s="237"/>
      <c r="L138" s="237"/>
      <c r="M138" s="237"/>
      <c r="N138" s="237"/>
      <c r="O138" s="237"/>
      <c r="P138" s="237"/>
      <c r="Q138" s="237"/>
      <c r="R138" s="237"/>
      <c r="S138" s="237"/>
      <c r="T138" s="237"/>
    </row>
    <row r="139" spans="1:20" ht="30" customHeight="1" x14ac:dyDescent="0.2">
      <c r="A139" s="1155"/>
      <c r="B139" s="1156"/>
      <c r="C139" s="1156"/>
      <c r="D139" s="237"/>
      <c r="E139" s="237"/>
      <c r="F139" s="237"/>
      <c r="G139" s="237"/>
      <c r="H139" s="237"/>
      <c r="I139" s="237"/>
      <c r="J139" s="237"/>
      <c r="K139" s="237"/>
      <c r="L139" s="237"/>
      <c r="M139" s="237"/>
      <c r="N139" s="237"/>
      <c r="O139" s="237"/>
      <c r="P139" s="237"/>
      <c r="Q139" s="237"/>
      <c r="R139" s="237"/>
      <c r="S139" s="237"/>
      <c r="T139" s="237"/>
    </row>
    <row r="140" spans="1:20" ht="30" customHeight="1" x14ac:dyDescent="0.2">
      <c r="A140" s="1155"/>
      <c r="B140" s="1156"/>
      <c r="C140" s="1156"/>
      <c r="D140" s="237"/>
      <c r="E140" s="237"/>
      <c r="F140" s="237"/>
      <c r="G140" s="237"/>
      <c r="H140" s="237"/>
      <c r="I140" s="237"/>
      <c r="J140" s="237"/>
      <c r="K140" s="237"/>
      <c r="L140" s="237"/>
      <c r="M140" s="237"/>
      <c r="N140" s="237"/>
      <c r="O140" s="237"/>
      <c r="P140" s="237"/>
      <c r="Q140" s="237"/>
      <c r="R140" s="237"/>
      <c r="S140" s="237"/>
      <c r="T140" s="237"/>
    </row>
    <row r="141" spans="1:20" ht="15" customHeight="1" x14ac:dyDescent="0.2">
      <c r="A141" s="1155"/>
      <c r="B141" s="1156"/>
      <c r="C141" s="1156"/>
      <c r="D141" s="237"/>
      <c r="E141" s="237"/>
      <c r="F141" s="237"/>
      <c r="G141" s="237"/>
      <c r="H141" s="237"/>
      <c r="I141" s="237"/>
      <c r="J141" s="237"/>
      <c r="K141" s="237"/>
      <c r="L141" s="237"/>
      <c r="M141" s="237"/>
      <c r="N141" s="237"/>
      <c r="O141" s="237"/>
      <c r="P141" s="237"/>
      <c r="Q141" s="237"/>
      <c r="R141" s="237"/>
      <c r="S141" s="237"/>
      <c r="T141" s="237"/>
    </row>
    <row r="142" spans="1:20" ht="20.100000000000001" customHeight="1" x14ac:dyDescent="0.2">
      <c r="A142" s="1155"/>
      <c r="B142" s="1156"/>
      <c r="C142" s="1156"/>
      <c r="D142" s="237"/>
      <c r="E142" s="237"/>
      <c r="F142" s="237"/>
      <c r="G142" s="237"/>
      <c r="H142" s="237"/>
      <c r="I142" s="237"/>
      <c r="J142" s="237"/>
      <c r="K142" s="237"/>
      <c r="L142" s="237"/>
      <c r="M142" s="237"/>
      <c r="N142" s="237"/>
      <c r="O142" s="237"/>
      <c r="P142" s="237"/>
      <c r="Q142" s="237"/>
      <c r="R142" s="237"/>
      <c r="S142" s="237"/>
      <c r="T142" s="237"/>
    </row>
    <row r="143" spans="1:20" ht="107.1" customHeight="1" x14ac:dyDescent="0.2">
      <c r="A143" s="1155"/>
      <c r="B143" s="1156"/>
      <c r="C143" s="1156"/>
      <c r="D143" s="237"/>
      <c r="E143" s="237"/>
      <c r="F143" s="237"/>
      <c r="G143" s="237"/>
      <c r="H143" s="237"/>
      <c r="I143" s="237"/>
      <c r="J143" s="237"/>
      <c r="K143" s="237"/>
      <c r="L143" s="237"/>
      <c r="M143" s="237"/>
      <c r="N143" s="237"/>
      <c r="O143" s="237"/>
      <c r="P143" s="237"/>
      <c r="Q143" s="237"/>
      <c r="R143" s="237"/>
      <c r="S143" s="237"/>
      <c r="T143" s="237"/>
    </row>
    <row r="144" spans="1:20" ht="15.75" x14ac:dyDescent="0.2">
      <c r="A144" s="1155"/>
      <c r="B144" s="1156"/>
      <c r="C144" s="1156"/>
      <c r="D144" s="237"/>
      <c r="E144" s="237"/>
      <c r="F144" s="237"/>
      <c r="G144" s="237"/>
      <c r="H144" s="237"/>
      <c r="I144" s="237"/>
      <c r="J144" s="237"/>
      <c r="K144" s="237"/>
      <c r="L144" s="237"/>
      <c r="M144" s="237"/>
      <c r="N144" s="237"/>
      <c r="O144" s="237"/>
      <c r="P144" s="237"/>
      <c r="Q144" s="237"/>
      <c r="R144" s="237"/>
      <c r="S144" s="237"/>
      <c r="T144" s="237"/>
    </row>
    <row r="145" spans="1:20" ht="20.100000000000001" customHeight="1" x14ac:dyDescent="0.2">
      <c r="A145" s="1155"/>
      <c r="B145" s="1156"/>
      <c r="C145" s="1156"/>
      <c r="D145" s="237"/>
      <c r="E145" s="237"/>
      <c r="F145" s="237"/>
      <c r="G145" s="237"/>
      <c r="H145" s="237"/>
      <c r="I145" s="237"/>
      <c r="J145" s="237"/>
      <c r="K145" s="237"/>
      <c r="L145" s="237"/>
      <c r="M145" s="237"/>
      <c r="N145" s="237"/>
      <c r="O145" s="237"/>
      <c r="P145" s="237"/>
      <c r="Q145" s="237"/>
      <c r="R145" s="237"/>
      <c r="S145" s="237"/>
      <c r="T145" s="237"/>
    </row>
    <row r="146" spans="1:20" ht="107.1" customHeight="1" x14ac:dyDescent="0.2">
      <c r="A146" s="1155"/>
      <c r="B146" s="1156"/>
      <c r="C146" s="1156"/>
      <c r="D146" s="237"/>
      <c r="E146" s="237"/>
      <c r="F146" s="237"/>
      <c r="G146" s="237"/>
      <c r="H146" s="237"/>
      <c r="I146" s="237"/>
      <c r="J146" s="237"/>
      <c r="K146" s="237"/>
      <c r="L146" s="237"/>
      <c r="M146" s="237"/>
      <c r="N146" s="237"/>
      <c r="O146" s="237"/>
      <c r="P146" s="237"/>
      <c r="Q146" s="237"/>
      <c r="R146" s="237"/>
      <c r="S146" s="237"/>
      <c r="T146" s="237"/>
    </row>
    <row r="147" spans="1:20" ht="15.75" x14ac:dyDescent="0.2">
      <c r="A147" s="1100"/>
      <c r="B147" s="1099"/>
      <c r="C147" s="1099"/>
      <c r="D147" s="237"/>
      <c r="E147" s="237"/>
      <c r="F147" s="237"/>
      <c r="G147" s="237"/>
      <c r="H147" s="237"/>
      <c r="I147" s="237"/>
      <c r="J147" s="237"/>
      <c r="K147" s="237"/>
      <c r="L147" s="237"/>
      <c r="M147" s="237"/>
      <c r="N147" s="237"/>
      <c r="O147" s="237"/>
      <c r="P147" s="237"/>
      <c r="Q147" s="237"/>
      <c r="R147" s="237"/>
      <c r="S147" s="237"/>
      <c r="T147" s="237"/>
    </row>
    <row r="148" spans="1:20" ht="15.75" x14ac:dyDescent="0.2">
      <c r="A148" s="1100"/>
      <c r="B148" s="1099"/>
      <c r="C148" s="1099"/>
      <c r="D148" s="237"/>
      <c r="E148" s="237"/>
      <c r="F148" s="237"/>
      <c r="G148" s="237"/>
      <c r="H148" s="237"/>
      <c r="I148" s="237"/>
      <c r="J148" s="237"/>
      <c r="K148" s="237"/>
      <c r="L148" s="237"/>
      <c r="M148" s="237"/>
      <c r="N148" s="237"/>
      <c r="O148" s="237"/>
      <c r="P148" s="237"/>
      <c r="Q148" s="237"/>
      <c r="R148" s="237"/>
      <c r="S148" s="237"/>
      <c r="T148" s="237"/>
    </row>
    <row r="149" spans="1:20" ht="15.75" x14ac:dyDescent="0.2">
      <c r="A149" s="1100"/>
      <c r="B149" s="1099"/>
      <c r="C149" s="1099"/>
      <c r="D149" s="237"/>
      <c r="E149" s="237"/>
      <c r="F149" s="237"/>
      <c r="G149" s="237"/>
      <c r="H149" s="237"/>
      <c r="I149" s="237"/>
      <c r="J149" s="237"/>
      <c r="K149" s="237"/>
      <c r="L149" s="237"/>
      <c r="M149" s="237"/>
      <c r="N149" s="237"/>
      <c r="O149" s="237"/>
      <c r="P149" s="237"/>
      <c r="Q149" s="237"/>
      <c r="R149" s="237"/>
      <c r="S149" s="237"/>
      <c r="T149" s="237"/>
    </row>
    <row r="150" spans="1:20" ht="15.75" x14ac:dyDescent="0.2">
      <c r="A150" s="1100"/>
      <c r="B150" s="1099"/>
      <c r="C150" s="1099"/>
      <c r="D150" s="237"/>
      <c r="E150" s="237"/>
      <c r="F150" s="237"/>
      <c r="G150" s="237"/>
      <c r="H150" s="237"/>
      <c r="I150" s="237"/>
      <c r="J150" s="237"/>
      <c r="K150" s="237"/>
      <c r="L150" s="237"/>
      <c r="M150" s="237"/>
      <c r="N150" s="237"/>
      <c r="O150" s="237"/>
      <c r="P150" s="237"/>
      <c r="Q150" s="237"/>
      <c r="R150" s="237"/>
      <c r="S150" s="237"/>
      <c r="T150" s="237"/>
    </row>
    <row r="151" spans="1:20" ht="15.75" x14ac:dyDescent="0.2">
      <c r="A151" s="1100"/>
      <c r="B151" s="1099"/>
      <c r="C151" s="1099"/>
      <c r="D151" s="237"/>
      <c r="E151" s="237"/>
      <c r="F151" s="237"/>
      <c r="G151" s="237"/>
      <c r="H151" s="237"/>
      <c r="I151" s="237"/>
      <c r="J151" s="237"/>
      <c r="K151" s="237"/>
      <c r="L151" s="237"/>
      <c r="M151" s="237"/>
      <c r="N151" s="237"/>
      <c r="O151" s="237"/>
      <c r="P151" s="237"/>
      <c r="Q151" s="237"/>
      <c r="R151" s="237"/>
      <c r="S151" s="237"/>
      <c r="T151" s="237"/>
    </row>
    <row r="152" spans="1:20" ht="15.75" x14ac:dyDescent="0.2">
      <c r="A152" s="1100"/>
      <c r="B152" s="1099"/>
      <c r="C152" s="1099"/>
      <c r="D152" s="237"/>
      <c r="E152" s="237"/>
      <c r="F152" s="237"/>
      <c r="G152" s="237"/>
      <c r="H152" s="237"/>
      <c r="I152" s="237"/>
      <c r="J152" s="237"/>
      <c r="K152" s="237"/>
      <c r="L152" s="237"/>
      <c r="M152" s="237"/>
      <c r="N152" s="237"/>
      <c r="O152" s="237"/>
      <c r="P152" s="237"/>
      <c r="Q152" s="237"/>
      <c r="R152" s="237"/>
      <c r="S152" s="237"/>
      <c r="T152" s="237"/>
    </row>
    <row r="153" spans="1:20" ht="15.75" x14ac:dyDescent="0.2">
      <c r="A153" s="1100"/>
      <c r="B153" s="1099"/>
      <c r="C153" s="1099"/>
      <c r="D153" s="237"/>
      <c r="E153" s="237"/>
      <c r="F153" s="237"/>
      <c r="G153" s="237"/>
      <c r="H153" s="237"/>
      <c r="I153" s="237"/>
      <c r="J153" s="237"/>
      <c r="K153" s="237"/>
      <c r="L153" s="237"/>
      <c r="M153" s="237"/>
      <c r="N153" s="237"/>
      <c r="O153" s="237"/>
      <c r="P153" s="237"/>
      <c r="Q153" s="237"/>
      <c r="R153" s="237"/>
      <c r="S153" s="237"/>
      <c r="T153" s="237"/>
    </row>
    <row r="154" spans="1:20" ht="15.75" x14ac:dyDescent="0.2">
      <c r="A154" s="1100"/>
      <c r="B154" s="1099"/>
      <c r="C154" s="1099"/>
      <c r="D154" s="237"/>
      <c r="E154" s="237"/>
      <c r="F154" s="237"/>
      <c r="G154" s="237"/>
      <c r="H154" s="237"/>
      <c r="I154" s="237"/>
      <c r="J154" s="237"/>
      <c r="K154" s="237"/>
      <c r="L154" s="237"/>
      <c r="M154" s="237"/>
      <c r="N154" s="237"/>
      <c r="O154" s="237"/>
      <c r="P154" s="237"/>
      <c r="Q154" s="237"/>
      <c r="R154" s="237"/>
      <c r="S154" s="237"/>
      <c r="T154" s="237"/>
    </row>
    <row r="155" spans="1:20" ht="15.75" x14ac:dyDescent="0.2">
      <c r="A155" s="1100"/>
      <c r="B155" s="1099"/>
      <c r="C155" s="1099"/>
      <c r="D155" s="237"/>
      <c r="E155" s="237"/>
      <c r="F155" s="237"/>
      <c r="G155" s="237"/>
      <c r="H155" s="237"/>
      <c r="I155" s="237"/>
      <c r="J155" s="237"/>
      <c r="K155" s="237"/>
      <c r="L155" s="237"/>
      <c r="M155" s="237"/>
      <c r="N155" s="237"/>
      <c r="O155" s="237"/>
      <c r="P155" s="237"/>
      <c r="Q155" s="237"/>
      <c r="R155" s="237"/>
      <c r="S155" s="237"/>
      <c r="T155" s="237"/>
    </row>
    <row r="156" spans="1:20" ht="15.75" x14ac:dyDescent="0.2">
      <c r="A156" s="1100"/>
      <c r="B156" s="1099"/>
      <c r="C156" s="1099"/>
      <c r="D156" s="237"/>
      <c r="E156" s="237"/>
      <c r="F156" s="237"/>
      <c r="G156" s="237"/>
      <c r="H156" s="237"/>
      <c r="I156" s="237"/>
      <c r="J156" s="237"/>
      <c r="K156" s="237"/>
      <c r="L156" s="237"/>
      <c r="M156" s="237"/>
      <c r="N156" s="237"/>
      <c r="O156" s="237"/>
      <c r="P156" s="237"/>
      <c r="Q156" s="237"/>
      <c r="R156" s="237"/>
      <c r="S156" s="237"/>
      <c r="T156" s="237"/>
    </row>
  </sheetData>
  <sheetProtection algorithmName="SHA-512" hashValue="Xilm5LeowGgGnKl4IJ4F1DndsIdHHKOwmlJxvJzuWlfAz23O4K6FcYLi95nobBP+kV4pkTGDVk76nUIzB6HVFA==" saltValue="wdyCJR3lZCC7TFf84j9UDQ==" spinCount="100000" sheet="1" selectLockedCells="1"/>
  <mergeCells count="7">
    <mergeCell ref="W6:Y6"/>
    <mergeCell ref="Z6:AB6"/>
    <mergeCell ref="Q6:S6"/>
    <mergeCell ref="T6:V6"/>
    <mergeCell ref="A1:C3"/>
    <mergeCell ref="A4:T4"/>
    <mergeCell ref="D1:AB3"/>
  </mergeCells>
  <phoneticPr fontId="66" type="noConversion"/>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(2023-02-17)
</oddFooter>
  </headerFooter>
  <drawing r:id="rId2"/>
  <extLst>
    <ext xmlns:x14="http://schemas.microsoft.com/office/spreadsheetml/2009/9/main" uri="{05C60535-1F16-4fd2-B633-F4F36F0B64E0}">
      <x14:sparklineGroups xmlns:xm="http://schemas.microsoft.com/office/excel/2006/main">
        <x14:sparklineGroup type="column" displayEmptyCellsAs="gap" high="1" xr2:uid="{00000000-0003-0000-2200-00001F000000}">
          <x14:colorSeries rgb="FF000000"/>
          <x14:colorNegative rgb="FF0070C0"/>
          <x14:colorAxis rgb="FF000000"/>
          <x14:colorMarkers rgb="FF0070C0"/>
          <x14:colorFirst rgb="FF0070C0"/>
          <x14:colorLast rgb="FF0070C0"/>
          <x14:colorHigh rgb="FF0070C0"/>
          <x14:colorLow rgb="FF0070C0"/>
          <x14:sparklines>
            <x14:sparkline>
              <xm:f>'gramo Pc &lt;'!E7:F7</xm:f>
              <xm:sqref>G7</xm:sqref>
            </x14:sparkline>
          </x14:sparklines>
        </x14:sparklineGroup>
        <x14:sparklineGroup type="column" displayEmptyCellsAs="gap" high="1" xr2:uid="{00000000-0003-0000-2200-00001E000000}">
          <x14:colorSeries rgb="FF000000"/>
          <x14:colorNegative rgb="FF0070C0"/>
          <x14:colorAxis rgb="FF000000"/>
          <x14:colorMarkers rgb="FF0070C0"/>
          <x14:colorFirst rgb="FF0070C0"/>
          <x14:colorLast rgb="FF0070C0"/>
          <x14:colorHigh rgb="FF0070C0"/>
          <x14:colorLow rgb="FF0070C0"/>
          <x14:sparklines>
            <x14:sparkline>
              <xm:f>'gramo Pc &lt;'!E8:F8</xm:f>
              <xm:sqref>G8</xm:sqref>
            </x14:sparkline>
          </x14:sparklines>
        </x14:sparklineGroup>
        <x14:sparklineGroup type="column" displayEmptyCellsAs="gap" high="1" xr2:uid="{00000000-0003-0000-2200-00001D000000}">
          <x14:colorSeries rgb="FF000000"/>
          <x14:colorNegative rgb="FF0070C0"/>
          <x14:colorAxis rgb="FF000000"/>
          <x14:colorMarkers rgb="FF0070C0"/>
          <x14:colorFirst rgb="FF0070C0"/>
          <x14:colorLast rgb="FF0070C0"/>
          <x14:colorHigh rgb="FF0070C0"/>
          <x14:colorLow rgb="FF0070C0"/>
          <x14:sparklines>
            <x14:sparkline>
              <xm:f>'gramo Pc &lt;'!E9:F9</xm:f>
              <xm:sqref>G9</xm:sqref>
            </x14:sparkline>
          </x14:sparklines>
        </x14:sparklineGroup>
        <x14:sparklineGroup type="column" displayEmptyCellsAs="gap" high="1" xr2:uid="{00000000-0003-0000-2200-00001C000000}">
          <x14:colorSeries rgb="FF000000"/>
          <x14:colorNegative rgb="FF0070C0"/>
          <x14:colorAxis rgb="FF000000"/>
          <x14:colorMarkers rgb="FF0070C0"/>
          <x14:colorFirst rgb="FF0070C0"/>
          <x14:colorLast rgb="FF0070C0"/>
          <x14:colorHigh rgb="FF0070C0"/>
          <x14:colorLow rgb="FF0070C0"/>
          <x14:sparklines>
            <x14:sparkline>
              <xm:f>'gramo Pc &lt;'!E10:F10</xm:f>
              <xm:sqref>G10</xm:sqref>
            </x14:sparkline>
          </x14:sparklines>
        </x14:sparklineGroup>
        <x14:sparklineGroup type="column" displayEmptyCellsAs="gap" high="1" xr2:uid="{00000000-0003-0000-2200-00001B000000}">
          <x14:colorSeries rgb="FF000000"/>
          <x14:colorNegative rgb="FF0070C0"/>
          <x14:colorAxis rgb="FF000000"/>
          <x14:colorMarkers rgb="FF0070C0"/>
          <x14:colorFirst rgb="FF0070C0"/>
          <x14:colorLast rgb="FF0070C0"/>
          <x14:colorHigh rgb="FF0070C0"/>
          <x14:colorLow rgb="FF0070C0"/>
          <x14:sparklines>
            <x14:sparkline>
              <xm:f>'gramo Pc &lt;'!E23:F23</xm:f>
              <xm:sqref>G23</xm:sqref>
            </x14:sparkline>
          </x14:sparklines>
        </x14:sparklineGroup>
        <x14:sparklineGroup type="column" displayEmptyCellsAs="gap" high="1" xr2:uid="{00000000-0003-0000-2200-00001A000000}">
          <x14:colorSeries rgb="FF000000"/>
          <x14:colorNegative rgb="FF0070C0"/>
          <x14:colorAxis rgb="FF000000"/>
          <x14:colorMarkers rgb="FF0070C0"/>
          <x14:colorFirst rgb="FF0070C0"/>
          <x14:colorLast rgb="FF0070C0"/>
          <x14:colorHigh rgb="FF0070C0"/>
          <x14:colorLow rgb="FF0070C0"/>
          <x14:sparklines>
            <x14:sparkline>
              <xm:f>'gramo Pc &lt;'!E11:F11</xm:f>
              <xm:sqref>G11</xm:sqref>
            </x14:sparkline>
          </x14:sparklines>
        </x14:sparklineGroup>
        <x14:sparklineGroup type="column" displayEmptyCellsAs="gap" high="1" xr2:uid="{00000000-0003-0000-2200-000019000000}">
          <x14:colorSeries rgb="FF000000"/>
          <x14:colorNegative rgb="FF0070C0"/>
          <x14:colorAxis rgb="FF000000"/>
          <x14:colorMarkers rgb="FF0070C0"/>
          <x14:colorFirst rgb="FF0070C0"/>
          <x14:colorLast rgb="FF0070C0"/>
          <x14:colorHigh rgb="FF0070C0"/>
          <x14:colorLow rgb="FF0070C0"/>
          <x14:sparklines>
            <x14:sparkline>
              <xm:f>'gramo Pc &lt;'!E12:F12</xm:f>
              <xm:sqref>G12</xm:sqref>
            </x14:sparkline>
          </x14:sparklines>
        </x14:sparklineGroup>
        <x14:sparklineGroup type="column" displayEmptyCellsAs="gap" high="1" xr2:uid="{00000000-0003-0000-2200-000018000000}">
          <x14:colorSeries rgb="FF000000"/>
          <x14:colorNegative rgb="FF0070C0"/>
          <x14:colorAxis rgb="FF000000"/>
          <x14:colorMarkers rgb="FF0070C0"/>
          <x14:colorFirst rgb="FF0070C0"/>
          <x14:colorLast rgb="FF0070C0"/>
          <x14:colorHigh rgb="FF0070C0"/>
          <x14:colorLow rgb="FF0070C0"/>
          <x14:sparklines>
            <x14:sparkline>
              <xm:f>'gramo Pc &lt;'!E13:F13</xm:f>
              <xm:sqref>G13</xm:sqref>
            </x14:sparkline>
          </x14:sparklines>
        </x14:sparklineGroup>
        <x14:sparklineGroup type="column" displayEmptyCellsAs="gap" high="1" xr2:uid="{00000000-0003-0000-2200-000017000000}">
          <x14:colorSeries rgb="FF000000"/>
          <x14:colorNegative rgb="FF0070C0"/>
          <x14:colorAxis rgb="FF000000"/>
          <x14:colorMarkers rgb="FF0070C0"/>
          <x14:colorFirst rgb="FF0070C0"/>
          <x14:colorLast rgb="FF0070C0"/>
          <x14:colorHigh rgb="FF0070C0"/>
          <x14:colorLow rgb="FF0070C0"/>
          <x14:sparklines>
            <x14:sparkline>
              <xm:f>'gramo Pc &lt;'!E14:F14</xm:f>
              <xm:sqref>G14</xm:sqref>
            </x14:sparkline>
          </x14:sparklines>
        </x14:sparklineGroup>
        <x14:sparklineGroup type="column" displayEmptyCellsAs="gap" high="1" xr2:uid="{00000000-0003-0000-2200-000016000000}">
          <x14:colorSeries rgb="FF000000"/>
          <x14:colorNegative rgb="FF0070C0"/>
          <x14:colorAxis rgb="FF000000"/>
          <x14:colorMarkers rgb="FF0070C0"/>
          <x14:colorFirst rgb="FF0070C0"/>
          <x14:colorLast rgb="FF0070C0"/>
          <x14:colorHigh rgb="FF0070C0"/>
          <x14:colorLow rgb="FF0070C0"/>
          <x14:sparklines>
            <x14:sparkline>
              <xm:f>'gramo Pc &lt;'!E15:F15</xm:f>
              <xm:sqref>G15</xm:sqref>
            </x14:sparkline>
          </x14:sparklines>
        </x14:sparklineGroup>
        <x14:sparklineGroup type="column" displayEmptyCellsAs="gap" high="1" xr2:uid="{00000000-0003-0000-2200-000015000000}">
          <x14:colorSeries rgb="FF000000"/>
          <x14:colorNegative rgb="FF0070C0"/>
          <x14:colorAxis rgb="FF000000"/>
          <x14:colorMarkers rgb="FF0070C0"/>
          <x14:colorFirst rgb="FF0070C0"/>
          <x14:colorLast rgb="FF0070C0"/>
          <x14:colorHigh rgb="FF0070C0"/>
          <x14:colorLow rgb="FF0070C0"/>
          <x14:sparklines>
            <x14:sparkline>
              <xm:f>'gramo Pc &lt;'!E16:F16</xm:f>
              <xm:sqref>G16</xm:sqref>
            </x14:sparkline>
          </x14:sparklines>
        </x14:sparklineGroup>
        <x14:sparklineGroup type="column" displayEmptyCellsAs="gap" high="1" xr2:uid="{00000000-0003-0000-2200-000014000000}">
          <x14:colorSeries rgb="FF000000"/>
          <x14:colorNegative rgb="FF0070C0"/>
          <x14:colorAxis rgb="FF000000"/>
          <x14:colorMarkers rgb="FF0070C0"/>
          <x14:colorFirst rgb="FF0070C0"/>
          <x14:colorLast rgb="FF0070C0"/>
          <x14:colorHigh rgb="FF0070C0"/>
          <x14:colorLow rgb="FF0070C0"/>
          <x14:sparklines>
            <x14:sparkline>
              <xm:f>'gramo Pc &lt;'!E17:F17</xm:f>
              <xm:sqref>G17</xm:sqref>
            </x14:sparkline>
          </x14:sparklines>
        </x14:sparklineGroup>
        <x14:sparklineGroup type="column" displayEmptyCellsAs="gap" high="1" xr2:uid="{00000000-0003-0000-2200-000013000000}">
          <x14:colorSeries rgb="FF000000"/>
          <x14:colorNegative rgb="FF0070C0"/>
          <x14:colorAxis rgb="FF000000"/>
          <x14:colorMarkers rgb="FF0070C0"/>
          <x14:colorFirst rgb="FF0070C0"/>
          <x14:colorLast rgb="FF0070C0"/>
          <x14:colorHigh rgb="FF0070C0"/>
          <x14:colorLow rgb="FF0070C0"/>
          <x14:sparklines>
            <x14:sparkline>
              <xm:f>'gramo Pc &lt;'!E18:F18</xm:f>
              <xm:sqref>G18</xm:sqref>
            </x14:sparkline>
          </x14:sparklines>
        </x14:sparklineGroup>
        <x14:sparklineGroup type="column" displayEmptyCellsAs="gap" high="1" xr2:uid="{00000000-0003-0000-2200-000012000000}">
          <x14:colorSeries rgb="FF000000"/>
          <x14:colorNegative rgb="FF0070C0"/>
          <x14:colorAxis rgb="FF000000"/>
          <x14:colorMarkers rgb="FF0070C0"/>
          <x14:colorFirst rgb="FF0070C0"/>
          <x14:colorLast rgb="FF0070C0"/>
          <x14:colorHigh rgb="FF0070C0"/>
          <x14:colorLow rgb="FF0070C0"/>
          <x14:sparklines>
            <x14:sparkline>
              <xm:f>'gramo Pc &lt;'!E19:F19</xm:f>
              <xm:sqref>G19</xm:sqref>
            </x14:sparkline>
          </x14:sparklines>
        </x14:sparklineGroup>
        <x14:sparklineGroup type="column" displayEmptyCellsAs="gap" high="1" xr2:uid="{00000000-0003-0000-2200-000011000000}">
          <x14:colorSeries rgb="FF000000"/>
          <x14:colorNegative rgb="FF0070C0"/>
          <x14:colorAxis rgb="FF000000"/>
          <x14:colorMarkers rgb="FF0070C0"/>
          <x14:colorFirst rgb="FF0070C0"/>
          <x14:colorLast rgb="FF0070C0"/>
          <x14:colorHigh rgb="FF0070C0"/>
          <x14:colorLow rgb="FF0070C0"/>
          <x14:sparklines>
            <x14:sparkline>
              <xm:f>'gramo Pc &lt;'!E20:F20</xm:f>
              <xm:sqref>G20</xm:sqref>
            </x14:sparkline>
          </x14:sparklines>
        </x14:sparklineGroup>
        <x14:sparklineGroup type="column" displayEmptyCellsAs="gap" high="1" xr2:uid="{00000000-0003-0000-2200-000010000000}">
          <x14:colorSeries rgb="FF000000"/>
          <x14:colorNegative rgb="FF0070C0"/>
          <x14:colorAxis rgb="FF000000"/>
          <x14:colorMarkers rgb="FF0070C0"/>
          <x14:colorFirst rgb="FF0070C0"/>
          <x14:colorLast rgb="FF0070C0"/>
          <x14:colorHigh rgb="FF0070C0"/>
          <x14:colorLow rgb="FF0070C0"/>
          <x14:sparklines>
            <x14:sparkline>
              <xm:f>'gramo Pc &lt;'!E21:F21</xm:f>
              <xm:sqref>G21</xm:sqref>
            </x14:sparkline>
          </x14:sparklines>
        </x14:sparklineGroup>
        <x14:sparklineGroup type="column" displayEmptyCellsAs="gap" high="1" xr2:uid="{00000000-0003-0000-2200-00000F000000}">
          <x14:colorSeries rgb="FF000000"/>
          <x14:colorNegative rgb="FF0070C0"/>
          <x14:colorAxis rgb="FF000000"/>
          <x14:colorMarkers rgb="FF0070C0"/>
          <x14:colorFirst rgb="FF0070C0"/>
          <x14:colorLast rgb="FF0070C0"/>
          <x14:colorHigh rgb="FF0070C0"/>
          <x14:colorLow rgb="FF0070C0"/>
          <x14:sparklines>
            <x14:sparkline>
              <xm:f>'gramo Pc &lt;'!E22:F22</xm:f>
              <xm:sqref>G22</xm:sqref>
            </x14:sparkline>
          </x14:sparklines>
        </x14:sparklineGroup>
        <x14:sparklineGroup type="column" displayEmptyCellsAs="gap" high="1" xr2:uid="{00000000-0003-0000-2200-00000E000000}">
          <x14:colorSeries rgb="FF000000"/>
          <x14:colorNegative rgb="FF0070C0"/>
          <x14:colorAxis rgb="FF000000"/>
          <x14:colorMarkers rgb="FF0070C0"/>
          <x14:colorFirst rgb="FF0070C0"/>
          <x14:colorLast rgb="FF0070C0"/>
          <x14:colorHigh rgb="FF0070C0"/>
          <x14:colorLow rgb="FF0070C0"/>
          <x14:sparklines>
            <x14:sparkline>
              <xm:f>'gramo Pc &lt;'!E24:F24</xm:f>
              <xm:sqref>G24</xm:sqref>
            </x14:sparkline>
          </x14:sparklines>
        </x14:sparklineGroup>
        <x14:sparklineGroup type="column" displayEmptyCellsAs="gap" high="1" xr2:uid="{00000000-0003-0000-2200-00000D000000}">
          <x14:colorSeries rgb="FF000000"/>
          <x14:colorNegative rgb="FF0070C0"/>
          <x14:colorAxis rgb="FF000000"/>
          <x14:colorMarkers rgb="FF0070C0"/>
          <x14:colorFirst rgb="FF0070C0"/>
          <x14:colorLast rgb="FF0070C0"/>
          <x14:colorHigh rgb="FF0070C0"/>
          <x14:colorLow rgb="FF0070C0"/>
          <x14:sparklines>
            <x14:sparkline>
              <xm:f>'gramo Pc &lt;'!E25:F25</xm:f>
              <xm:sqref>G25</xm:sqref>
            </x14:sparkline>
          </x14:sparklines>
        </x14:sparklineGroup>
        <x14:sparklineGroup type="column" displayEmptyCellsAs="gap" high="1" xr2:uid="{00000000-0003-0000-2200-00000C000000}">
          <x14:colorSeries rgb="FF000000"/>
          <x14:colorNegative rgb="FF0070C0"/>
          <x14:colorAxis rgb="FF000000"/>
          <x14:colorMarkers rgb="FF0070C0"/>
          <x14:colorFirst rgb="FF0070C0"/>
          <x14:colorLast rgb="FF0070C0"/>
          <x14:colorHigh rgb="FF0070C0"/>
          <x14:colorLow rgb="FF0070C0"/>
          <x14:sparklines>
            <x14:sparkline>
              <xm:f>'gramo Pc &lt;'!E26:F26</xm:f>
              <xm:sqref>G26</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5">
    <tabColor rgb="FFFFFF00"/>
  </sheetPr>
  <dimension ref="A1:XEZ98"/>
  <sheetViews>
    <sheetView showGridLines="0" view="pageBreakPreview" zoomScale="80" zoomScaleNormal="100" zoomScaleSheetLayoutView="80" workbookViewId="0">
      <selection activeCell="B79" sqref="B79:M79"/>
    </sheetView>
  </sheetViews>
  <sheetFormatPr baseColWidth="10" defaultColWidth="11.42578125" defaultRowHeight="15" x14ac:dyDescent="0.2"/>
  <cols>
    <col min="1" max="1" width="5" style="969" customWidth="1"/>
    <col min="2" max="2" width="13.140625" style="969" customWidth="1"/>
    <col min="3" max="3" width="11.7109375" style="969" customWidth="1"/>
    <col min="4" max="4" width="11.140625" style="969" customWidth="1"/>
    <col min="5" max="5" width="17.28515625" style="969" customWidth="1"/>
    <col min="6" max="6" width="13.5703125" style="969" customWidth="1"/>
    <col min="7" max="7" width="10.140625" style="969" customWidth="1"/>
    <col min="8" max="12" width="8.7109375" style="969" customWidth="1"/>
    <col min="13" max="13" width="10.28515625" style="969" customWidth="1"/>
    <col min="14" max="16384" width="11.42578125" style="969"/>
  </cols>
  <sheetData>
    <row r="1" spans="1:13" ht="125.1" customHeight="1" x14ac:dyDescent="0.2">
      <c r="A1" s="1825"/>
      <c r="B1" s="1825"/>
      <c r="C1" s="1825"/>
      <c r="D1" s="1825"/>
      <c r="E1" s="1825"/>
      <c r="F1" s="1825"/>
      <c r="G1" s="1825"/>
      <c r="H1" s="1825"/>
      <c r="I1" s="1825"/>
      <c r="J1" s="1825"/>
      <c r="K1" s="1825"/>
      <c r="L1" s="1825"/>
      <c r="M1" s="1825"/>
    </row>
    <row r="2" spans="1:13" ht="35.1" customHeight="1" x14ac:dyDescent="0.2">
      <c r="A2" s="1825"/>
      <c r="B2" s="1825"/>
      <c r="C2" s="1825"/>
      <c r="D2" s="1825"/>
      <c r="E2" s="1825"/>
      <c r="F2" s="1825"/>
      <c r="G2" s="1825"/>
      <c r="H2" s="1825"/>
      <c r="I2" s="1825"/>
      <c r="J2" s="1825"/>
      <c r="K2" s="1825"/>
      <c r="L2" s="1825"/>
      <c r="M2" s="1825"/>
    </row>
    <row r="3" spans="1:13" ht="65.099999999999994" customHeight="1" x14ac:dyDescent="0.2">
      <c r="A3" s="1003"/>
      <c r="B3" s="1003"/>
      <c r="C3" s="1003"/>
      <c r="D3" s="1003"/>
      <c r="E3" s="1003"/>
      <c r="F3" s="1003"/>
      <c r="J3" s="1814" t="s">
        <v>8</v>
      </c>
      <c r="K3" s="1814"/>
      <c r="L3" s="1815">
        <f>'DATOS &lt;'!J8</f>
        <v>0</v>
      </c>
      <c r="M3" s="1815"/>
    </row>
    <row r="4" spans="1:13" ht="23.1" customHeight="1" x14ac:dyDescent="0.25">
      <c r="A4" s="1815" t="s">
        <v>152</v>
      </c>
      <c r="B4" s="1815"/>
      <c r="C4" s="1815"/>
      <c r="D4" s="1004"/>
      <c r="E4" s="1004"/>
      <c r="G4" s="1819"/>
      <c r="H4" s="1819"/>
    </row>
    <row r="5" spans="1:13" ht="15" customHeight="1" x14ac:dyDescent="0.2">
      <c r="A5" s="1005"/>
      <c r="B5" s="1004"/>
      <c r="C5" s="1004"/>
      <c r="D5" s="1004"/>
      <c r="E5" s="1004"/>
      <c r="F5" s="1004"/>
    </row>
    <row r="6" spans="1:13" ht="23.1" customHeight="1" x14ac:dyDescent="0.2">
      <c r="A6" s="1820" t="s">
        <v>153</v>
      </c>
      <c r="B6" s="1820"/>
      <c r="D6" s="1821">
        <f>('DATOS &lt;'!E8)</f>
        <v>0</v>
      </c>
      <c r="E6" s="1821"/>
      <c r="F6" s="1821"/>
      <c r="G6" s="1821"/>
      <c r="H6" s="1821"/>
      <c r="I6" s="1821"/>
      <c r="J6" s="1821"/>
    </row>
    <row r="7" spans="1:13" ht="23.1" customHeight="1" x14ac:dyDescent="0.2">
      <c r="A7" s="1820" t="s">
        <v>154</v>
      </c>
      <c r="B7" s="1820"/>
      <c r="C7" s="968"/>
      <c r="D7" s="1821">
        <f>'DATOS &lt;'!F8</f>
        <v>0</v>
      </c>
      <c r="E7" s="1821"/>
      <c r="F7" s="1821"/>
      <c r="G7" s="1821"/>
      <c r="H7" s="1821"/>
      <c r="I7" s="1821"/>
      <c r="J7" s="1821"/>
    </row>
    <row r="8" spans="1:13" ht="23.1" customHeight="1" x14ac:dyDescent="0.2">
      <c r="A8" s="1820" t="s">
        <v>155</v>
      </c>
      <c r="B8" s="1820"/>
      <c r="D8" s="1821" t="str">
        <f>PROPER('DATOS &lt;'!C8)</f>
        <v/>
      </c>
      <c r="E8" s="1821"/>
      <c r="F8" s="1821"/>
      <c r="G8" s="1821"/>
    </row>
    <row r="9" spans="1:13" ht="18" customHeight="1" x14ac:dyDescent="0.2">
      <c r="A9" s="1005"/>
      <c r="B9" s="1005"/>
      <c r="D9" s="1005"/>
      <c r="E9" s="1005"/>
      <c r="F9" s="1004"/>
    </row>
    <row r="10" spans="1:13" ht="23.1" customHeight="1" x14ac:dyDescent="0.2">
      <c r="A10" s="1820" t="s">
        <v>156</v>
      </c>
      <c r="B10" s="1820"/>
      <c r="C10" s="1820"/>
      <c r="D10" s="1822">
        <f>'DATOS &lt;'!D8</f>
        <v>0</v>
      </c>
      <c r="E10" s="1822"/>
      <c r="G10" s="968"/>
      <c r="H10" s="1823" t="s">
        <v>157</v>
      </c>
      <c r="I10" s="1823"/>
      <c r="J10" s="1823"/>
      <c r="K10" s="1822" t="e">
        <f>'500 mg &lt; '!E4</f>
        <v>#N/A</v>
      </c>
      <c r="L10" s="1822"/>
    </row>
    <row r="11" spans="1:13" ht="18" customHeight="1" x14ac:dyDescent="0.2">
      <c r="A11" s="1004"/>
      <c r="B11" s="1004"/>
      <c r="C11" s="1004"/>
      <c r="D11" s="1004"/>
      <c r="E11" s="1004"/>
      <c r="F11" s="1004"/>
    </row>
    <row r="12" spans="1:13" ht="23.1" customHeight="1" x14ac:dyDescent="0.2">
      <c r="A12" s="1815" t="s">
        <v>158</v>
      </c>
      <c r="B12" s="1815"/>
      <c r="C12" s="1815"/>
      <c r="D12" s="1815"/>
      <c r="E12" s="1815"/>
      <c r="F12" s="1815"/>
      <c r="G12" s="1815"/>
      <c r="H12" s="1815"/>
      <c r="I12" s="1815"/>
      <c r="J12" s="1815"/>
    </row>
    <row r="13" spans="1:13" ht="15" customHeight="1" x14ac:dyDescent="0.2">
      <c r="A13" s="411"/>
      <c r="B13" s="411"/>
      <c r="C13" s="411"/>
      <c r="D13" s="411"/>
      <c r="E13" s="411"/>
      <c r="F13" s="1004"/>
    </row>
    <row r="14" spans="1:13" ht="23.1" customHeight="1" x14ac:dyDescent="0.2">
      <c r="A14" s="1820" t="s">
        <v>159</v>
      </c>
      <c r="B14" s="1820"/>
      <c r="C14" s="1820"/>
      <c r="D14" s="1827" t="s">
        <v>160</v>
      </c>
      <c r="E14" s="1827"/>
      <c r="F14" s="1827"/>
      <c r="G14" s="1827"/>
      <c r="H14" s="1827"/>
      <c r="I14" s="1827"/>
      <c r="J14" s="1827"/>
      <c r="K14" s="1827"/>
      <c r="L14" s="1827"/>
      <c r="M14" s="1827"/>
    </row>
    <row r="15" spans="1:13" ht="23.1" customHeight="1" x14ac:dyDescent="0.2">
      <c r="A15" s="1820" t="s">
        <v>161</v>
      </c>
      <c r="B15" s="1820"/>
      <c r="C15" s="1820"/>
      <c r="D15" s="1828" t="str">
        <f>PROPER('DATOS &lt;'!D48)</f>
        <v/>
      </c>
      <c r="E15" s="1828"/>
      <c r="F15" s="1828"/>
      <c r="G15" s="1828"/>
      <c r="H15" s="1828"/>
      <c r="I15" s="1828"/>
      <c r="J15" s="1828"/>
      <c r="K15" s="1828"/>
      <c r="L15" s="1828"/>
      <c r="M15" s="1828"/>
    </row>
    <row r="16" spans="1:13" ht="23.1" customHeight="1" x14ac:dyDescent="0.2">
      <c r="A16" s="1820" t="s">
        <v>162</v>
      </c>
      <c r="B16" s="1820"/>
      <c r="C16" s="1820"/>
      <c r="D16" s="1829">
        <f>'DATOS &lt;'!E48</f>
        <v>0</v>
      </c>
      <c r="E16" s="1829"/>
      <c r="F16" s="1829"/>
      <c r="G16" s="1829"/>
      <c r="H16" s="1829"/>
      <c r="I16" s="1829"/>
      <c r="J16" s="1829"/>
      <c r="K16" s="1829"/>
      <c r="L16" s="1829"/>
      <c r="M16" s="1829"/>
    </row>
    <row r="17" spans="1:13" ht="23.1" customHeight="1" x14ac:dyDescent="0.2">
      <c r="A17" s="1820" t="s">
        <v>163</v>
      </c>
      <c r="B17" s="1820"/>
      <c r="C17" s="1820"/>
      <c r="D17" s="1830" t="s">
        <v>593</v>
      </c>
      <c r="E17" s="1830"/>
      <c r="F17" s="1830"/>
      <c r="G17" s="1830"/>
      <c r="H17" s="1830"/>
      <c r="I17" s="1830"/>
      <c r="J17" s="1830"/>
      <c r="K17" s="1830"/>
      <c r="L17" s="1830"/>
      <c r="M17" s="1830"/>
    </row>
    <row r="18" spans="1:13" ht="18" customHeight="1" x14ac:dyDescent="0.2">
      <c r="A18" s="1005"/>
      <c r="B18" s="1005"/>
      <c r="C18" s="1005"/>
      <c r="D18" s="1006"/>
      <c r="E18" s="1005"/>
      <c r="F18" s="1005"/>
      <c r="G18" s="1005"/>
      <c r="H18" s="1157"/>
      <c r="I18" s="1157"/>
      <c r="J18" s="1157"/>
      <c r="K18" s="1157"/>
      <c r="L18" s="1157"/>
      <c r="M18" s="1157"/>
    </row>
    <row r="19" spans="1:13" ht="27.95" customHeight="1" x14ac:dyDescent="0.2">
      <c r="A19" s="1820" t="s">
        <v>164</v>
      </c>
      <c r="B19" s="1820"/>
      <c r="C19" s="1820"/>
      <c r="D19" s="1820"/>
      <c r="E19" s="1820"/>
      <c r="F19" s="1826">
        <f>'DATOS &lt;'!C80</f>
        <v>32</v>
      </c>
      <c r="G19" s="1826"/>
      <c r="H19" s="1826"/>
      <c r="I19" s="1826"/>
      <c r="J19" s="1826"/>
    </row>
    <row r="20" spans="1:13" ht="18" customHeight="1" x14ac:dyDescent="0.2">
      <c r="A20" s="1005"/>
      <c r="B20" s="1005"/>
      <c r="C20" s="1005"/>
      <c r="D20" s="1005"/>
      <c r="E20" s="1005"/>
      <c r="F20" s="1005"/>
      <c r="G20" s="1004"/>
    </row>
    <row r="21" spans="1:13" ht="23.1" customHeight="1" x14ac:dyDescent="0.2">
      <c r="A21" s="1815" t="s">
        <v>165</v>
      </c>
      <c r="B21" s="1815"/>
      <c r="C21" s="1815"/>
      <c r="D21" s="1815"/>
      <c r="E21" s="1815"/>
      <c r="F21" s="1815"/>
    </row>
    <row r="22" spans="1:13" ht="18" customHeight="1" x14ac:dyDescent="0.2">
      <c r="A22" s="1821">
        <f>'DATOS &lt;'!G8</f>
        <v>0</v>
      </c>
      <c r="B22" s="1821"/>
      <c r="C22" s="1821"/>
      <c r="D22" s="1821"/>
      <c r="E22" s="1821"/>
      <c r="F22" s="1821"/>
      <c r="G22" s="1821"/>
      <c r="H22" s="1821"/>
      <c r="I22" s="1821"/>
      <c r="J22" s="1821"/>
      <c r="K22" s="1821"/>
      <c r="L22" s="1821"/>
      <c r="M22" s="1821"/>
    </row>
    <row r="23" spans="1:13" ht="18" customHeight="1" x14ac:dyDescent="0.2">
      <c r="B23" s="1815"/>
      <c r="C23" s="1815"/>
      <c r="D23" s="1815"/>
      <c r="E23" s="1815"/>
      <c r="F23" s="411"/>
      <c r="G23" s="1005"/>
    </row>
    <row r="24" spans="1:13" ht="23.1" customHeight="1" x14ac:dyDescent="0.2">
      <c r="A24" s="1815" t="s">
        <v>166</v>
      </c>
      <c r="B24" s="1815"/>
      <c r="C24" s="1815"/>
      <c r="D24" s="1815"/>
      <c r="E24" s="1843">
        <f>'DATOS &lt;'!I8</f>
        <v>0</v>
      </c>
      <c r="F24" s="1843"/>
    </row>
    <row r="25" spans="1:13" ht="18" customHeight="1" x14ac:dyDescent="0.25">
      <c r="A25" s="1005"/>
      <c r="B25" s="1005"/>
      <c r="C25" s="1005"/>
      <c r="D25" s="1005"/>
      <c r="E25" s="1005"/>
      <c r="F25" s="1005"/>
      <c r="G25" s="412"/>
      <c r="H25" s="412"/>
      <c r="I25" s="1004"/>
      <c r="J25" s="1004"/>
    </row>
    <row r="26" spans="1:13" ht="23.1" customHeight="1" x14ac:dyDescent="0.2">
      <c r="A26" s="1816" t="s">
        <v>167</v>
      </c>
      <c r="B26" s="1816"/>
      <c r="C26" s="1816"/>
      <c r="D26" s="1816"/>
      <c r="E26" s="1816"/>
      <c r="F26" s="1816"/>
      <c r="G26" s="1816"/>
      <c r="H26" s="1816"/>
      <c r="I26" s="1816"/>
      <c r="J26" s="1816"/>
    </row>
    <row r="27" spans="1:13" ht="15" customHeight="1" x14ac:dyDescent="0.2">
      <c r="A27" s="408"/>
      <c r="B27" s="408"/>
      <c r="C27" s="408"/>
      <c r="D27" s="408"/>
      <c r="G27" s="1004"/>
    </row>
    <row r="28" spans="1:13" s="968" customFormat="1" ht="33" customHeight="1" x14ac:dyDescent="0.25">
      <c r="A28" s="1824" t="s">
        <v>168</v>
      </c>
      <c r="B28" s="1824"/>
      <c r="C28" s="1824"/>
      <c r="D28" s="1824"/>
      <c r="E28" s="1824"/>
      <c r="F28" s="1824"/>
      <c r="G28" s="1824"/>
      <c r="H28" s="1824"/>
      <c r="I28" s="1824"/>
      <c r="J28" s="1824"/>
      <c r="K28" s="1824"/>
      <c r="L28" s="1824"/>
      <c r="M28" s="1824"/>
    </row>
    <row r="29" spans="1:13" ht="18" customHeight="1" x14ac:dyDescent="0.25">
      <c r="G29" s="412"/>
      <c r="H29" s="412"/>
      <c r="I29" s="1003"/>
      <c r="J29" s="1003"/>
    </row>
    <row r="30" spans="1:13" ht="27.95" customHeight="1" x14ac:dyDescent="0.2">
      <c r="A30" s="1816" t="s">
        <v>169</v>
      </c>
      <c r="B30" s="1816"/>
      <c r="C30" s="1816"/>
      <c r="D30" s="1816"/>
      <c r="E30" s="1816"/>
      <c r="F30" s="1816"/>
      <c r="G30" s="1816"/>
      <c r="H30" s="1816"/>
      <c r="I30" s="1816"/>
      <c r="J30" s="1816"/>
    </row>
    <row r="31" spans="1:13" ht="15" customHeight="1" thickBot="1" x14ac:dyDescent="0.25">
      <c r="A31" s="1007"/>
      <c r="B31" s="1007"/>
      <c r="C31" s="1007"/>
      <c r="D31" s="1007"/>
      <c r="E31" s="1007"/>
      <c r="F31" s="1007"/>
      <c r="G31" s="1007"/>
      <c r="K31" s="1266"/>
    </row>
    <row r="32" spans="1:13" ht="30" customHeight="1" thickBot="1" x14ac:dyDescent="0.25">
      <c r="B32" s="1854" t="s">
        <v>170</v>
      </c>
      <c r="C32" s="1855"/>
      <c r="D32" s="1854" t="s">
        <v>171</v>
      </c>
      <c r="E32" s="1855"/>
      <c r="F32" s="1854" t="s">
        <v>172</v>
      </c>
      <c r="G32" s="1855"/>
      <c r="H32" s="1836" t="s">
        <v>173</v>
      </c>
      <c r="I32" s="1837"/>
      <c r="J32" s="1837"/>
      <c r="K32" s="1838"/>
    </row>
    <row r="33" spans="1:13" ht="45.95" customHeight="1" thickBot="1" x14ac:dyDescent="0.25">
      <c r="B33" s="1856"/>
      <c r="C33" s="1857"/>
      <c r="D33" s="1856"/>
      <c r="E33" s="1857"/>
      <c r="F33" s="1856"/>
      <c r="G33" s="1857"/>
      <c r="H33" s="1839" t="s">
        <v>174</v>
      </c>
      <c r="I33" s="1840"/>
      <c r="J33" s="1841" t="s">
        <v>175</v>
      </c>
      <c r="K33" s="1842"/>
    </row>
    <row r="34" spans="1:13" ht="42.75" customHeight="1" thickBot="1" x14ac:dyDescent="0.25">
      <c r="B34" s="1848" t="str">
        <f>D14</f>
        <v>Juego de pesas de 1 mg a 500 mg</v>
      </c>
      <c r="C34" s="1849"/>
      <c r="D34" s="1850" t="s">
        <v>176</v>
      </c>
      <c r="E34" s="1851"/>
      <c r="F34" s="1852" t="e">
        <f>VLOOKUP($K$31,'DATOS &lt;'!B202:G215,1,FALSE)</f>
        <v>#N/A</v>
      </c>
      <c r="G34" s="1853"/>
      <c r="H34" s="1008" t="e">
        <f>VLOOKUP($K$31,'DATOS &lt;'!B202:G215,3,FALSE)</f>
        <v>#N/A</v>
      </c>
      <c r="I34" s="1009" t="s">
        <v>177</v>
      </c>
      <c r="J34" s="1010" t="e">
        <f>VLOOKUP($K$31,'DATOS &lt;'!B202:G215,5,FALSE)</f>
        <v>#N/A</v>
      </c>
      <c r="K34" s="1011" t="s">
        <v>178</v>
      </c>
    </row>
    <row r="35" spans="1:13" ht="39.950000000000003" hidden="1" customHeight="1" thickBot="1" x14ac:dyDescent="0.25">
      <c r="A35" s="1831"/>
      <c r="B35" s="1832"/>
      <c r="C35" s="1831"/>
      <c r="D35" s="1833"/>
      <c r="E35" s="1834"/>
      <c r="F35" s="1832"/>
      <c r="G35" s="1012"/>
      <c r="H35" s="1013"/>
      <c r="I35" s="1012"/>
      <c r="J35" s="1014"/>
    </row>
    <row r="36" spans="1:13" ht="18" customHeight="1" x14ac:dyDescent="0.2"/>
    <row r="37" spans="1:13" ht="125.1" customHeight="1" x14ac:dyDescent="0.2"/>
    <row r="38" spans="1:13" ht="35.1" customHeight="1" x14ac:dyDescent="0.2"/>
    <row r="39" spans="1:13" ht="64.5" customHeight="1" x14ac:dyDescent="0.2">
      <c r="J39" s="1814" t="s">
        <v>8</v>
      </c>
      <c r="K39" s="1814"/>
      <c r="L39" s="1815">
        <f>L3</f>
        <v>0</v>
      </c>
      <c r="M39" s="1815"/>
    </row>
    <row r="40" spans="1:13" ht="30" customHeight="1" x14ac:dyDescent="0.2">
      <c r="A40" s="1816" t="s">
        <v>179</v>
      </c>
      <c r="B40" s="1816"/>
      <c r="C40" s="1816"/>
      <c r="D40" s="1816"/>
      <c r="E40" s="1816"/>
      <c r="F40" s="1816"/>
      <c r="G40" s="1816"/>
      <c r="H40" s="1816"/>
      <c r="I40" s="1816"/>
      <c r="J40" s="1816"/>
      <c r="M40" s="1284"/>
    </row>
    <row r="41" spans="1:13" ht="90" customHeight="1" x14ac:dyDescent="0.2">
      <c r="A41" s="1835" t="e">
        <f>VLOOKUP($M$40,'DATOS &lt;'!$I$115:$L$118,2,FALSE)</f>
        <v>#N/A</v>
      </c>
      <c r="B41" s="1835"/>
      <c r="C41" s="1835"/>
      <c r="D41" s="1835"/>
      <c r="E41" s="1835"/>
      <c r="F41" s="1835"/>
      <c r="G41" s="1835"/>
      <c r="H41" s="1835"/>
      <c r="I41" s="1835"/>
      <c r="J41" s="1835"/>
      <c r="K41" s="1835"/>
      <c r="L41" s="1835"/>
      <c r="M41" s="1835"/>
    </row>
    <row r="42" spans="1:13" ht="15" customHeight="1" thickBot="1" x14ac:dyDescent="0.25">
      <c r="A42" s="1015"/>
      <c r="B42" s="1015"/>
      <c r="C42" s="1015"/>
      <c r="D42" s="1015"/>
      <c r="E42" s="1015"/>
      <c r="F42" s="1015"/>
      <c r="G42" s="1015"/>
      <c r="H42" s="1015"/>
      <c r="I42" s="1015"/>
      <c r="J42" s="1015"/>
    </row>
    <row r="43" spans="1:13" ht="39.950000000000003" customHeight="1" thickBot="1" x14ac:dyDescent="0.25">
      <c r="B43" s="1847" t="s">
        <v>180</v>
      </c>
      <c r="C43" s="1847"/>
      <c r="D43" s="1847"/>
      <c r="E43" s="242" t="s">
        <v>11</v>
      </c>
      <c r="F43" s="242" t="s">
        <v>12</v>
      </c>
      <c r="G43" s="224" t="s">
        <v>3</v>
      </c>
      <c r="H43" s="1847" t="s">
        <v>181</v>
      </c>
      <c r="I43" s="1847"/>
      <c r="J43" s="1847" t="s">
        <v>5</v>
      </c>
      <c r="K43" s="1847"/>
    </row>
    <row r="44" spans="1:13" ht="39.950000000000003" customHeight="1" thickBot="1" x14ac:dyDescent="0.25">
      <c r="B44" s="1844" t="s">
        <v>182</v>
      </c>
      <c r="C44" s="1844"/>
      <c r="D44" s="1844"/>
      <c r="E44" s="225" t="s">
        <v>538</v>
      </c>
      <c r="F44" s="413" t="e">
        <f>VLOOKUP('1 mg &lt; '!$E$6,'DATOS &lt;'!N27:AC131,3,FALSE)</f>
        <v>#N/A</v>
      </c>
      <c r="G44" s="1261" t="e">
        <f>VLOOKUP('1 mg &lt; '!$E$6,'DATOS &lt;'!N27:AC131,16,FALSE)</f>
        <v>#N/A</v>
      </c>
      <c r="H44" s="1845" t="e">
        <f>VLOOKUP('1 mg &lt; '!$E$6,'DATOS &lt;'!N27:AC131,6,FALSE)</f>
        <v>#N/A</v>
      </c>
      <c r="I44" s="1845"/>
      <c r="J44" s="1846" t="e">
        <f>VLOOKUP('1 mg &lt; '!$E$6,'DATOS &lt;'!N27:AC131,7,FALSE)</f>
        <v>#N/A</v>
      </c>
      <c r="K44" s="1846"/>
    </row>
    <row r="45" spans="1:13" ht="18" customHeight="1" x14ac:dyDescent="0.2">
      <c r="A45" s="409"/>
      <c r="B45" s="409"/>
      <c r="C45" s="409"/>
      <c r="D45" s="226"/>
      <c r="E45" s="409"/>
      <c r="F45" s="409"/>
      <c r="G45" s="409"/>
      <c r="H45" s="409"/>
      <c r="I45" s="227"/>
      <c r="J45" s="227"/>
    </row>
    <row r="46" spans="1:13" ht="23.1" customHeight="1" x14ac:dyDescent="0.2">
      <c r="A46" s="1815" t="s">
        <v>183</v>
      </c>
      <c r="B46" s="1815"/>
      <c r="C46" s="1815"/>
      <c r="D46" s="1815"/>
      <c r="E46" s="1815"/>
      <c r="F46" s="1815"/>
      <c r="G46" s="1815"/>
      <c r="H46" s="1815"/>
      <c r="I46" s="1815"/>
      <c r="J46" s="1815"/>
    </row>
    <row r="47" spans="1:13" ht="15" customHeight="1" x14ac:dyDescent="0.2">
      <c r="A47" s="223"/>
      <c r="B47" s="223"/>
    </row>
    <row r="48" spans="1:13" ht="33" customHeight="1" x14ac:dyDescent="0.2">
      <c r="A48" s="1824" t="s">
        <v>597</v>
      </c>
      <c r="B48" s="1824"/>
      <c r="C48" s="1824"/>
      <c r="D48" s="1824"/>
      <c r="E48" s="1824"/>
      <c r="F48" s="1824"/>
      <c r="G48" s="1824"/>
      <c r="H48" s="1824"/>
      <c r="I48" s="1824"/>
      <c r="J48" s="1824"/>
      <c r="K48" s="1824"/>
      <c r="L48" s="1824"/>
      <c r="M48" s="1824"/>
    </row>
    <row r="49" spans="1:1020 1029:2040 2049:3070 3079:4090 4099:5120 5129:6140 6149:7160 7169:8190 8199:9210 9219:10240 10249:11260 11269:12280 12289:13310 13319:14330 14339:15360 15369:16380" ht="18" customHeight="1" x14ac:dyDescent="0.2">
      <c r="A49" s="1017"/>
      <c r="B49" s="1017"/>
      <c r="C49" s="1017"/>
      <c r="D49" s="1017"/>
      <c r="E49" s="1017"/>
      <c r="F49" s="1017"/>
      <c r="G49" s="1017"/>
      <c r="H49" s="1017"/>
      <c r="I49" s="1017"/>
      <c r="J49" s="1017"/>
    </row>
    <row r="50" spans="1:1020 1029:2040 2049:3070 3079:4090 4099:5120 5129:6140 6149:7160 7169:8190 8199:9210 9219:10240 10249:11260 11269:12280 12289:13310 13319:14330 14339:15360 15369:16380" ht="23.1" customHeight="1" x14ac:dyDescent="0.2">
      <c r="A50" s="1815" t="s">
        <v>184</v>
      </c>
      <c r="B50" s="1815"/>
      <c r="C50" s="1815"/>
      <c r="D50" s="1815"/>
      <c r="E50" s="1815"/>
      <c r="F50" s="1815"/>
      <c r="G50" s="1815"/>
      <c r="H50" s="1815"/>
      <c r="I50" s="1815"/>
      <c r="J50" s="1815"/>
    </row>
    <row r="51" spans="1:1020 1029:2040 2049:3070 3079:4090 4099:5120 5129:6140 6149:7160 7169:8190 8199:9210 9219:10240 10249:11260 11269:12280 12289:13310 13319:14330 14339:15360 15369:16380" ht="15" customHeight="1" thickBot="1" x14ac:dyDescent="0.25">
      <c r="A51" s="223"/>
      <c r="B51" s="223"/>
      <c r="S51" s="223"/>
      <c r="T51" s="223"/>
      <c r="AC51" s="223"/>
      <c r="AD51" s="223"/>
      <c r="AM51" s="223"/>
      <c r="AN51" s="223"/>
      <c r="AW51" s="223"/>
      <c r="AX51" s="223"/>
      <c r="BG51" s="223"/>
      <c r="BH51" s="223"/>
      <c r="BQ51" s="223"/>
      <c r="BR51" s="223"/>
      <c r="CA51" s="223"/>
      <c r="CB51" s="223"/>
      <c r="CK51" s="223"/>
      <c r="CL51" s="223"/>
      <c r="CU51" s="223"/>
      <c r="CV51" s="223"/>
      <c r="DE51" s="223"/>
      <c r="DF51" s="223"/>
      <c r="DO51" s="223"/>
      <c r="DP51" s="223"/>
      <c r="DY51" s="223"/>
      <c r="DZ51" s="223"/>
      <c r="EI51" s="223"/>
      <c r="EJ51" s="223"/>
      <c r="ES51" s="223"/>
      <c r="ET51" s="223"/>
      <c r="FC51" s="223"/>
      <c r="FD51" s="223"/>
      <c r="FM51" s="223"/>
      <c r="FN51" s="223"/>
      <c r="FW51" s="223"/>
      <c r="FX51" s="223"/>
      <c r="GG51" s="223"/>
      <c r="GH51" s="223"/>
      <c r="GQ51" s="223"/>
      <c r="GR51" s="223"/>
      <c r="HA51" s="223"/>
      <c r="HB51" s="223"/>
      <c r="HK51" s="223"/>
      <c r="HL51" s="223"/>
      <c r="HU51" s="223"/>
      <c r="HV51" s="223"/>
      <c r="IE51" s="223"/>
      <c r="IF51" s="223"/>
      <c r="IO51" s="223"/>
      <c r="IP51" s="223"/>
      <c r="IY51" s="223"/>
      <c r="IZ51" s="223"/>
      <c r="JI51" s="223"/>
      <c r="JJ51" s="223"/>
      <c r="JS51" s="223"/>
      <c r="JT51" s="223"/>
      <c r="KC51" s="223"/>
      <c r="KD51" s="223"/>
      <c r="KM51" s="223"/>
      <c r="KN51" s="223"/>
      <c r="KW51" s="223"/>
      <c r="KX51" s="223"/>
      <c r="LG51" s="223"/>
      <c r="LH51" s="223"/>
      <c r="LQ51" s="223"/>
      <c r="LR51" s="223"/>
      <c r="MA51" s="223"/>
      <c r="MB51" s="223"/>
      <c r="MK51" s="223"/>
      <c r="ML51" s="223"/>
      <c r="MU51" s="223"/>
      <c r="MV51" s="223"/>
      <c r="NE51" s="223"/>
      <c r="NF51" s="223"/>
      <c r="NO51" s="223"/>
      <c r="NP51" s="223"/>
      <c r="NY51" s="223"/>
      <c r="NZ51" s="223"/>
      <c r="OI51" s="223"/>
      <c r="OJ51" s="223"/>
      <c r="OS51" s="223"/>
      <c r="OT51" s="223"/>
      <c r="PC51" s="223"/>
      <c r="PD51" s="223"/>
      <c r="PM51" s="223"/>
      <c r="PN51" s="223"/>
      <c r="PW51" s="223"/>
      <c r="PX51" s="223"/>
      <c r="QG51" s="223"/>
      <c r="QH51" s="223"/>
      <c r="QQ51" s="223"/>
      <c r="QR51" s="223"/>
      <c r="RA51" s="223"/>
      <c r="RB51" s="223"/>
      <c r="RK51" s="223"/>
      <c r="RL51" s="223"/>
      <c r="RU51" s="223"/>
      <c r="RV51" s="223"/>
      <c r="SE51" s="223"/>
      <c r="SF51" s="223"/>
      <c r="SO51" s="223"/>
      <c r="SP51" s="223"/>
      <c r="SY51" s="223"/>
      <c r="SZ51" s="223"/>
      <c r="TI51" s="223"/>
      <c r="TJ51" s="223"/>
      <c r="TS51" s="223"/>
      <c r="TT51" s="223"/>
      <c r="UC51" s="223"/>
      <c r="UD51" s="223"/>
      <c r="UM51" s="223"/>
      <c r="UN51" s="223"/>
      <c r="UW51" s="223"/>
      <c r="UX51" s="223"/>
      <c r="VG51" s="223"/>
      <c r="VH51" s="223"/>
      <c r="VQ51" s="223"/>
      <c r="VR51" s="223"/>
      <c r="WA51" s="223"/>
      <c r="WB51" s="223"/>
      <c r="WK51" s="223"/>
      <c r="WL51" s="223"/>
      <c r="WU51" s="223"/>
      <c r="WV51" s="223"/>
      <c r="XE51" s="223"/>
      <c r="XF51" s="223"/>
      <c r="XO51" s="223"/>
      <c r="XP51" s="223"/>
      <c r="XY51" s="223"/>
      <c r="XZ51" s="223"/>
      <c r="YI51" s="223"/>
      <c r="YJ51" s="223"/>
      <c r="YS51" s="223"/>
      <c r="YT51" s="223"/>
      <c r="ZC51" s="223"/>
      <c r="ZD51" s="223"/>
      <c r="ZM51" s="223"/>
      <c r="ZN51" s="223"/>
      <c r="ZW51" s="223"/>
      <c r="ZX51" s="223"/>
      <c r="AAG51" s="223"/>
      <c r="AAH51" s="223"/>
      <c r="AAQ51" s="223"/>
      <c r="AAR51" s="223"/>
      <c r="ABA51" s="223"/>
      <c r="ABB51" s="223"/>
      <c r="ABK51" s="223"/>
      <c r="ABL51" s="223"/>
      <c r="ABU51" s="223"/>
      <c r="ABV51" s="223"/>
      <c r="ACE51" s="223"/>
      <c r="ACF51" s="223"/>
      <c r="ACO51" s="223"/>
      <c r="ACP51" s="223"/>
      <c r="ACY51" s="223"/>
      <c r="ACZ51" s="223"/>
      <c r="ADI51" s="223"/>
      <c r="ADJ51" s="223"/>
      <c r="ADS51" s="223"/>
      <c r="ADT51" s="223"/>
      <c r="AEC51" s="223"/>
      <c r="AED51" s="223"/>
      <c r="AEM51" s="223"/>
      <c r="AEN51" s="223"/>
      <c r="AEW51" s="223"/>
      <c r="AEX51" s="223"/>
      <c r="AFG51" s="223"/>
      <c r="AFH51" s="223"/>
      <c r="AFQ51" s="223"/>
      <c r="AFR51" s="223"/>
      <c r="AGA51" s="223"/>
      <c r="AGB51" s="223"/>
      <c r="AGK51" s="223"/>
      <c r="AGL51" s="223"/>
      <c r="AGU51" s="223"/>
      <c r="AGV51" s="223"/>
      <c r="AHE51" s="223"/>
      <c r="AHF51" s="223"/>
      <c r="AHO51" s="223"/>
      <c r="AHP51" s="223"/>
      <c r="AHY51" s="223"/>
      <c r="AHZ51" s="223"/>
      <c r="AII51" s="223"/>
      <c r="AIJ51" s="223"/>
      <c r="AIS51" s="223"/>
      <c r="AIT51" s="223"/>
      <c r="AJC51" s="223"/>
      <c r="AJD51" s="223"/>
      <c r="AJM51" s="223"/>
      <c r="AJN51" s="223"/>
      <c r="AJW51" s="223"/>
      <c r="AJX51" s="223"/>
      <c r="AKG51" s="223"/>
      <c r="AKH51" s="223"/>
      <c r="AKQ51" s="223"/>
      <c r="AKR51" s="223"/>
      <c r="ALA51" s="223"/>
      <c r="ALB51" s="223"/>
      <c r="ALK51" s="223"/>
      <c r="ALL51" s="223"/>
      <c r="ALU51" s="223"/>
      <c r="ALV51" s="223"/>
      <c r="AME51" s="223"/>
      <c r="AMF51" s="223"/>
      <c r="AMO51" s="223"/>
      <c r="AMP51" s="223"/>
      <c r="AMY51" s="223"/>
      <c r="AMZ51" s="223"/>
      <c r="ANI51" s="223"/>
      <c r="ANJ51" s="223"/>
      <c r="ANS51" s="223"/>
      <c r="ANT51" s="223"/>
      <c r="AOC51" s="223"/>
      <c r="AOD51" s="223"/>
      <c r="AOM51" s="223"/>
      <c r="AON51" s="223"/>
      <c r="AOW51" s="223"/>
      <c r="AOX51" s="223"/>
      <c r="APG51" s="223"/>
      <c r="APH51" s="223"/>
      <c r="APQ51" s="223"/>
      <c r="APR51" s="223"/>
      <c r="AQA51" s="223"/>
      <c r="AQB51" s="223"/>
      <c r="AQK51" s="223"/>
      <c r="AQL51" s="223"/>
      <c r="AQU51" s="223"/>
      <c r="AQV51" s="223"/>
      <c r="ARE51" s="223"/>
      <c r="ARF51" s="223"/>
      <c r="ARO51" s="223"/>
      <c r="ARP51" s="223"/>
      <c r="ARY51" s="223"/>
      <c r="ARZ51" s="223"/>
      <c r="ASI51" s="223"/>
      <c r="ASJ51" s="223"/>
      <c r="ASS51" s="223"/>
      <c r="AST51" s="223"/>
      <c r="ATC51" s="223"/>
      <c r="ATD51" s="223"/>
      <c r="ATM51" s="223"/>
      <c r="ATN51" s="223"/>
      <c r="ATW51" s="223"/>
      <c r="ATX51" s="223"/>
      <c r="AUG51" s="223"/>
      <c r="AUH51" s="223"/>
      <c r="AUQ51" s="223"/>
      <c r="AUR51" s="223"/>
      <c r="AVA51" s="223"/>
      <c r="AVB51" s="223"/>
      <c r="AVK51" s="223"/>
      <c r="AVL51" s="223"/>
      <c r="AVU51" s="223"/>
      <c r="AVV51" s="223"/>
      <c r="AWE51" s="223"/>
      <c r="AWF51" s="223"/>
      <c r="AWO51" s="223"/>
      <c r="AWP51" s="223"/>
      <c r="AWY51" s="223"/>
      <c r="AWZ51" s="223"/>
      <c r="AXI51" s="223"/>
      <c r="AXJ51" s="223"/>
      <c r="AXS51" s="223"/>
      <c r="AXT51" s="223"/>
      <c r="AYC51" s="223"/>
      <c r="AYD51" s="223"/>
      <c r="AYM51" s="223"/>
      <c r="AYN51" s="223"/>
      <c r="AYW51" s="223"/>
      <c r="AYX51" s="223"/>
      <c r="AZG51" s="223"/>
      <c r="AZH51" s="223"/>
      <c r="AZQ51" s="223"/>
      <c r="AZR51" s="223"/>
      <c r="BAA51" s="223"/>
      <c r="BAB51" s="223"/>
      <c r="BAK51" s="223"/>
      <c r="BAL51" s="223"/>
      <c r="BAU51" s="223"/>
      <c r="BAV51" s="223"/>
      <c r="BBE51" s="223"/>
      <c r="BBF51" s="223"/>
      <c r="BBO51" s="223"/>
      <c r="BBP51" s="223"/>
      <c r="BBY51" s="223"/>
      <c r="BBZ51" s="223"/>
      <c r="BCI51" s="223"/>
      <c r="BCJ51" s="223"/>
      <c r="BCS51" s="223"/>
      <c r="BCT51" s="223"/>
      <c r="BDC51" s="223"/>
      <c r="BDD51" s="223"/>
      <c r="BDM51" s="223"/>
      <c r="BDN51" s="223"/>
      <c r="BDW51" s="223"/>
      <c r="BDX51" s="223"/>
      <c r="BEG51" s="223"/>
      <c r="BEH51" s="223"/>
      <c r="BEQ51" s="223"/>
      <c r="BER51" s="223"/>
      <c r="BFA51" s="223"/>
      <c r="BFB51" s="223"/>
      <c r="BFK51" s="223"/>
      <c r="BFL51" s="223"/>
      <c r="BFU51" s="223"/>
      <c r="BFV51" s="223"/>
      <c r="BGE51" s="223"/>
      <c r="BGF51" s="223"/>
      <c r="BGO51" s="223"/>
      <c r="BGP51" s="223"/>
      <c r="BGY51" s="223"/>
      <c r="BGZ51" s="223"/>
      <c r="BHI51" s="223"/>
      <c r="BHJ51" s="223"/>
      <c r="BHS51" s="223"/>
      <c r="BHT51" s="223"/>
      <c r="BIC51" s="223"/>
      <c r="BID51" s="223"/>
      <c r="BIM51" s="223"/>
      <c r="BIN51" s="223"/>
      <c r="BIW51" s="223"/>
      <c r="BIX51" s="223"/>
      <c r="BJG51" s="223"/>
      <c r="BJH51" s="223"/>
      <c r="BJQ51" s="223"/>
      <c r="BJR51" s="223"/>
      <c r="BKA51" s="223"/>
      <c r="BKB51" s="223"/>
      <c r="BKK51" s="223"/>
      <c r="BKL51" s="223"/>
      <c r="BKU51" s="223"/>
      <c r="BKV51" s="223"/>
      <c r="BLE51" s="223"/>
      <c r="BLF51" s="223"/>
      <c r="BLO51" s="223"/>
      <c r="BLP51" s="223"/>
      <c r="BLY51" s="223"/>
      <c r="BLZ51" s="223"/>
      <c r="BMI51" s="223"/>
      <c r="BMJ51" s="223"/>
      <c r="BMS51" s="223"/>
      <c r="BMT51" s="223"/>
      <c r="BNC51" s="223"/>
      <c r="BND51" s="223"/>
      <c r="BNM51" s="223"/>
      <c r="BNN51" s="223"/>
      <c r="BNW51" s="223"/>
      <c r="BNX51" s="223"/>
      <c r="BOG51" s="223"/>
      <c r="BOH51" s="223"/>
      <c r="BOQ51" s="223"/>
      <c r="BOR51" s="223"/>
      <c r="BPA51" s="223"/>
      <c r="BPB51" s="223"/>
      <c r="BPK51" s="223"/>
      <c r="BPL51" s="223"/>
      <c r="BPU51" s="223"/>
      <c r="BPV51" s="223"/>
      <c r="BQE51" s="223"/>
      <c r="BQF51" s="223"/>
      <c r="BQO51" s="223"/>
      <c r="BQP51" s="223"/>
      <c r="BQY51" s="223"/>
      <c r="BQZ51" s="223"/>
      <c r="BRI51" s="223"/>
      <c r="BRJ51" s="223"/>
      <c r="BRS51" s="223"/>
      <c r="BRT51" s="223"/>
      <c r="BSC51" s="223"/>
      <c r="BSD51" s="223"/>
      <c r="BSM51" s="223"/>
      <c r="BSN51" s="223"/>
      <c r="BSW51" s="223"/>
      <c r="BSX51" s="223"/>
      <c r="BTG51" s="223"/>
      <c r="BTH51" s="223"/>
      <c r="BTQ51" s="223"/>
      <c r="BTR51" s="223"/>
      <c r="BUA51" s="223"/>
      <c r="BUB51" s="223"/>
      <c r="BUK51" s="223"/>
      <c r="BUL51" s="223"/>
      <c r="BUU51" s="223"/>
      <c r="BUV51" s="223"/>
      <c r="BVE51" s="223"/>
      <c r="BVF51" s="223"/>
      <c r="BVO51" s="223"/>
      <c r="BVP51" s="223"/>
      <c r="BVY51" s="223"/>
      <c r="BVZ51" s="223"/>
      <c r="BWI51" s="223"/>
      <c r="BWJ51" s="223"/>
      <c r="BWS51" s="223"/>
      <c r="BWT51" s="223"/>
      <c r="BXC51" s="223"/>
      <c r="BXD51" s="223"/>
      <c r="BXM51" s="223"/>
      <c r="BXN51" s="223"/>
      <c r="BXW51" s="223"/>
      <c r="BXX51" s="223"/>
      <c r="BYG51" s="223"/>
      <c r="BYH51" s="223"/>
      <c r="BYQ51" s="223"/>
      <c r="BYR51" s="223"/>
      <c r="BZA51" s="223"/>
      <c r="BZB51" s="223"/>
      <c r="BZK51" s="223"/>
      <c r="BZL51" s="223"/>
      <c r="BZU51" s="223"/>
      <c r="BZV51" s="223"/>
      <c r="CAE51" s="223"/>
      <c r="CAF51" s="223"/>
      <c r="CAO51" s="223"/>
      <c r="CAP51" s="223"/>
      <c r="CAY51" s="223"/>
      <c r="CAZ51" s="223"/>
      <c r="CBI51" s="223"/>
      <c r="CBJ51" s="223"/>
      <c r="CBS51" s="223"/>
      <c r="CBT51" s="223"/>
      <c r="CCC51" s="223"/>
      <c r="CCD51" s="223"/>
      <c r="CCM51" s="223"/>
      <c r="CCN51" s="223"/>
      <c r="CCW51" s="223"/>
      <c r="CCX51" s="223"/>
      <c r="CDG51" s="223"/>
      <c r="CDH51" s="223"/>
      <c r="CDQ51" s="223"/>
      <c r="CDR51" s="223"/>
      <c r="CEA51" s="223"/>
      <c r="CEB51" s="223"/>
      <c r="CEK51" s="223"/>
      <c r="CEL51" s="223"/>
      <c r="CEU51" s="223"/>
      <c r="CEV51" s="223"/>
      <c r="CFE51" s="223"/>
      <c r="CFF51" s="223"/>
      <c r="CFO51" s="223"/>
      <c r="CFP51" s="223"/>
      <c r="CFY51" s="223"/>
      <c r="CFZ51" s="223"/>
      <c r="CGI51" s="223"/>
      <c r="CGJ51" s="223"/>
      <c r="CGS51" s="223"/>
      <c r="CGT51" s="223"/>
      <c r="CHC51" s="223"/>
      <c r="CHD51" s="223"/>
      <c r="CHM51" s="223"/>
      <c r="CHN51" s="223"/>
      <c r="CHW51" s="223"/>
      <c r="CHX51" s="223"/>
      <c r="CIG51" s="223"/>
      <c r="CIH51" s="223"/>
      <c r="CIQ51" s="223"/>
      <c r="CIR51" s="223"/>
      <c r="CJA51" s="223"/>
      <c r="CJB51" s="223"/>
      <c r="CJK51" s="223"/>
      <c r="CJL51" s="223"/>
      <c r="CJU51" s="223"/>
      <c r="CJV51" s="223"/>
      <c r="CKE51" s="223"/>
      <c r="CKF51" s="223"/>
      <c r="CKO51" s="223"/>
      <c r="CKP51" s="223"/>
      <c r="CKY51" s="223"/>
      <c r="CKZ51" s="223"/>
      <c r="CLI51" s="223"/>
      <c r="CLJ51" s="223"/>
      <c r="CLS51" s="223"/>
      <c r="CLT51" s="223"/>
      <c r="CMC51" s="223"/>
      <c r="CMD51" s="223"/>
      <c r="CMM51" s="223"/>
      <c r="CMN51" s="223"/>
      <c r="CMW51" s="223"/>
      <c r="CMX51" s="223"/>
      <c r="CNG51" s="223"/>
      <c r="CNH51" s="223"/>
      <c r="CNQ51" s="223"/>
      <c r="CNR51" s="223"/>
      <c r="COA51" s="223"/>
      <c r="COB51" s="223"/>
      <c r="COK51" s="223"/>
      <c r="COL51" s="223"/>
      <c r="COU51" s="223"/>
      <c r="COV51" s="223"/>
      <c r="CPE51" s="223"/>
      <c r="CPF51" s="223"/>
      <c r="CPO51" s="223"/>
      <c r="CPP51" s="223"/>
      <c r="CPY51" s="223"/>
      <c r="CPZ51" s="223"/>
      <c r="CQI51" s="223"/>
      <c r="CQJ51" s="223"/>
      <c r="CQS51" s="223"/>
      <c r="CQT51" s="223"/>
      <c r="CRC51" s="223"/>
      <c r="CRD51" s="223"/>
      <c r="CRM51" s="223"/>
      <c r="CRN51" s="223"/>
      <c r="CRW51" s="223"/>
      <c r="CRX51" s="223"/>
      <c r="CSG51" s="223"/>
      <c r="CSH51" s="223"/>
      <c r="CSQ51" s="223"/>
      <c r="CSR51" s="223"/>
      <c r="CTA51" s="223"/>
      <c r="CTB51" s="223"/>
      <c r="CTK51" s="223"/>
      <c r="CTL51" s="223"/>
      <c r="CTU51" s="223"/>
      <c r="CTV51" s="223"/>
      <c r="CUE51" s="223"/>
      <c r="CUF51" s="223"/>
      <c r="CUO51" s="223"/>
      <c r="CUP51" s="223"/>
      <c r="CUY51" s="223"/>
      <c r="CUZ51" s="223"/>
      <c r="CVI51" s="223"/>
      <c r="CVJ51" s="223"/>
      <c r="CVS51" s="223"/>
      <c r="CVT51" s="223"/>
      <c r="CWC51" s="223"/>
      <c r="CWD51" s="223"/>
      <c r="CWM51" s="223"/>
      <c r="CWN51" s="223"/>
      <c r="CWW51" s="223"/>
      <c r="CWX51" s="223"/>
      <c r="CXG51" s="223"/>
      <c r="CXH51" s="223"/>
      <c r="CXQ51" s="223"/>
      <c r="CXR51" s="223"/>
      <c r="CYA51" s="223"/>
      <c r="CYB51" s="223"/>
      <c r="CYK51" s="223"/>
      <c r="CYL51" s="223"/>
      <c r="CYU51" s="223"/>
      <c r="CYV51" s="223"/>
      <c r="CZE51" s="223"/>
      <c r="CZF51" s="223"/>
      <c r="CZO51" s="223"/>
      <c r="CZP51" s="223"/>
      <c r="CZY51" s="223"/>
      <c r="CZZ51" s="223"/>
      <c r="DAI51" s="223"/>
      <c r="DAJ51" s="223"/>
      <c r="DAS51" s="223"/>
      <c r="DAT51" s="223"/>
      <c r="DBC51" s="223"/>
      <c r="DBD51" s="223"/>
      <c r="DBM51" s="223"/>
      <c r="DBN51" s="223"/>
      <c r="DBW51" s="223"/>
      <c r="DBX51" s="223"/>
      <c r="DCG51" s="223"/>
      <c r="DCH51" s="223"/>
      <c r="DCQ51" s="223"/>
      <c r="DCR51" s="223"/>
      <c r="DDA51" s="223"/>
      <c r="DDB51" s="223"/>
      <c r="DDK51" s="223"/>
      <c r="DDL51" s="223"/>
      <c r="DDU51" s="223"/>
      <c r="DDV51" s="223"/>
      <c r="DEE51" s="223"/>
      <c r="DEF51" s="223"/>
      <c r="DEO51" s="223"/>
      <c r="DEP51" s="223"/>
      <c r="DEY51" s="223"/>
      <c r="DEZ51" s="223"/>
      <c r="DFI51" s="223"/>
      <c r="DFJ51" s="223"/>
      <c r="DFS51" s="223"/>
      <c r="DFT51" s="223"/>
      <c r="DGC51" s="223"/>
      <c r="DGD51" s="223"/>
      <c r="DGM51" s="223"/>
      <c r="DGN51" s="223"/>
      <c r="DGW51" s="223"/>
      <c r="DGX51" s="223"/>
      <c r="DHG51" s="223"/>
      <c r="DHH51" s="223"/>
      <c r="DHQ51" s="223"/>
      <c r="DHR51" s="223"/>
      <c r="DIA51" s="223"/>
      <c r="DIB51" s="223"/>
      <c r="DIK51" s="223"/>
      <c r="DIL51" s="223"/>
      <c r="DIU51" s="223"/>
      <c r="DIV51" s="223"/>
      <c r="DJE51" s="223"/>
      <c r="DJF51" s="223"/>
      <c r="DJO51" s="223"/>
      <c r="DJP51" s="223"/>
      <c r="DJY51" s="223"/>
      <c r="DJZ51" s="223"/>
      <c r="DKI51" s="223"/>
      <c r="DKJ51" s="223"/>
      <c r="DKS51" s="223"/>
      <c r="DKT51" s="223"/>
      <c r="DLC51" s="223"/>
      <c r="DLD51" s="223"/>
      <c r="DLM51" s="223"/>
      <c r="DLN51" s="223"/>
      <c r="DLW51" s="223"/>
      <c r="DLX51" s="223"/>
      <c r="DMG51" s="223"/>
      <c r="DMH51" s="223"/>
      <c r="DMQ51" s="223"/>
      <c r="DMR51" s="223"/>
      <c r="DNA51" s="223"/>
      <c r="DNB51" s="223"/>
      <c r="DNK51" s="223"/>
      <c r="DNL51" s="223"/>
      <c r="DNU51" s="223"/>
      <c r="DNV51" s="223"/>
      <c r="DOE51" s="223"/>
      <c r="DOF51" s="223"/>
      <c r="DOO51" s="223"/>
      <c r="DOP51" s="223"/>
      <c r="DOY51" s="223"/>
      <c r="DOZ51" s="223"/>
      <c r="DPI51" s="223"/>
      <c r="DPJ51" s="223"/>
      <c r="DPS51" s="223"/>
      <c r="DPT51" s="223"/>
      <c r="DQC51" s="223"/>
      <c r="DQD51" s="223"/>
      <c r="DQM51" s="223"/>
      <c r="DQN51" s="223"/>
      <c r="DQW51" s="223"/>
      <c r="DQX51" s="223"/>
      <c r="DRG51" s="223"/>
      <c r="DRH51" s="223"/>
      <c r="DRQ51" s="223"/>
      <c r="DRR51" s="223"/>
      <c r="DSA51" s="223"/>
      <c r="DSB51" s="223"/>
      <c r="DSK51" s="223"/>
      <c r="DSL51" s="223"/>
      <c r="DSU51" s="223"/>
      <c r="DSV51" s="223"/>
      <c r="DTE51" s="223"/>
      <c r="DTF51" s="223"/>
      <c r="DTO51" s="223"/>
      <c r="DTP51" s="223"/>
      <c r="DTY51" s="223"/>
      <c r="DTZ51" s="223"/>
      <c r="DUI51" s="223"/>
      <c r="DUJ51" s="223"/>
      <c r="DUS51" s="223"/>
      <c r="DUT51" s="223"/>
      <c r="DVC51" s="223"/>
      <c r="DVD51" s="223"/>
      <c r="DVM51" s="223"/>
      <c r="DVN51" s="223"/>
      <c r="DVW51" s="223"/>
      <c r="DVX51" s="223"/>
      <c r="DWG51" s="223"/>
      <c r="DWH51" s="223"/>
      <c r="DWQ51" s="223"/>
      <c r="DWR51" s="223"/>
      <c r="DXA51" s="223"/>
      <c r="DXB51" s="223"/>
      <c r="DXK51" s="223"/>
      <c r="DXL51" s="223"/>
      <c r="DXU51" s="223"/>
      <c r="DXV51" s="223"/>
      <c r="DYE51" s="223"/>
      <c r="DYF51" s="223"/>
      <c r="DYO51" s="223"/>
      <c r="DYP51" s="223"/>
      <c r="DYY51" s="223"/>
      <c r="DYZ51" s="223"/>
      <c r="DZI51" s="223"/>
      <c r="DZJ51" s="223"/>
      <c r="DZS51" s="223"/>
      <c r="DZT51" s="223"/>
      <c r="EAC51" s="223"/>
      <c r="EAD51" s="223"/>
      <c r="EAM51" s="223"/>
      <c r="EAN51" s="223"/>
      <c r="EAW51" s="223"/>
      <c r="EAX51" s="223"/>
      <c r="EBG51" s="223"/>
      <c r="EBH51" s="223"/>
      <c r="EBQ51" s="223"/>
      <c r="EBR51" s="223"/>
      <c r="ECA51" s="223"/>
      <c r="ECB51" s="223"/>
      <c r="ECK51" s="223"/>
      <c r="ECL51" s="223"/>
      <c r="ECU51" s="223"/>
      <c r="ECV51" s="223"/>
      <c r="EDE51" s="223"/>
      <c r="EDF51" s="223"/>
      <c r="EDO51" s="223"/>
      <c r="EDP51" s="223"/>
      <c r="EDY51" s="223"/>
      <c r="EDZ51" s="223"/>
      <c r="EEI51" s="223"/>
      <c r="EEJ51" s="223"/>
      <c r="EES51" s="223"/>
      <c r="EET51" s="223"/>
      <c r="EFC51" s="223"/>
      <c r="EFD51" s="223"/>
      <c r="EFM51" s="223"/>
      <c r="EFN51" s="223"/>
      <c r="EFW51" s="223"/>
      <c r="EFX51" s="223"/>
      <c r="EGG51" s="223"/>
      <c r="EGH51" s="223"/>
      <c r="EGQ51" s="223"/>
      <c r="EGR51" s="223"/>
      <c r="EHA51" s="223"/>
      <c r="EHB51" s="223"/>
      <c r="EHK51" s="223"/>
      <c r="EHL51" s="223"/>
      <c r="EHU51" s="223"/>
      <c r="EHV51" s="223"/>
      <c r="EIE51" s="223"/>
      <c r="EIF51" s="223"/>
      <c r="EIO51" s="223"/>
      <c r="EIP51" s="223"/>
      <c r="EIY51" s="223"/>
      <c r="EIZ51" s="223"/>
      <c r="EJI51" s="223"/>
      <c r="EJJ51" s="223"/>
      <c r="EJS51" s="223"/>
      <c r="EJT51" s="223"/>
      <c r="EKC51" s="223"/>
      <c r="EKD51" s="223"/>
      <c r="EKM51" s="223"/>
      <c r="EKN51" s="223"/>
      <c r="EKW51" s="223"/>
      <c r="EKX51" s="223"/>
      <c r="ELG51" s="223"/>
      <c r="ELH51" s="223"/>
      <c r="ELQ51" s="223"/>
      <c r="ELR51" s="223"/>
      <c r="EMA51" s="223"/>
      <c r="EMB51" s="223"/>
      <c r="EMK51" s="223"/>
      <c r="EML51" s="223"/>
      <c r="EMU51" s="223"/>
      <c r="EMV51" s="223"/>
      <c r="ENE51" s="223"/>
      <c r="ENF51" s="223"/>
      <c r="ENO51" s="223"/>
      <c r="ENP51" s="223"/>
      <c r="ENY51" s="223"/>
      <c r="ENZ51" s="223"/>
      <c r="EOI51" s="223"/>
      <c r="EOJ51" s="223"/>
      <c r="EOS51" s="223"/>
      <c r="EOT51" s="223"/>
      <c r="EPC51" s="223"/>
      <c r="EPD51" s="223"/>
      <c r="EPM51" s="223"/>
      <c r="EPN51" s="223"/>
      <c r="EPW51" s="223"/>
      <c r="EPX51" s="223"/>
      <c r="EQG51" s="223"/>
      <c r="EQH51" s="223"/>
      <c r="EQQ51" s="223"/>
      <c r="EQR51" s="223"/>
      <c r="ERA51" s="223"/>
      <c r="ERB51" s="223"/>
      <c r="ERK51" s="223"/>
      <c r="ERL51" s="223"/>
      <c r="ERU51" s="223"/>
      <c r="ERV51" s="223"/>
      <c r="ESE51" s="223"/>
      <c r="ESF51" s="223"/>
      <c r="ESO51" s="223"/>
      <c r="ESP51" s="223"/>
      <c r="ESY51" s="223"/>
      <c r="ESZ51" s="223"/>
      <c r="ETI51" s="223"/>
      <c r="ETJ51" s="223"/>
      <c r="ETS51" s="223"/>
      <c r="ETT51" s="223"/>
      <c r="EUC51" s="223"/>
      <c r="EUD51" s="223"/>
      <c r="EUM51" s="223"/>
      <c r="EUN51" s="223"/>
      <c r="EUW51" s="223"/>
      <c r="EUX51" s="223"/>
      <c r="EVG51" s="223"/>
      <c r="EVH51" s="223"/>
      <c r="EVQ51" s="223"/>
      <c r="EVR51" s="223"/>
      <c r="EWA51" s="223"/>
      <c r="EWB51" s="223"/>
      <c r="EWK51" s="223"/>
      <c r="EWL51" s="223"/>
      <c r="EWU51" s="223"/>
      <c r="EWV51" s="223"/>
      <c r="EXE51" s="223"/>
      <c r="EXF51" s="223"/>
      <c r="EXO51" s="223"/>
      <c r="EXP51" s="223"/>
      <c r="EXY51" s="223"/>
      <c r="EXZ51" s="223"/>
      <c r="EYI51" s="223"/>
      <c r="EYJ51" s="223"/>
      <c r="EYS51" s="223"/>
      <c r="EYT51" s="223"/>
      <c r="EZC51" s="223"/>
      <c r="EZD51" s="223"/>
      <c r="EZM51" s="223"/>
      <c r="EZN51" s="223"/>
      <c r="EZW51" s="223"/>
      <c r="EZX51" s="223"/>
      <c r="FAG51" s="223"/>
      <c r="FAH51" s="223"/>
      <c r="FAQ51" s="223"/>
      <c r="FAR51" s="223"/>
      <c r="FBA51" s="223"/>
      <c r="FBB51" s="223"/>
      <c r="FBK51" s="223"/>
      <c r="FBL51" s="223"/>
      <c r="FBU51" s="223"/>
      <c r="FBV51" s="223"/>
      <c r="FCE51" s="223"/>
      <c r="FCF51" s="223"/>
      <c r="FCO51" s="223"/>
      <c r="FCP51" s="223"/>
      <c r="FCY51" s="223"/>
      <c r="FCZ51" s="223"/>
      <c r="FDI51" s="223"/>
      <c r="FDJ51" s="223"/>
      <c r="FDS51" s="223"/>
      <c r="FDT51" s="223"/>
      <c r="FEC51" s="223"/>
      <c r="FED51" s="223"/>
      <c r="FEM51" s="223"/>
      <c r="FEN51" s="223"/>
      <c r="FEW51" s="223"/>
      <c r="FEX51" s="223"/>
      <c r="FFG51" s="223"/>
      <c r="FFH51" s="223"/>
      <c r="FFQ51" s="223"/>
      <c r="FFR51" s="223"/>
      <c r="FGA51" s="223"/>
      <c r="FGB51" s="223"/>
      <c r="FGK51" s="223"/>
      <c r="FGL51" s="223"/>
      <c r="FGU51" s="223"/>
      <c r="FGV51" s="223"/>
      <c r="FHE51" s="223"/>
      <c r="FHF51" s="223"/>
      <c r="FHO51" s="223"/>
      <c r="FHP51" s="223"/>
      <c r="FHY51" s="223"/>
      <c r="FHZ51" s="223"/>
      <c r="FII51" s="223"/>
      <c r="FIJ51" s="223"/>
      <c r="FIS51" s="223"/>
      <c r="FIT51" s="223"/>
      <c r="FJC51" s="223"/>
      <c r="FJD51" s="223"/>
      <c r="FJM51" s="223"/>
      <c r="FJN51" s="223"/>
      <c r="FJW51" s="223"/>
      <c r="FJX51" s="223"/>
      <c r="FKG51" s="223"/>
      <c r="FKH51" s="223"/>
      <c r="FKQ51" s="223"/>
      <c r="FKR51" s="223"/>
      <c r="FLA51" s="223"/>
      <c r="FLB51" s="223"/>
      <c r="FLK51" s="223"/>
      <c r="FLL51" s="223"/>
      <c r="FLU51" s="223"/>
      <c r="FLV51" s="223"/>
      <c r="FME51" s="223"/>
      <c r="FMF51" s="223"/>
      <c r="FMO51" s="223"/>
      <c r="FMP51" s="223"/>
      <c r="FMY51" s="223"/>
      <c r="FMZ51" s="223"/>
      <c r="FNI51" s="223"/>
      <c r="FNJ51" s="223"/>
      <c r="FNS51" s="223"/>
      <c r="FNT51" s="223"/>
      <c r="FOC51" s="223"/>
      <c r="FOD51" s="223"/>
      <c r="FOM51" s="223"/>
      <c r="FON51" s="223"/>
      <c r="FOW51" s="223"/>
      <c r="FOX51" s="223"/>
      <c r="FPG51" s="223"/>
      <c r="FPH51" s="223"/>
      <c r="FPQ51" s="223"/>
      <c r="FPR51" s="223"/>
      <c r="FQA51" s="223"/>
      <c r="FQB51" s="223"/>
      <c r="FQK51" s="223"/>
      <c r="FQL51" s="223"/>
      <c r="FQU51" s="223"/>
      <c r="FQV51" s="223"/>
      <c r="FRE51" s="223"/>
      <c r="FRF51" s="223"/>
      <c r="FRO51" s="223"/>
      <c r="FRP51" s="223"/>
      <c r="FRY51" s="223"/>
      <c r="FRZ51" s="223"/>
      <c r="FSI51" s="223"/>
      <c r="FSJ51" s="223"/>
      <c r="FSS51" s="223"/>
      <c r="FST51" s="223"/>
      <c r="FTC51" s="223"/>
      <c r="FTD51" s="223"/>
      <c r="FTM51" s="223"/>
      <c r="FTN51" s="223"/>
      <c r="FTW51" s="223"/>
      <c r="FTX51" s="223"/>
      <c r="FUG51" s="223"/>
      <c r="FUH51" s="223"/>
      <c r="FUQ51" s="223"/>
      <c r="FUR51" s="223"/>
      <c r="FVA51" s="223"/>
      <c r="FVB51" s="223"/>
      <c r="FVK51" s="223"/>
      <c r="FVL51" s="223"/>
      <c r="FVU51" s="223"/>
      <c r="FVV51" s="223"/>
      <c r="FWE51" s="223"/>
      <c r="FWF51" s="223"/>
      <c r="FWO51" s="223"/>
      <c r="FWP51" s="223"/>
      <c r="FWY51" s="223"/>
      <c r="FWZ51" s="223"/>
      <c r="FXI51" s="223"/>
      <c r="FXJ51" s="223"/>
      <c r="FXS51" s="223"/>
      <c r="FXT51" s="223"/>
      <c r="FYC51" s="223"/>
      <c r="FYD51" s="223"/>
      <c r="FYM51" s="223"/>
      <c r="FYN51" s="223"/>
      <c r="FYW51" s="223"/>
      <c r="FYX51" s="223"/>
      <c r="FZG51" s="223"/>
      <c r="FZH51" s="223"/>
      <c r="FZQ51" s="223"/>
      <c r="FZR51" s="223"/>
      <c r="GAA51" s="223"/>
      <c r="GAB51" s="223"/>
      <c r="GAK51" s="223"/>
      <c r="GAL51" s="223"/>
      <c r="GAU51" s="223"/>
      <c r="GAV51" s="223"/>
      <c r="GBE51" s="223"/>
      <c r="GBF51" s="223"/>
      <c r="GBO51" s="223"/>
      <c r="GBP51" s="223"/>
      <c r="GBY51" s="223"/>
      <c r="GBZ51" s="223"/>
      <c r="GCI51" s="223"/>
      <c r="GCJ51" s="223"/>
      <c r="GCS51" s="223"/>
      <c r="GCT51" s="223"/>
      <c r="GDC51" s="223"/>
      <c r="GDD51" s="223"/>
      <c r="GDM51" s="223"/>
      <c r="GDN51" s="223"/>
      <c r="GDW51" s="223"/>
      <c r="GDX51" s="223"/>
      <c r="GEG51" s="223"/>
      <c r="GEH51" s="223"/>
      <c r="GEQ51" s="223"/>
      <c r="GER51" s="223"/>
      <c r="GFA51" s="223"/>
      <c r="GFB51" s="223"/>
      <c r="GFK51" s="223"/>
      <c r="GFL51" s="223"/>
      <c r="GFU51" s="223"/>
      <c r="GFV51" s="223"/>
      <c r="GGE51" s="223"/>
      <c r="GGF51" s="223"/>
      <c r="GGO51" s="223"/>
      <c r="GGP51" s="223"/>
      <c r="GGY51" s="223"/>
      <c r="GGZ51" s="223"/>
      <c r="GHI51" s="223"/>
      <c r="GHJ51" s="223"/>
      <c r="GHS51" s="223"/>
      <c r="GHT51" s="223"/>
      <c r="GIC51" s="223"/>
      <c r="GID51" s="223"/>
      <c r="GIM51" s="223"/>
      <c r="GIN51" s="223"/>
      <c r="GIW51" s="223"/>
      <c r="GIX51" s="223"/>
      <c r="GJG51" s="223"/>
      <c r="GJH51" s="223"/>
      <c r="GJQ51" s="223"/>
      <c r="GJR51" s="223"/>
      <c r="GKA51" s="223"/>
      <c r="GKB51" s="223"/>
      <c r="GKK51" s="223"/>
      <c r="GKL51" s="223"/>
      <c r="GKU51" s="223"/>
      <c r="GKV51" s="223"/>
      <c r="GLE51" s="223"/>
      <c r="GLF51" s="223"/>
      <c r="GLO51" s="223"/>
      <c r="GLP51" s="223"/>
      <c r="GLY51" s="223"/>
      <c r="GLZ51" s="223"/>
      <c r="GMI51" s="223"/>
      <c r="GMJ51" s="223"/>
      <c r="GMS51" s="223"/>
      <c r="GMT51" s="223"/>
      <c r="GNC51" s="223"/>
      <c r="GND51" s="223"/>
      <c r="GNM51" s="223"/>
      <c r="GNN51" s="223"/>
      <c r="GNW51" s="223"/>
      <c r="GNX51" s="223"/>
      <c r="GOG51" s="223"/>
      <c r="GOH51" s="223"/>
      <c r="GOQ51" s="223"/>
      <c r="GOR51" s="223"/>
      <c r="GPA51" s="223"/>
      <c r="GPB51" s="223"/>
      <c r="GPK51" s="223"/>
      <c r="GPL51" s="223"/>
      <c r="GPU51" s="223"/>
      <c r="GPV51" s="223"/>
      <c r="GQE51" s="223"/>
      <c r="GQF51" s="223"/>
      <c r="GQO51" s="223"/>
      <c r="GQP51" s="223"/>
      <c r="GQY51" s="223"/>
      <c r="GQZ51" s="223"/>
      <c r="GRI51" s="223"/>
      <c r="GRJ51" s="223"/>
      <c r="GRS51" s="223"/>
      <c r="GRT51" s="223"/>
      <c r="GSC51" s="223"/>
      <c r="GSD51" s="223"/>
      <c r="GSM51" s="223"/>
      <c r="GSN51" s="223"/>
      <c r="GSW51" s="223"/>
      <c r="GSX51" s="223"/>
      <c r="GTG51" s="223"/>
      <c r="GTH51" s="223"/>
      <c r="GTQ51" s="223"/>
      <c r="GTR51" s="223"/>
      <c r="GUA51" s="223"/>
      <c r="GUB51" s="223"/>
      <c r="GUK51" s="223"/>
      <c r="GUL51" s="223"/>
      <c r="GUU51" s="223"/>
      <c r="GUV51" s="223"/>
      <c r="GVE51" s="223"/>
      <c r="GVF51" s="223"/>
      <c r="GVO51" s="223"/>
      <c r="GVP51" s="223"/>
      <c r="GVY51" s="223"/>
      <c r="GVZ51" s="223"/>
      <c r="GWI51" s="223"/>
      <c r="GWJ51" s="223"/>
      <c r="GWS51" s="223"/>
      <c r="GWT51" s="223"/>
      <c r="GXC51" s="223"/>
      <c r="GXD51" s="223"/>
      <c r="GXM51" s="223"/>
      <c r="GXN51" s="223"/>
      <c r="GXW51" s="223"/>
      <c r="GXX51" s="223"/>
      <c r="GYG51" s="223"/>
      <c r="GYH51" s="223"/>
      <c r="GYQ51" s="223"/>
      <c r="GYR51" s="223"/>
      <c r="GZA51" s="223"/>
      <c r="GZB51" s="223"/>
      <c r="GZK51" s="223"/>
      <c r="GZL51" s="223"/>
      <c r="GZU51" s="223"/>
      <c r="GZV51" s="223"/>
      <c r="HAE51" s="223"/>
      <c r="HAF51" s="223"/>
      <c r="HAO51" s="223"/>
      <c r="HAP51" s="223"/>
      <c r="HAY51" s="223"/>
      <c r="HAZ51" s="223"/>
      <c r="HBI51" s="223"/>
      <c r="HBJ51" s="223"/>
      <c r="HBS51" s="223"/>
      <c r="HBT51" s="223"/>
      <c r="HCC51" s="223"/>
      <c r="HCD51" s="223"/>
      <c r="HCM51" s="223"/>
      <c r="HCN51" s="223"/>
      <c r="HCW51" s="223"/>
      <c r="HCX51" s="223"/>
      <c r="HDG51" s="223"/>
      <c r="HDH51" s="223"/>
      <c r="HDQ51" s="223"/>
      <c r="HDR51" s="223"/>
      <c r="HEA51" s="223"/>
      <c r="HEB51" s="223"/>
      <c r="HEK51" s="223"/>
      <c r="HEL51" s="223"/>
      <c r="HEU51" s="223"/>
      <c r="HEV51" s="223"/>
      <c r="HFE51" s="223"/>
      <c r="HFF51" s="223"/>
      <c r="HFO51" s="223"/>
      <c r="HFP51" s="223"/>
      <c r="HFY51" s="223"/>
      <c r="HFZ51" s="223"/>
      <c r="HGI51" s="223"/>
      <c r="HGJ51" s="223"/>
      <c r="HGS51" s="223"/>
      <c r="HGT51" s="223"/>
      <c r="HHC51" s="223"/>
      <c r="HHD51" s="223"/>
      <c r="HHM51" s="223"/>
      <c r="HHN51" s="223"/>
      <c r="HHW51" s="223"/>
      <c r="HHX51" s="223"/>
      <c r="HIG51" s="223"/>
      <c r="HIH51" s="223"/>
      <c r="HIQ51" s="223"/>
      <c r="HIR51" s="223"/>
      <c r="HJA51" s="223"/>
      <c r="HJB51" s="223"/>
      <c r="HJK51" s="223"/>
      <c r="HJL51" s="223"/>
      <c r="HJU51" s="223"/>
      <c r="HJV51" s="223"/>
      <c r="HKE51" s="223"/>
      <c r="HKF51" s="223"/>
      <c r="HKO51" s="223"/>
      <c r="HKP51" s="223"/>
      <c r="HKY51" s="223"/>
      <c r="HKZ51" s="223"/>
      <c r="HLI51" s="223"/>
      <c r="HLJ51" s="223"/>
      <c r="HLS51" s="223"/>
      <c r="HLT51" s="223"/>
      <c r="HMC51" s="223"/>
      <c r="HMD51" s="223"/>
      <c r="HMM51" s="223"/>
      <c r="HMN51" s="223"/>
      <c r="HMW51" s="223"/>
      <c r="HMX51" s="223"/>
      <c r="HNG51" s="223"/>
      <c r="HNH51" s="223"/>
      <c r="HNQ51" s="223"/>
      <c r="HNR51" s="223"/>
      <c r="HOA51" s="223"/>
      <c r="HOB51" s="223"/>
      <c r="HOK51" s="223"/>
      <c r="HOL51" s="223"/>
      <c r="HOU51" s="223"/>
      <c r="HOV51" s="223"/>
      <c r="HPE51" s="223"/>
      <c r="HPF51" s="223"/>
      <c r="HPO51" s="223"/>
      <c r="HPP51" s="223"/>
      <c r="HPY51" s="223"/>
      <c r="HPZ51" s="223"/>
      <c r="HQI51" s="223"/>
      <c r="HQJ51" s="223"/>
      <c r="HQS51" s="223"/>
      <c r="HQT51" s="223"/>
      <c r="HRC51" s="223"/>
      <c r="HRD51" s="223"/>
      <c r="HRM51" s="223"/>
      <c r="HRN51" s="223"/>
      <c r="HRW51" s="223"/>
      <c r="HRX51" s="223"/>
      <c r="HSG51" s="223"/>
      <c r="HSH51" s="223"/>
      <c r="HSQ51" s="223"/>
      <c r="HSR51" s="223"/>
      <c r="HTA51" s="223"/>
      <c r="HTB51" s="223"/>
      <c r="HTK51" s="223"/>
      <c r="HTL51" s="223"/>
      <c r="HTU51" s="223"/>
      <c r="HTV51" s="223"/>
      <c r="HUE51" s="223"/>
      <c r="HUF51" s="223"/>
      <c r="HUO51" s="223"/>
      <c r="HUP51" s="223"/>
      <c r="HUY51" s="223"/>
      <c r="HUZ51" s="223"/>
      <c r="HVI51" s="223"/>
      <c r="HVJ51" s="223"/>
      <c r="HVS51" s="223"/>
      <c r="HVT51" s="223"/>
      <c r="HWC51" s="223"/>
      <c r="HWD51" s="223"/>
      <c r="HWM51" s="223"/>
      <c r="HWN51" s="223"/>
      <c r="HWW51" s="223"/>
      <c r="HWX51" s="223"/>
      <c r="HXG51" s="223"/>
      <c r="HXH51" s="223"/>
      <c r="HXQ51" s="223"/>
      <c r="HXR51" s="223"/>
      <c r="HYA51" s="223"/>
      <c r="HYB51" s="223"/>
      <c r="HYK51" s="223"/>
      <c r="HYL51" s="223"/>
      <c r="HYU51" s="223"/>
      <c r="HYV51" s="223"/>
      <c r="HZE51" s="223"/>
      <c r="HZF51" s="223"/>
      <c r="HZO51" s="223"/>
      <c r="HZP51" s="223"/>
      <c r="HZY51" s="223"/>
      <c r="HZZ51" s="223"/>
      <c r="IAI51" s="223"/>
      <c r="IAJ51" s="223"/>
      <c r="IAS51" s="223"/>
      <c r="IAT51" s="223"/>
      <c r="IBC51" s="223"/>
      <c r="IBD51" s="223"/>
      <c r="IBM51" s="223"/>
      <c r="IBN51" s="223"/>
      <c r="IBW51" s="223"/>
      <c r="IBX51" s="223"/>
      <c r="ICG51" s="223"/>
      <c r="ICH51" s="223"/>
      <c r="ICQ51" s="223"/>
      <c r="ICR51" s="223"/>
      <c r="IDA51" s="223"/>
      <c r="IDB51" s="223"/>
      <c r="IDK51" s="223"/>
      <c r="IDL51" s="223"/>
      <c r="IDU51" s="223"/>
      <c r="IDV51" s="223"/>
      <c r="IEE51" s="223"/>
      <c r="IEF51" s="223"/>
      <c r="IEO51" s="223"/>
      <c r="IEP51" s="223"/>
      <c r="IEY51" s="223"/>
      <c r="IEZ51" s="223"/>
      <c r="IFI51" s="223"/>
      <c r="IFJ51" s="223"/>
      <c r="IFS51" s="223"/>
      <c r="IFT51" s="223"/>
      <c r="IGC51" s="223"/>
      <c r="IGD51" s="223"/>
      <c r="IGM51" s="223"/>
      <c r="IGN51" s="223"/>
      <c r="IGW51" s="223"/>
      <c r="IGX51" s="223"/>
      <c r="IHG51" s="223"/>
      <c r="IHH51" s="223"/>
      <c r="IHQ51" s="223"/>
      <c r="IHR51" s="223"/>
      <c r="IIA51" s="223"/>
      <c r="IIB51" s="223"/>
      <c r="IIK51" s="223"/>
      <c r="IIL51" s="223"/>
      <c r="IIU51" s="223"/>
      <c r="IIV51" s="223"/>
      <c r="IJE51" s="223"/>
      <c r="IJF51" s="223"/>
      <c r="IJO51" s="223"/>
      <c r="IJP51" s="223"/>
      <c r="IJY51" s="223"/>
      <c r="IJZ51" s="223"/>
      <c r="IKI51" s="223"/>
      <c r="IKJ51" s="223"/>
      <c r="IKS51" s="223"/>
      <c r="IKT51" s="223"/>
      <c r="ILC51" s="223"/>
      <c r="ILD51" s="223"/>
      <c r="ILM51" s="223"/>
      <c r="ILN51" s="223"/>
      <c r="ILW51" s="223"/>
      <c r="ILX51" s="223"/>
      <c r="IMG51" s="223"/>
      <c r="IMH51" s="223"/>
      <c r="IMQ51" s="223"/>
      <c r="IMR51" s="223"/>
      <c r="INA51" s="223"/>
      <c r="INB51" s="223"/>
      <c r="INK51" s="223"/>
      <c r="INL51" s="223"/>
      <c r="INU51" s="223"/>
      <c r="INV51" s="223"/>
      <c r="IOE51" s="223"/>
      <c r="IOF51" s="223"/>
      <c r="IOO51" s="223"/>
      <c r="IOP51" s="223"/>
      <c r="IOY51" s="223"/>
      <c r="IOZ51" s="223"/>
      <c r="IPI51" s="223"/>
      <c r="IPJ51" s="223"/>
      <c r="IPS51" s="223"/>
      <c r="IPT51" s="223"/>
      <c r="IQC51" s="223"/>
      <c r="IQD51" s="223"/>
      <c r="IQM51" s="223"/>
      <c r="IQN51" s="223"/>
      <c r="IQW51" s="223"/>
      <c r="IQX51" s="223"/>
      <c r="IRG51" s="223"/>
      <c r="IRH51" s="223"/>
      <c r="IRQ51" s="223"/>
      <c r="IRR51" s="223"/>
      <c r="ISA51" s="223"/>
      <c r="ISB51" s="223"/>
      <c r="ISK51" s="223"/>
      <c r="ISL51" s="223"/>
      <c r="ISU51" s="223"/>
      <c r="ISV51" s="223"/>
      <c r="ITE51" s="223"/>
      <c r="ITF51" s="223"/>
      <c r="ITO51" s="223"/>
      <c r="ITP51" s="223"/>
      <c r="ITY51" s="223"/>
      <c r="ITZ51" s="223"/>
      <c r="IUI51" s="223"/>
      <c r="IUJ51" s="223"/>
      <c r="IUS51" s="223"/>
      <c r="IUT51" s="223"/>
      <c r="IVC51" s="223"/>
      <c r="IVD51" s="223"/>
      <c r="IVM51" s="223"/>
      <c r="IVN51" s="223"/>
      <c r="IVW51" s="223"/>
      <c r="IVX51" s="223"/>
      <c r="IWG51" s="223"/>
      <c r="IWH51" s="223"/>
      <c r="IWQ51" s="223"/>
      <c r="IWR51" s="223"/>
      <c r="IXA51" s="223"/>
      <c r="IXB51" s="223"/>
      <c r="IXK51" s="223"/>
      <c r="IXL51" s="223"/>
      <c r="IXU51" s="223"/>
      <c r="IXV51" s="223"/>
      <c r="IYE51" s="223"/>
      <c r="IYF51" s="223"/>
      <c r="IYO51" s="223"/>
      <c r="IYP51" s="223"/>
      <c r="IYY51" s="223"/>
      <c r="IYZ51" s="223"/>
      <c r="IZI51" s="223"/>
      <c r="IZJ51" s="223"/>
      <c r="IZS51" s="223"/>
      <c r="IZT51" s="223"/>
      <c r="JAC51" s="223"/>
      <c r="JAD51" s="223"/>
      <c r="JAM51" s="223"/>
      <c r="JAN51" s="223"/>
      <c r="JAW51" s="223"/>
      <c r="JAX51" s="223"/>
      <c r="JBG51" s="223"/>
      <c r="JBH51" s="223"/>
      <c r="JBQ51" s="223"/>
      <c r="JBR51" s="223"/>
      <c r="JCA51" s="223"/>
      <c r="JCB51" s="223"/>
      <c r="JCK51" s="223"/>
      <c r="JCL51" s="223"/>
      <c r="JCU51" s="223"/>
      <c r="JCV51" s="223"/>
      <c r="JDE51" s="223"/>
      <c r="JDF51" s="223"/>
      <c r="JDO51" s="223"/>
      <c r="JDP51" s="223"/>
      <c r="JDY51" s="223"/>
      <c r="JDZ51" s="223"/>
      <c r="JEI51" s="223"/>
      <c r="JEJ51" s="223"/>
      <c r="JES51" s="223"/>
      <c r="JET51" s="223"/>
      <c r="JFC51" s="223"/>
      <c r="JFD51" s="223"/>
      <c r="JFM51" s="223"/>
      <c r="JFN51" s="223"/>
      <c r="JFW51" s="223"/>
      <c r="JFX51" s="223"/>
      <c r="JGG51" s="223"/>
      <c r="JGH51" s="223"/>
      <c r="JGQ51" s="223"/>
      <c r="JGR51" s="223"/>
      <c r="JHA51" s="223"/>
      <c r="JHB51" s="223"/>
      <c r="JHK51" s="223"/>
      <c r="JHL51" s="223"/>
      <c r="JHU51" s="223"/>
      <c r="JHV51" s="223"/>
      <c r="JIE51" s="223"/>
      <c r="JIF51" s="223"/>
      <c r="JIO51" s="223"/>
      <c r="JIP51" s="223"/>
      <c r="JIY51" s="223"/>
      <c r="JIZ51" s="223"/>
      <c r="JJI51" s="223"/>
      <c r="JJJ51" s="223"/>
      <c r="JJS51" s="223"/>
      <c r="JJT51" s="223"/>
      <c r="JKC51" s="223"/>
      <c r="JKD51" s="223"/>
      <c r="JKM51" s="223"/>
      <c r="JKN51" s="223"/>
      <c r="JKW51" s="223"/>
      <c r="JKX51" s="223"/>
      <c r="JLG51" s="223"/>
      <c r="JLH51" s="223"/>
      <c r="JLQ51" s="223"/>
      <c r="JLR51" s="223"/>
      <c r="JMA51" s="223"/>
      <c r="JMB51" s="223"/>
      <c r="JMK51" s="223"/>
      <c r="JML51" s="223"/>
      <c r="JMU51" s="223"/>
      <c r="JMV51" s="223"/>
      <c r="JNE51" s="223"/>
      <c r="JNF51" s="223"/>
      <c r="JNO51" s="223"/>
      <c r="JNP51" s="223"/>
      <c r="JNY51" s="223"/>
      <c r="JNZ51" s="223"/>
      <c r="JOI51" s="223"/>
      <c r="JOJ51" s="223"/>
      <c r="JOS51" s="223"/>
      <c r="JOT51" s="223"/>
      <c r="JPC51" s="223"/>
      <c r="JPD51" s="223"/>
      <c r="JPM51" s="223"/>
      <c r="JPN51" s="223"/>
      <c r="JPW51" s="223"/>
      <c r="JPX51" s="223"/>
      <c r="JQG51" s="223"/>
      <c r="JQH51" s="223"/>
      <c r="JQQ51" s="223"/>
      <c r="JQR51" s="223"/>
      <c r="JRA51" s="223"/>
      <c r="JRB51" s="223"/>
      <c r="JRK51" s="223"/>
      <c r="JRL51" s="223"/>
      <c r="JRU51" s="223"/>
      <c r="JRV51" s="223"/>
      <c r="JSE51" s="223"/>
      <c r="JSF51" s="223"/>
      <c r="JSO51" s="223"/>
      <c r="JSP51" s="223"/>
      <c r="JSY51" s="223"/>
      <c r="JSZ51" s="223"/>
      <c r="JTI51" s="223"/>
      <c r="JTJ51" s="223"/>
      <c r="JTS51" s="223"/>
      <c r="JTT51" s="223"/>
      <c r="JUC51" s="223"/>
      <c r="JUD51" s="223"/>
      <c r="JUM51" s="223"/>
      <c r="JUN51" s="223"/>
      <c r="JUW51" s="223"/>
      <c r="JUX51" s="223"/>
      <c r="JVG51" s="223"/>
      <c r="JVH51" s="223"/>
      <c r="JVQ51" s="223"/>
      <c r="JVR51" s="223"/>
      <c r="JWA51" s="223"/>
      <c r="JWB51" s="223"/>
      <c r="JWK51" s="223"/>
      <c r="JWL51" s="223"/>
      <c r="JWU51" s="223"/>
      <c r="JWV51" s="223"/>
      <c r="JXE51" s="223"/>
      <c r="JXF51" s="223"/>
      <c r="JXO51" s="223"/>
      <c r="JXP51" s="223"/>
      <c r="JXY51" s="223"/>
      <c r="JXZ51" s="223"/>
      <c r="JYI51" s="223"/>
      <c r="JYJ51" s="223"/>
      <c r="JYS51" s="223"/>
      <c r="JYT51" s="223"/>
      <c r="JZC51" s="223"/>
      <c r="JZD51" s="223"/>
      <c r="JZM51" s="223"/>
      <c r="JZN51" s="223"/>
      <c r="JZW51" s="223"/>
      <c r="JZX51" s="223"/>
      <c r="KAG51" s="223"/>
      <c r="KAH51" s="223"/>
      <c r="KAQ51" s="223"/>
      <c r="KAR51" s="223"/>
      <c r="KBA51" s="223"/>
      <c r="KBB51" s="223"/>
      <c r="KBK51" s="223"/>
      <c r="KBL51" s="223"/>
      <c r="KBU51" s="223"/>
      <c r="KBV51" s="223"/>
      <c r="KCE51" s="223"/>
      <c r="KCF51" s="223"/>
      <c r="KCO51" s="223"/>
      <c r="KCP51" s="223"/>
      <c r="KCY51" s="223"/>
      <c r="KCZ51" s="223"/>
      <c r="KDI51" s="223"/>
      <c r="KDJ51" s="223"/>
      <c r="KDS51" s="223"/>
      <c r="KDT51" s="223"/>
      <c r="KEC51" s="223"/>
      <c r="KED51" s="223"/>
      <c r="KEM51" s="223"/>
      <c r="KEN51" s="223"/>
      <c r="KEW51" s="223"/>
      <c r="KEX51" s="223"/>
      <c r="KFG51" s="223"/>
      <c r="KFH51" s="223"/>
      <c r="KFQ51" s="223"/>
      <c r="KFR51" s="223"/>
      <c r="KGA51" s="223"/>
      <c r="KGB51" s="223"/>
      <c r="KGK51" s="223"/>
      <c r="KGL51" s="223"/>
      <c r="KGU51" s="223"/>
      <c r="KGV51" s="223"/>
      <c r="KHE51" s="223"/>
      <c r="KHF51" s="223"/>
      <c r="KHO51" s="223"/>
      <c r="KHP51" s="223"/>
      <c r="KHY51" s="223"/>
      <c r="KHZ51" s="223"/>
      <c r="KII51" s="223"/>
      <c r="KIJ51" s="223"/>
      <c r="KIS51" s="223"/>
      <c r="KIT51" s="223"/>
      <c r="KJC51" s="223"/>
      <c r="KJD51" s="223"/>
      <c r="KJM51" s="223"/>
      <c r="KJN51" s="223"/>
      <c r="KJW51" s="223"/>
      <c r="KJX51" s="223"/>
      <c r="KKG51" s="223"/>
      <c r="KKH51" s="223"/>
      <c r="KKQ51" s="223"/>
      <c r="KKR51" s="223"/>
      <c r="KLA51" s="223"/>
      <c r="KLB51" s="223"/>
      <c r="KLK51" s="223"/>
      <c r="KLL51" s="223"/>
      <c r="KLU51" s="223"/>
      <c r="KLV51" s="223"/>
      <c r="KME51" s="223"/>
      <c r="KMF51" s="223"/>
      <c r="KMO51" s="223"/>
      <c r="KMP51" s="223"/>
      <c r="KMY51" s="223"/>
      <c r="KMZ51" s="223"/>
      <c r="KNI51" s="223"/>
      <c r="KNJ51" s="223"/>
      <c r="KNS51" s="223"/>
      <c r="KNT51" s="223"/>
      <c r="KOC51" s="223"/>
      <c r="KOD51" s="223"/>
      <c r="KOM51" s="223"/>
      <c r="KON51" s="223"/>
      <c r="KOW51" s="223"/>
      <c r="KOX51" s="223"/>
      <c r="KPG51" s="223"/>
      <c r="KPH51" s="223"/>
      <c r="KPQ51" s="223"/>
      <c r="KPR51" s="223"/>
      <c r="KQA51" s="223"/>
      <c r="KQB51" s="223"/>
      <c r="KQK51" s="223"/>
      <c r="KQL51" s="223"/>
      <c r="KQU51" s="223"/>
      <c r="KQV51" s="223"/>
      <c r="KRE51" s="223"/>
      <c r="KRF51" s="223"/>
      <c r="KRO51" s="223"/>
      <c r="KRP51" s="223"/>
      <c r="KRY51" s="223"/>
      <c r="KRZ51" s="223"/>
      <c r="KSI51" s="223"/>
      <c r="KSJ51" s="223"/>
      <c r="KSS51" s="223"/>
      <c r="KST51" s="223"/>
      <c r="KTC51" s="223"/>
      <c r="KTD51" s="223"/>
      <c r="KTM51" s="223"/>
      <c r="KTN51" s="223"/>
      <c r="KTW51" s="223"/>
      <c r="KTX51" s="223"/>
      <c r="KUG51" s="223"/>
      <c r="KUH51" s="223"/>
      <c r="KUQ51" s="223"/>
      <c r="KUR51" s="223"/>
      <c r="KVA51" s="223"/>
      <c r="KVB51" s="223"/>
      <c r="KVK51" s="223"/>
      <c r="KVL51" s="223"/>
      <c r="KVU51" s="223"/>
      <c r="KVV51" s="223"/>
      <c r="KWE51" s="223"/>
      <c r="KWF51" s="223"/>
      <c r="KWO51" s="223"/>
      <c r="KWP51" s="223"/>
      <c r="KWY51" s="223"/>
      <c r="KWZ51" s="223"/>
      <c r="KXI51" s="223"/>
      <c r="KXJ51" s="223"/>
      <c r="KXS51" s="223"/>
      <c r="KXT51" s="223"/>
      <c r="KYC51" s="223"/>
      <c r="KYD51" s="223"/>
      <c r="KYM51" s="223"/>
      <c r="KYN51" s="223"/>
      <c r="KYW51" s="223"/>
      <c r="KYX51" s="223"/>
      <c r="KZG51" s="223"/>
      <c r="KZH51" s="223"/>
      <c r="KZQ51" s="223"/>
      <c r="KZR51" s="223"/>
      <c r="LAA51" s="223"/>
      <c r="LAB51" s="223"/>
      <c r="LAK51" s="223"/>
      <c r="LAL51" s="223"/>
      <c r="LAU51" s="223"/>
      <c r="LAV51" s="223"/>
      <c r="LBE51" s="223"/>
      <c r="LBF51" s="223"/>
      <c r="LBO51" s="223"/>
      <c r="LBP51" s="223"/>
      <c r="LBY51" s="223"/>
      <c r="LBZ51" s="223"/>
      <c r="LCI51" s="223"/>
      <c r="LCJ51" s="223"/>
      <c r="LCS51" s="223"/>
      <c r="LCT51" s="223"/>
      <c r="LDC51" s="223"/>
      <c r="LDD51" s="223"/>
      <c r="LDM51" s="223"/>
      <c r="LDN51" s="223"/>
      <c r="LDW51" s="223"/>
      <c r="LDX51" s="223"/>
      <c r="LEG51" s="223"/>
      <c r="LEH51" s="223"/>
      <c r="LEQ51" s="223"/>
      <c r="LER51" s="223"/>
      <c r="LFA51" s="223"/>
      <c r="LFB51" s="223"/>
      <c r="LFK51" s="223"/>
      <c r="LFL51" s="223"/>
      <c r="LFU51" s="223"/>
      <c r="LFV51" s="223"/>
      <c r="LGE51" s="223"/>
      <c r="LGF51" s="223"/>
      <c r="LGO51" s="223"/>
      <c r="LGP51" s="223"/>
      <c r="LGY51" s="223"/>
      <c r="LGZ51" s="223"/>
      <c r="LHI51" s="223"/>
      <c r="LHJ51" s="223"/>
      <c r="LHS51" s="223"/>
      <c r="LHT51" s="223"/>
      <c r="LIC51" s="223"/>
      <c r="LID51" s="223"/>
      <c r="LIM51" s="223"/>
      <c r="LIN51" s="223"/>
      <c r="LIW51" s="223"/>
      <c r="LIX51" s="223"/>
      <c r="LJG51" s="223"/>
      <c r="LJH51" s="223"/>
      <c r="LJQ51" s="223"/>
      <c r="LJR51" s="223"/>
      <c r="LKA51" s="223"/>
      <c r="LKB51" s="223"/>
      <c r="LKK51" s="223"/>
      <c r="LKL51" s="223"/>
      <c r="LKU51" s="223"/>
      <c r="LKV51" s="223"/>
      <c r="LLE51" s="223"/>
      <c r="LLF51" s="223"/>
      <c r="LLO51" s="223"/>
      <c r="LLP51" s="223"/>
      <c r="LLY51" s="223"/>
      <c r="LLZ51" s="223"/>
      <c r="LMI51" s="223"/>
      <c r="LMJ51" s="223"/>
      <c r="LMS51" s="223"/>
      <c r="LMT51" s="223"/>
      <c r="LNC51" s="223"/>
      <c r="LND51" s="223"/>
      <c r="LNM51" s="223"/>
      <c r="LNN51" s="223"/>
      <c r="LNW51" s="223"/>
      <c r="LNX51" s="223"/>
      <c r="LOG51" s="223"/>
      <c r="LOH51" s="223"/>
      <c r="LOQ51" s="223"/>
      <c r="LOR51" s="223"/>
      <c r="LPA51" s="223"/>
      <c r="LPB51" s="223"/>
      <c r="LPK51" s="223"/>
      <c r="LPL51" s="223"/>
      <c r="LPU51" s="223"/>
      <c r="LPV51" s="223"/>
      <c r="LQE51" s="223"/>
      <c r="LQF51" s="223"/>
      <c r="LQO51" s="223"/>
      <c r="LQP51" s="223"/>
      <c r="LQY51" s="223"/>
      <c r="LQZ51" s="223"/>
      <c r="LRI51" s="223"/>
      <c r="LRJ51" s="223"/>
      <c r="LRS51" s="223"/>
      <c r="LRT51" s="223"/>
      <c r="LSC51" s="223"/>
      <c r="LSD51" s="223"/>
      <c r="LSM51" s="223"/>
      <c r="LSN51" s="223"/>
      <c r="LSW51" s="223"/>
      <c r="LSX51" s="223"/>
      <c r="LTG51" s="223"/>
      <c r="LTH51" s="223"/>
      <c r="LTQ51" s="223"/>
      <c r="LTR51" s="223"/>
      <c r="LUA51" s="223"/>
      <c r="LUB51" s="223"/>
      <c r="LUK51" s="223"/>
      <c r="LUL51" s="223"/>
      <c r="LUU51" s="223"/>
      <c r="LUV51" s="223"/>
      <c r="LVE51" s="223"/>
      <c r="LVF51" s="223"/>
      <c r="LVO51" s="223"/>
      <c r="LVP51" s="223"/>
      <c r="LVY51" s="223"/>
      <c r="LVZ51" s="223"/>
      <c r="LWI51" s="223"/>
      <c r="LWJ51" s="223"/>
      <c r="LWS51" s="223"/>
      <c r="LWT51" s="223"/>
      <c r="LXC51" s="223"/>
      <c r="LXD51" s="223"/>
      <c r="LXM51" s="223"/>
      <c r="LXN51" s="223"/>
      <c r="LXW51" s="223"/>
      <c r="LXX51" s="223"/>
      <c r="LYG51" s="223"/>
      <c r="LYH51" s="223"/>
      <c r="LYQ51" s="223"/>
      <c r="LYR51" s="223"/>
      <c r="LZA51" s="223"/>
      <c r="LZB51" s="223"/>
      <c r="LZK51" s="223"/>
      <c r="LZL51" s="223"/>
      <c r="LZU51" s="223"/>
      <c r="LZV51" s="223"/>
      <c r="MAE51" s="223"/>
      <c r="MAF51" s="223"/>
      <c r="MAO51" s="223"/>
      <c r="MAP51" s="223"/>
      <c r="MAY51" s="223"/>
      <c r="MAZ51" s="223"/>
      <c r="MBI51" s="223"/>
      <c r="MBJ51" s="223"/>
      <c r="MBS51" s="223"/>
      <c r="MBT51" s="223"/>
      <c r="MCC51" s="223"/>
      <c r="MCD51" s="223"/>
      <c r="MCM51" s="223"/>
      <c r="MCN51" s="223"/>
      <c r="MCW51" s="223"/>
      <c r="MCX51" s="223"/>
      <c r="MDG51" s="223"/>
      <c r="MDH51" s="223"/>
      <c r="MDQ51" s="223"/>
      <c r="MDR51" s="223"/>
      <c r="MEA51" s="223"/>
      <c r="MEB51" s="223"/>
      <c r="MEK51" s="223"/>
      <c r="MEL51" s="223"/>
      <c r="MEU51" s="223"/>
      <c r="MEV51" s="223"/>
      <c r="MFE51" s="223"/>
      <c r="MFF51" s="223"/>
      <c r="MFO51" s="223"/>
      <c r="MFP51" s="223"/>
      <c r="MFY51" s="223"/>
      <c r="MFZ51" s="223"/>
      <c r="MGI51" s="223"/>
      <c r="MGJ51" s="223"/>
      <c r="MGS51" s="223"/>
      <c r="MGT51" s="223"/>
      <c r="MHC51" s="223"/>
      <c r="MHD51" s="223"/>
      <c r="MHM51" s="223"/>
      <c r="MHN51" s="223"/>
      <c r="MHW51" s="223"/>
      <c r="MHX51" s="223"/>
      <c r="MIG51" s="223"/>
      <c r="MIH51" s="223"/>
      <c r="MIQ51" s="223"/>
      <c r="MIR51" s="223"/>
      <c r="MJA51" s="223"/>
      <c r="MJB51" s="223"/>
      <c r="MJK51" s="223"/>
      <c r="MJL51" s="223"/>
      <c r="MJU51" s="223"/>
      <c r="MJV51" s="223"/>
      <c r="MKE51" s="223"/>
      <c r="MKF51" s="223"/>
      <c r="MKO51" s="223"/>
      <c r="MKP51" s="223"/>
      <c r="MKY51" s="223"/>
      <c r="MKZ51" s="223"/>
      <c r="MLI51" s="223"/>
      <c r="MLJ51" s="223"/>
      <c r="MLS51" s="223"/>
      <c r="MLT51" s="223"/>
      <c r="MMC51" s="223"/>
      <c r="MMD51" s="223"/>
      <c r="MMM51" s="223"/>
      <c r="MMN51" s="223"/>
      <c r="MMW51" s="223"/>
      <c r="MMX51" s="223"/>
      <c r="MNG51" s="223"/>
      <c r="MNH51" s="223"/>
      <c r="MNQ51" s="223"/>
      <c r="MNR51" s="223"/>
      <c r="MOA51" s="223"/>
      <c r="MOB51" s="223"/>
      <c r="MOK51" s="223"/>
      <c r="MOL51" s="223"/>
      <c r="MOU51" s="223"/>
      <c r="MOV51" s="223"/>
      <c r="MPE51" s="223"/>
      <c r="MPF51" s="223"/>
      <c r="MPO51" s="223"/>
      <c r="MPP51" s="223"/>
      <c r="MPY51" s="223"/>
      <c r="MPZ51" s="223"/>
      <c r="MQI51" s="223"/>
      <c r="MQJ51" s="223"/>
      <c r="MQS51" s="223"/>
      <c r="MQT51" s="223"/>
      <c r="MRC51" s="223"/>
      <c r="MRD51" s="223"/>
      <c r="MRM51" s="223"/>
      <c r="MRN51" s="223"/>
      <c r="MRW51" s="223"/>
      <c r="MRX51" s="223"/>
      <c r="MSG51" s="223"/>
      <c r="MSH51" s="223"/>
      <c r="MSQ51" s="223"/>
      <c r="MSR51" s="223"/>
      <c r="MTA51" s="223"/>
      <c r="MTB51" s="223"/>
      <c r="MTK51" s="223"/>
      <c r="MTL51" s="223"/>
      <c r="MTU51" s="223"/>
      <c r="MTV51" s="223"/>
      <c r="MUE51" s="223"/>
      <c r="MUF51" s="223"/>
      <c r="MUO51" s="223"/>
      <c r="MUP51" s="223"/>
      <c r="MUY51" s="223"/>
      <c r="MUZ51" s="223"/>
      <c r="MVI51" s="223"/>
      <c r="MVJ51" s="223"/>
      <c r="MVS51" s="223"/>
      <c r="MVT51" s="223"/>
      <c r="MWC51" s="223"/>
      <c r="MWD51" s="223"/>
      <c r="MWM51" s="223"/>
      <c r="MWN51" s="223"/>
      <c r="MWW51" s="223"/>
      <c r="MWX51" s="223"/>
      <c r="MXG51" s="223"/>
      <c r="MXH51" s="223"/>
      <c r="MXQ51" s="223"/>
      <c r="MXR51" s="223"/>
      <c r="MYA51" s="223"/>
      <c r="MYB51" s="223"/>
      <c r="MYK51" s="223"/>
      <c r="MYL51" s="223"/>
      <c r="MYU51" s="223"/>
      <c r="MYV51" s="223"/>
      <c r="MZE51" s="223"/>
      <c r="MZF51" s="223"/>
      <c r="MZO51" s="223"/>
      <c r="MZP51" s="223"/>
      <c r="MZY51" s="223"/>
      <c r="MZZ51" s="223"/>
      <c r="NAI51" s="223"/>
      <c r="NAJ51" s="223"/>
      <c r="NAS51" s="223"/>
      <c r="NAT51" s="223"/>
      <c r="NBC51" s="223"/>
      <c r="NBD51" s="223"/>
      <c r="NBM51" s="223"/>
      <c r="NBN51" s="223"/>
      <c r="NBW51" s="223"/>
      <c r="NBX51" s="223"/>
      <c r="NCG51" s="223"/>
      <c r="NCH51" s="223"/>
      <c r="NCQ51" s="223"/>
      <c r="NCR51" s="223"/>
      <c r="NDA51" s="223"/>
      <c r="NDB51" s="223"/>
      <c r="NDK51" s="223"/>
      <c r="NDL51" s="223"/>
      <c r="NDU51" s="223"/>
      <c r="NDV51" s="223"/>
      <c r="NEE51" s="223"/>
      <c r="NEF51" s="223"/>
      <c r="NEO51" s="223"/>
      <c r="NEP51" s="223"/>
      <c r="NEY51" s="223"/>
      <c r="NEZ51" s="223"/>
      <c r="NFI51" s="223"/>
      <c r="NFJ51" s="223"/>
      <c r="NFS51" s="223"/>
      <c r="NFT51" s="223"/>
      <c r="NGC51" s="223"/>
      <c r="NGD51" s="223"/>
      <c r="NGM51" s="223"/>
      <c r="NGN51" s="223"/>
      <c r="NGW51" s="223"/>
      <c r="NGX51" s="223"/>
      <c r="NHG51" s="223"/>
      <c r="NHH51" s="223"/>
      <c r="NHQ51" s="223"/>
      <c r="NHR51" s="223"/>
      <c r="NIA51" s="223"/>
      <c r="NIB51" s="223"/>
      <c r="NIK51" s="223"/>
      <c r="NIL51" s="223"/>
      <c r="NIU51" s="223"/>
      <c r="NIV51" s="223"/>
      <c r="NJE51" s="223"/>
      <c r="NJF51" s="223"/>
      <c r="NJO51" s="223"/>
      <c r="NJP51" s="223"/>
      <c r="NJY51" s="223"/>
      <c r="NJZ51" s="223"/>
      <c r="NKI51" s="223"/>
      <c r="NKJ51" s="223"/>
      <c r="NKS51" s="223"/>
      <c r="NKT51" s="223"/>
      <c r="NLC51" s="223"/>
      <c r="NLD51" s="223"/>
      <c r="NLM51" s="223"/>
      <c r="NLN51" s="223"/>
      <c r="NLW51" s="223"/>
      <c r="NLX51" s="223"/>
      <c r="NMG51" s="223"/>
      <c r="NMH51" s="223"/>
      <c r="NMQ51" s="223"/>
      <c r="NMR51" s="223"/>
      <c r="NNA51" s="223"/>
      <c r="NNB51" s="223"/>
      <c r="NNK51" s="223"/>
      <c r="NNL51" s="223"/>
      <c r="NNU51" s="223"/>
      <c r="NNV51" s="223"/>
      <c r="NOE51" s="223"/>
      <c r="NOF51" s="223"/>
      <c r="NOO51" s="223"/>
      <c r="NOP51" s="223"/>
      <c r="NOY51" s="223"/>
      <c r="NOZ51" s="223"/>
      <c r="NPI51" s="223"/>
      <c r="NPJ51" s="223"/>
      <c r="NPS51" s="223"/>
      <c r="NPT51" s="223"/>
      <c r="NQC51" s="223"/>
      <c r="NQD51" s="223"/>
      <c r="NQM51" s="223"/>
      <c r="NQN51" s="223"/>
      <c r="NQW51" s="223"/>
      <c r="NQX51" s="223"/>
      <c r="NRG51" s="223"/>
      <c r="NRH51" s="223"/>
      <c r="NRQ51" s="223"/>
      <c r="NRR51" s="223"/>
      <c r="NSA51" s="223"/>
      <c r="NSB51" s="223"/>
      <c r="NSK51" s="223"/>
      <c r="NSL51" s="223"/>
      <c r="NSU51" s="223"/>
      <c r="NSV51" s="223"/>
      <c r="NTE51" s="223"/>
      <c r="NTF51" s="223"/>
      <c r="NTO51" s="223"/>
      <c r="NTP51" s="223"/>
      <c r="NTY51" s="223"/>
      <c r="NTZ51" s="223"/>
      <c r="NUI51" s="223"/>
      <c r="NUJ51" s="223"/>
      <c r="NUS51" s="223"/>
      <c r="NUT51" s="223"/>
      <c r="NVC51" s="223"/>
      <c r="NVD51" s="223"/>
      <c r="NVM51" s="223"/>
      <c r="NVN51" s="223"/>
      <c r="NVW51" s="223"/>
      <c r="NVX51" s="223"/>
      <c r="NWG51" s="223"/>
      <c r="NWH51" s="223"/>
      <c r="NWQ51" s="223"/>
      <c r="NWR51" s="223"/>
      <c r="NXA51" s="223"/>
      <c r="NXB51" s="223"/>
      <c r="NXK51" s="223"/>
      <c r="NXL51" s="223"/>
      <c r="NXU51" s="223"/>
      <c r="NXV51" s="223"/>
      <c r="NYE51" s="223"/>
      <c r="NYF51" s="223"/>
      <c r="NYO51" s="223"/>
      <c r="NYP51" s="223"/>
      <c r="NYY51" s="223"/>
      <c r="NYZ51" s="223"/>
      <c r="NZI51" s="223"/>
      <c r="NZJ51" s="223"/>
      <c r="NZS51" s="223"/>
      <c r="NZT51" s="223"/>
      <c r="OAC51" s="223"/>
      <c r="OAD51" s="223"/>
      <c r="OAM51" s="223"/>
      <c r="OAN51" s="223"/>
      <c r="OAW51" s="223"/>
      <c r="OAX51" s="223"/>
      <c r="OBG51" s="223"/>
      <c r="OBH51" s="223"/>
      <c r="OBQ51" s="223"/>
      <c r="OBR51" s="223"/>
      <c r="OCA51" s="223"/>
      <c r="OCB51" s="223"/>
      <c r="OCK51" s="223"/>
      <c r="OCL51" s="223"/>
      <c r="OCU51" s="223"/>
      <c r="OCV51" s="223"/>
      <c r="ODE51" s="223"/>
      <c r="ODF51" s="223"/>
      <c r="ODO51" s="223"/>
      <c r="ODP51" s="223"/>
      <c r="ODY51" s="223"/>
      <c r="ODZ51" s="223"/>
      <c r="OEI51" s="223"/>
      <c r="OEJ51" s="223"/>
      <c r="OES51" s="223"/>
      <c r="OET51" s="223"/>
      <c r="OFC51" s="223"/>
      <c r="OFD51" s="223"/>
      <c r="OFM51" s="223"/>
      <c r="OFN51" s="223"/>
      <c r="OFW51" s="223"/>
      <c r="OFX51" s="223"/>
      <c r="OGG51" s="223"/>
      <c r="OGH51" s="223"/>
      <c r="OGQ51" s="223"/>
      <c r="OGR51" s="223"/>
      <c r="OHA51" s="223"/>
      <c r="OHB51" s="223"/>
      <c r="OHK51" s="223"/>
      <c r="OHL51" s="223"/>
      <c r="OHU51" s="223"/>
      <c r="OHV51" s="223"/>
      <c r="OIE51" s="223"/>
      <c r="OIF51" s="223"/>
      <c r="OIO51" s="223"/>
      <c r="OIP51" s="223"/>
      <c r="OIY51" s="223"/>
      <c r="OIZ51" s="223"/>
      <c r="OJI51" s="223"/>
      <c r="OJJ51" s="223"/>
      <c r="OJS51" s="223"/>
      <c r="OJT51" s="223"/>
      <c r="OKC51" s="223"/>
      <c r="OKD51" s="223"/>
      <c r="OKM51" s="223"/>
      <c r="OKN51" s="223"/>
      <c r="OKW51" s="223"/>
      <c r="OKX51" s="223"/>
      <c r="OLG51" s="223"/>
      <c r="OLH51" s="223"/>
      <c r="OLQ51" s="223"/>
      <c r="OLR51" s="223"/>
      <c r="OMA51" s="223"/>
      <c r="OMB51" s="223"/>
      <c r="OMK51" s="223"/>
      <c r="OML51" s="223"/>
      <c r="OMU51" s="223"/>
      <c r="OMV51" s="223"/>
      <c r="ONE51" s="223"/>
      <c r="ONF51" s="223"/>
      <c r="ONO51" s="223"/>
      <c r="ONP51" s="223"/>
      <c r="ONY51" s="223"/>
      <c r="ONZ51" s="223"/>
      <c r="OOI51" s="223"/>
      <c r="OOJ51" s="223"/>
      <c r="OOS51" s="223"/>
      <c r="OOT51" s="223"/>
      <c r="OPC51" s="223"/>
      <c r="OPD51" s="223"/>
      <c r="OPM51" s="223"/>
      <c r="OPN51" s="223"/>
      <c r="OPW51" s="223"/>
      <c r="OPX51" s="223"/>
      <c r="OQG51" s="223"/>
      <c r="OQH51" s="223"/>
      <c r="OQQ51" s="223"/>
      <c r="OQR51" s="223"/>
      <c r="ORA51" s="223"/>
      <c r="ORB51" s="223"/>
      <c r="ORK51" s="223"/>
      <c r="ORL51" s="223"/>
      <c r="ORU51" s="223"/>
      <c r="ORV51" s="223"/>
      <c r="OSE51" s="223"/>
      <c r="OSF51" s="223"/>
      <c r="OSO51" s="223"/>
      <c r="OSP51" s="223"/>
      <c r="OSY51" s="223"/>
      <c r="OSZ51" s="223"/>
      <c r="OTI51" s="223"/>
      <c r="OTJ51" s="223"/>
      <c r="OTS51" s="223"/>
      <c r="OTT51" s="223"/>
      <c r="OUC51" s="223"/>
      <c r="OUD51" s="223"/>
      <c r="OUM51" s="223"/>
      <c r="OUN51" s="223"/>
      <c r="OUW51" s="223"/>
      <c r="OUX51" s="223"/>
      <c r="OVG51" s="223"/>
      <c r="OVH51" s="223"/>
      <c r="OVQ51" s="223"/>
      <c r="OVR51" s="223"/>
      <c r="OWA51" s="223"/>
      <c r="OWB51" s="223"/>
      <c r="OWK51" s="223"/>
      <c r="OWL51" s="223"/>
      <c r="OWU51" s="223"/>
      <c r="OWV51" s="223"/>
      <c r="OXE51" s="223"/>
      <c r="OXF51" s="223"/>
      <c r="OXO51" s="223"/>
      <c r="OXP51" s="223"/>
      <c r="OXY51" s="223"/>
      <c r="OXZ51" s="223"/>
      <c r="OYI51" s="223"/>
      <c r="OYJ51" s="223"/>
      <c r="OYS51" s="223"/>
      <c r="OYT51" s="223"/>
      <c r="OZC51" s="223"/>
      <c r="OZD51" s="223"/>
      <c r="OZM51" s="223"/>
      <c r="OZN51" s="223"/>
      <c r="OZW51" s="223"/>
      <c r="OZX51" s="223"/>
      <c r="PAG51" s="223"/>
      <c r="PAH51" s="223"/>
      <c r="PAQ51" s="223"/>
      <c r="PAR51" s="223"/>
      <c r="PBA51" s="223"/>
      <c r="PBB51" s="223"/>
      <c r="PBK51" s="223"/>
      <c r="PBL51" s="223"/>
      <c r="PBU51" s="223"/>
      <c r="PBV51" s="223"/>
      <c r="PCE51" s="223"/>
      <c r="PCF51" s="223"/>
      <c r="PCO51" s="223"/>
      <c r="PCP51" s="223"/>
      <c r="PCY51" s="223"/>
      <c r="PCZ51" s="223"/>
      <c r="PDI51" s="223"/>
      <c r="PDJ51" s="223"/>
      <c r="PDS51" s="223"/>
      <c r="PDT51" s="223"/>
      <c r="PEC51" s="223"/>
      <c r="PED51" s="223"/>
      <c r="PEM51" s="223"/>
      <c r="PEN51" s="223"/>
      <c r="PEW51" s="223"/>
      <c r="PEX51" s="223"/>
      <c r="PFG51" s="223"/>
      <c r="PFH51" s="223"/>
      <c r="PFQ51" s="223"/>
      <c r="PFR51" s="223"/>
      <c r="PGA51" s="223"/>
      <c r="PGB51" s="223"/>
      <c r="PGK51" s="223"/>
      <c r="PGL51" s="223"/>
      <c r="PGU51" s="223"/>
      <c r="PGV51" s="223"/>
      <c r="PHE51" s="223"/>
      <c r="PHF51" s="223"/>
      <c r="PHO51" s="223"/>
      <c r="PHP51" s="223"/>
      <c r="PHY51" s="223"/>
      <c r="PHZ51" s="223"/>
      <c r="PII51" s="223"/>
      <c r="PIJ51" s="223"/>
      <c r="PIS51" s="223"/>
      <c r="PIT51" s="223"/>
      <c r="PJC51" s="223"/>
      <c r="PJD51" s="223"/>
      <c r="PJM51" s="223"/>
      <c r="PJN51" s="223"/>
      <c r="PJW51" s="223"/>
      <c r="PJX51" s="223"/>
      <c r="PKG51" s="223"/>
      <c r="PKH51" s="223"/>
      <c r="PKQ51" s="223"/>
      <c r="PKR51" s="223"/>
      <c r="PLA51" s="223"/>
      <c r="PLB51" s="223"/>
      <c r="PLK51" s="223"/>
      <c r="PLL51" s="223"/>
      <c r="PLU51" s="223"/>
      <c r="PLV51" s="223"/>
      <c r="PME51" s="223"/>
      <c r="PMF51" s="223"/>
      <c r="PMO51" s="223"/>
      <c r="PMP51" s="223"/>
      <c r="PMY51" s="223"/>
      <c r="PMZ51" s="223"/>
      <c r="PNI51" s="223"/>
      <c r="PNJ51" s="223"/>
      <c r="PNS51" s="223"/>
      <c r="PNT51" s="223"/>
      <c r="POC51" s="223"/>
      <c r="POD51" s="223"/>
      <c r="POM51" s="223"/>
      <c r="PON51" s="223"/>
      <c r="POW51" s="223"/>
      <c r="POX51" s="223"/>
      <c r="PPG51" s="223"/>
      <c r="PPH51" s="223"/>
      <c r="PPQ51" s="223"/>
      <c r="PPR51" s="223"/>
      <c r="PQA51" s="223"/>
      <c r="PQB51" s="223"/>
      <c r="PQK51" s="223"/>
      <c r="PQL51" s="223"/>
      <c r="PQU51" s="223"/>
      <c r="PQV51" s="223"/>
      <c r="PRE51" s="223"/>
      <c r="PRF51" s="223"/>
      <c r="PRO51" s="223"/>
      <c r="PRP51" s="223"/>
      <c r="PRY51" s="223"/>
      <c r="PRZ51" s="223"/>
      <c r="PSI51" s="223"/>
      <c r="PSJ51" s="223"/>
      <c r="PSS51" s="223"/>
      <c r="PST51" s="223"/>
      <c r="PTC51" s="223"/>
      <c r="PTD51" s="223"/>
      <c r="PTM51" s="223"/>
      <c r="PTN51" s="223"/>
      <c r="PTW51" s="223"/>
      <c r="PTX51" s="223"/>
      <c r="PUG51" s="223"/>
      <c r="PUH51" s="223"/>
      <c r="PUQ51" s="223"/>
      <c r="PUR51" s="223"/>
      <c r="PVA51" s="223"/>
      <c r="PVB51" s="223"/>
      <c r="PVK51" s="223"/>
      <c r="PVL51" s="223"/>
      <c r="PVU51" s="223"/>
      <c r="PVV51" s="223"/>
      <c r="PWE51" s="223"/>
      <c r="PWF51" s="223"/>
      <c r="PWO51" s="223"/>
      <c r="PWP51" s="223"/>
      <c r="PWY51" s="223"/>
      <c r="PWZ51" s="223"/>
      <c r="PXI51" s="223"/>
      <c r="PXJ51" s="223"/>
      <c r="PXS51" s="223"/>
      <c r="PXT51" s="223"/>
      <c r="PYC51" s="223"/>
      <c r="PYD51" s="223"/>
      <c r="PYM51" s="223"/>
      <c r="PYN51" s="223"/>
      <c r="PYW51" s="223"/>
      <c r="PYX51" s="223"/>
      <c r="PZG51" s="223"/>
      <c r="PZH51" s="223"/>
      <c r="PZQ51" s="223"/>
      <c r="PZR51" s="223"/>
      <c r="QAA51" s="223"/>
      <c r="QAB51" s="223"/>
      <c r="QAK51" s="223"/>
      <c r="QAL51" s="223"/>
      <c r="QAU51" s="223"/>
      <c r="QAV51" s="223"/>
      <c r="QBE51" s="223"/>
      <c r="QBF51" s="223"/>
      <c r="QBO51" s="223"/>
      <c r="QBP51" s="223"/>
      <c r="QBY51" s="223"/>
      <c r="QBZ51" s="223"/>
      <c r="QCI51" s="223"/>
      <c r="QCJ51" s="223"/>
      <c r="QCS51" s="223"/>
      <c r="QCT51" s="223"/>
      <c r="QDC51" s="223"/>
      <c r="QDD51" s="223"/>
      <c r="QDM51" s="223"/>
      <c r="QDN51" s="223"/>
      <c r="QDW51" s="223"/>
      <c r="QDX51" s="223"/>
      <c r="QEG51" s="223"/>
      <c r="QEH51" s="223"/>
      <c r="QEQ51" s="223"/>
      <c r="QER51" s="223"/>
      <c r="QFA51" s="223"/>
      <c r="QFB51" s="223"/>
      <c r="QFK51" s="223"/>
      <c r="QFL51" s="223"/>
      <c r="QFU51" s="223"/>
      <c r="QFV51" s="223"/>
      <c r="QGE51" s="223"/>
      <c r="QGF51" s="223"/>
      <c r="QGO51" s="223"/>
      <c r="QGP51" s="223"/>
      <c r="QGY51" s="223"/>
      <c r="QGZ51" s="223"/>
      <c r="QHI51" s="223"/>
      <c r="QHJ51" s="223"/>
      <c r="QHS51" s="223"/>
      <c r="QHT51" s="223"/>
      <c r="QIC51" s="223"/>
      <c r="QID51" s="223"/>
      <c r="QIM51" s="223"/>
      <c r="QIN51" s="223"/>
      <c r="QIW51" s="223"/>
      <c r="QIX51" s="223"/>
      <c r="QJG51" s="223"/>
      <c r="QJH51" s="223"/>
      <c r="QJQ51" s="223"/>
      <c r="QJR51" s="223"/>
      <c r="QKA51" s="223"/>
      <c r="QKB51" s="223"/>
      <c r="QKK51" s="223"/>
      <c r="QKL51" s="223"/>
      <c r="QKU51" s="223"/>
      <c r="QKV51" s="223"/>
      <c r="QLE51" s="223"/>
      <c r="QLF51" s="223"/>
      <c r="QLO51" s="223"/>
      <c r="QLP51" s="223"/>
      <c r="QLY51" s="223"/>
      <c r="QLZ51" s="223"/>
      <c r="QMI51" s="223"/>
      <c r="QMJ51" s="223"/>
      <c r="QMS51" s="223"/>
      <c r="QMT51" s="223"/>
      <c r="QNC51" s="223"/>
      <c r="QND51" s="223"/>
      <c r="QNM51" s="223"/>
      <c r="QNN51" s="223"/>
      <c r="QNW51" s="223"/>
      <c r="QNX51" s="223"/>
      <c r="QOG51" s="223"/>
      <c r="QOH51" s="223"/>
      <c r="QOQ51" s="223"/>
      <c r="QOR51" s="223"/>
      <c r="QPA51" s="223"/>
      <c r="QPB51" s="223"/>
      <c r="QPK51" s="223"/>
      <c r="QPL51" s="223"/>
      <c r="QPU51" s="223"/>
      <c r="QPV51" s="223"/>
      <c r="QQE51" s="223"/>
      <c r="QQF51" s="223"/>
      <c r="QQO51" s="223"/>
      <c r="QQP51" s="223"/>
      <c r="QQY51" s="223"/>
      <c r="QQZ51" s="223"/>
      <c r="QRI51" s="223"/>
      <c r="QRJ51" s="223"/>
      <c r="QRS51" s="223"/>
      <c r="QRT51" s="223"/>
      <c r="QSC51" s="223"/>
      <c r="QSD51" s="223"/>
      <c r="QSM51" s="223"/>
      <c r="QSN51" s="223"/>
      <c r="QSW51" s="223"/>
      <c r="QSX51" s="223"/>
      <c r="QTG51" s="223"/>
      <c r="QTH51" s="223"/>
      <c r="QTQ51" s="223"/>
      <c r="QTR51" s="223"/>
      <c r="QUA51" s="223"/>
      <c r="QUB51" s="223"/>
      <c r="QUK51" s="223"/>
      <c r="QUL51" s="223"/>
      <c r="QUU51" s="223"/>
      <c r="QUV51" s="223"/>
      <c r="QVE51" s="223"/>
      <c r="QVF51" s="223"/>
      <c r="QVO51" s="223"/>
      <c r="QVP51" s="223"/>
      <c r="QVY51" s="223"/>
      <c r="QVZ51" s="223"/>
      <c r="QWI51" s="223"/>
      <c r="QWJ51" s="223"/>
      <c r="QWS51" s="223"/>
      <c r="QWT51" s="223"/>
      <c r="QXC51" s="223"/>
      <c r="QXD51" s="223"/>
      <c r="QXM51" s="223"/>
      <c r="QXN51" s="223"/>
      <c r="QXW51" s="223"/>
      <c r="QXX51" s="223"/>
      <c r="QYG51" s="223"/>
      <c r="QYH51" s="223"/>
      <c r="QYQ51" s="223"/>
      <c r="QYR51" s="223"/>
      <c r="QZA51" s="223"/>
      <c r="QZB51" s="223"/>
      <c r="QZK51" s="223"/>
      <c r="QZL51" s="223"/>
      <c r="QZU51" s="223"/>
      <c r="QZV51" s="223"/>
      <c r="RAE51" s="223"/>
      <c r="RAF51" s="223"/>
      <c r="RAO51" s="223"/>
      <c r="RAP51" s="223"/>
      <c r="RAY51" s="223"/>
      <c r="RAZ51" s="223"/>
      <c r="RBI51" s="223"/>
      <c r="RBJ51" s="223"/>
      <c r="RBS51" s="223"/>
      <c r="RBT51" s="223"/>
      <c r="RCC51" s="223"/>
      <c r="RCD51" s="223"/>
      <c r="RCM51" s="223"/>
      <c r="RCN51" s="223"/>
      <c r="RCW51" s="223"/>
      <c r="RCX51" s="223"/>
      <c r="RDG51" s="223"/>
      <c r="RDH51" s="223"/>
      <c r="RDQ51" s="223"/>
      <c r="RDR51" s="223"/>
      <c r="REA51" s="223"/>
      <c r="REB51" s="223"/>
      <c r="REK51" s="223"/>
      <c r="REL51" s="223"/>
      <c r="REU51" s="223"/>
      <c r="REV51" s="223"/>
      <c r="RFE51" s="223"/>
      <c r="RFF51" s="223"/>
      <c r="RFO51" s="223"/>
      <c r="RFP51" s="223"/>
      <c r="RFY51" s="223"/>
      <c r="RFZ51" s="223"/>
      <c r="RGI51" s="223"/>
      <c r="RGJ51" s="223"/>
      <c r="RGS51" s="223"/>
      <c r="RGT51" s="223"/>
      <c r="RHC51" s="223"/>
      <c r="RHD51" s="223"/>
      <c r="RHM51" s="223"/>
      <c r="RHN51" s="223"/>
      <c r="RHW51" s="223"/>
      <c r="RHX51" s="223"/>
      <c r="RIG51" s="223"/>
      <c r="RIH51" s="223"/>
      <c r="RIQ51" s="223"/>
      <c r="RIR51" s="223"/>
      <c r="RJA51" s="223"/>
      <c r="RJB51" s="223"/>
      <c r="RJK51" s="223"/>
      <c r="RJL51" s="223"/>
      <c r="RJU51" s="223"/>
      <c r="RJV51" s="223"/>
      <c r="RKE51" s="223"/>
      <c r="RKF51" s="223"/>
      <c r="RKO51" s="223"/>
      <c r="RKP51" s="223"/>
      <c r="RKY51" s="223"/>
      <c r="RKZ51" s="223"/>
      <c r="RLI51" s="223"/>
      <c r="RLJ51" s="223"/>
      <c r="RLS51" s="223"/>
      <c r="RLT51" s="223"/>
      <c r="RMC51" s="223"/>
      <c r="RMD51" s="223"/>
      <c r="RMM51" s="223"/>
      <c r="RMN51" s="223"/>
      <c r="RMW51" s="223"/>
      <c r="RMX51" s="223"/>
      <c r="RNG51" s="223"/>
      <c r="RNH51" s="223"/>
      <c r="RNQ51" s="223"/>
      <c r="RNR51" s="223"/>
      <c r="ROA51" s="223"/>
      <c r="ROB51" s="223"/>
      <c r="ROK51" s="223"/>
      <c r="ROL51" s="223"/>
      <c r="ROU51" s="223"/>
      <c r="ROV51" s="223"/>
      <c r="RPE51" s="223"/>
      <c r="RPF51" s="223"/>
      <c r="RPO51" s="223"/>
      <c r="RPP51" s="223"/>
      <c r="RPY51" s="223"/>
      <c r="RPZ51" s="223"/>
      <c r="RQI51" s="223"/>
      <c r="RQJ51" s="223"/>
      <c r="RQS51" s="223"/>
      <c r="RQT51" s="223"/>
      <c r="RRC51" s="223"/>
      <c r="RRD51" s="223"/>
      <c r="RRM51" s="223"/>
      <c r="RRN51" s="223"/>
      <c r="RRW51" s="223"/>
      <c r="RRX51" s="223"/>
      <c r="RSG51" s="223"/>
      <c r="RSH51" s="223"/>
      <c r="RSQ51" s="223"/>
      <c r="RSR51" s="223"/>
      <c r="RTA51" s="223"/>
      <c r="RTB51" s="223"/>
      <c r="RTK51" s="223"/>
      <c r="RTL51" s="223"/>
      <c r="RTU51" s="223"/>
      <c r="RTV51" s="223"/>
      <c r="RUE51" s="223"/>
      <c r="RUF51" s="223"/>
      <c r="RUO51" s="223"/>
      <c r="RUP51" s="223"/>
      <c r="RUY51" s="223"/>
      <c r="RUZ51" s="223"/>
      <c r="RVI51" s="223"/>
      <c r="RVJ51" s="223"/>
      <c r="RVS51" s="223"/>
      <c r="RVT51" s="223"/>
      <c r="RWC51" s="223"/>
      <c r="RWD51" s="223"/>
      <c r="RWM51" s="223"/>
      <c r="RWN51" s="223"/>
      <c r="RWW51" s="223"/>
      <c r="RWX51" s="223"/>
      <c r="RXG51" s="223"/>
      <c r="RXH51" s="223"/>
      <c r="RXQ51" s="223"/>
      <c r="RXR51" s="223"/>
      <c r="RYA51" s="223"/>
      <c r="RYB51" s="223"/>
      <c r="RYK51" s="223"/>
      <c r="RYL51" s="223"/>
      <c r="RYU51" s="223"/>
      <c r="RYV51" s="223"/>
      <c r="RZE51" s="223"/>
      <c r="RZF51" s="223"/>
      <c r="RZO51" s="223"/>
      <c r="RZP51" s="223"/>
      <c r="RZY51" s="223"/>
      <c r="RZZ51" s="223"/>
      <c r="SAI51" s="223"/>
      <c r="SAJ51" s="223"/>
      <c r="SAS51" s="223"/>
      <c r="SAT51" s="223"/>
      <c r="SBC51" s="223"/>
      <c r="SBD51" s="223"/>
      <c r="SBM51" s="223"/>
      <c r="SBN51" s="223"/>
      <c r="SBW51" s="223"/>
      <c r="SBX51" s="223"/>
      <c r="SCG51" s="223"/>
      <c r="SCH51" s="223"/>
      <c r="SCQ51" s="223"/>
      <c r="SCR51" s="223"/>
      <c r="SDA51" s="223"/>
      <c r="SDB51" s="223"/>
      <c r="SDK51" s="223"/>
      <c r="SDL51" s="223"/>
      <c r="SDU51" s="223"/>
      <c r="SDV51" s="223"/>
      <c r="SEE51" s="223"/>
      <c r="SEF51" s="223"/>
      <c r="SEO51" s="223"/>
      <c r="SEP51" s="223"/>
      <c r="SEY51" s="223"/>
      <c r="SEZ51" s="223"/>
      <c r="SFI51" s="223"/>
      <c r="SFJ51" s="223"/>
      <c r="SFS51" s="223"/>
      <c r="SFT51" s="223"/>
      <c r="SGC51" s="223"/>
      <c r="SGD51" s="223"/>
      <c r="SGM51" s="223"/>
      <c r="SGN51" s="223"/>
      <c r="SGW51" s="223"/>
      <c r="SGX51" s="223"/>
      <c r="SHG51" s="223"/>
      <c r="SHH51" s="223"/>
      <c r="SHQ51" s="223"/>
      <c r="SHR51" s="223"/>
      <c r="SIA51" s="223"/>
      <c r="SIB51" s="223"/>
      <c r="SIK51" s="223"/>
      <c r="SIL51" s="223"/>
      <c r="SIU51" s="223"/>
      <c r="SIV51" s="223"/>
      <c r="SJE51" s="223"/>
      <c r="SJF51" s="223"/>
      <c r="SJO51" s="223"/>
      <c r="SJP51" s="223"/>
      <c r="SJY51" s="223"/>
      <c r="SJZ51" s="223"/>
      <c r="SKI51" s="223"/>
      <c r="SKJ51" s="223"/>
      <c r="SKS51" s="223"/>
      <c r="SKT51" s="223"/>
      <c r="SLC51" s="223"/>
      <c r="SLD51" s="223"/>
      <c r="SLM51" s="223"/>
      <c r="SLN51" s="223"/>
      <c r="SLW51" s="223"/>
      <c r="SLX51" s="223"/>
      <c r="SMG51" s="223"/>
      <c r="SMH51" s="223"/>
      <c r="SMQ51" s="223"/>
      <c r="SMR51" s="223"/>
      <c r="SNA51" s="223"/>
      <c r="SNB51" s="223"/>
      <c r="SNK51" s="223"/>
      <c r="SNL51" s="223"/>
      <c r="SNU51" s="223"/>
      <c r="SNV51" s="223"/>
      <c r="SOE51" s="223"/>
      <c r="SOF51" s="223"/>
      <c r="SOO51" s="223"/>
      <c r="SOP51" s="223"/>
      <c r="SOY51" s="223"/>
      <c r="SOZ51" s="223"/>
      <c r="SPI51" s="223"/>
      <c r="SPJ51" s="223"/>
      <c r="SPS51" s="223"/>
      <c r="SPT51" s="223"/>
      <c r="SQC51" s="223"/>
      <c r="SQD51" s="223"/>
      <c r="SQM51" s="223"/>
      <c r="SQN51" s="223"/>
      <c r="SQW51" s="223"/>
      <c r="SQX51" s="223"/>
      <c r="SRG51" s="223"/>
      <c r="SRH51" s="223"/>
      <c r="SRQ51" s="223"/>
      <c r="SRR51" s="223"/>
      <c r="SSA51" s="223"/>
      <c r="SSB51" s="223"/>
      <c r="SSK51" s="223"/>
      <c r="SSL51" s="223"/>
      <c r="SSU51" s="223"/>
      <c r="SSV51" s="223"/>
      <c r="STE51" s="223"/>
      <c r="STF51" s="223"/>
      <c r="STO51" s="223"/>
      <c r="STP51" s="223"/>
      <c r="STY51" s="223"/>
      <c r="STZ51" s="223"/>
      <c r="SUI51" s="223"/>
      <c r="SUJ51" s="223"/>
      <c r="SUS51" s="223"/>
      <c r="SUT51" s="223"/>
      <c r="SVC51" s="223"/>
      <c r="SVD51" s="223"/>
      <c r="SVM51" s="223"/>
      <c r="SVN51" s="223"/>
      <c r="SVW51" s="223"/>
      <c r="SVX51" s="223"/>
      <c r="SWG51" s="223"/>
      <c r="SWH51" s="223"/>
      <c r="SWQ51" s="223"/>
      <c r="SWR51" s="223"/>
      <c r="SXA51" s="223"/>
      <c r="SXB51" s="223"/>
      <c r="SXK51" s="223"/>
      <c r="SXL51" s="223"/>
      <c r="SXU51" s="223"/>
      <c r="SXV51" s="223"/>
      <c r="SYE51" s="223"/>
      <c r="SYF51" s="223"/>
      <c r="SYO51" s="223"/>
      <c r="SYP51" s="223"/>
      <c r="SYY51" s="223"/>
      <c r="SYZ51" s="223"/>
      <c r="SZI51" s="223"/>
      <c r="SZJ51" s="223"/>
      <c r="SZS51" s="223"/>
      <c r="SZT51" s="223"/>
      <c r="TAC51" s="223"/>
      <c r="TAD51" s="223"/>
      <c r="TAM51" s="223"/>
      <c r="TAN51" s="223"/>
      <c r="TAW51" s="223"/>
      <c r="TAX51" s="223"/>
      <c r="TBG51" s="223"/>
      <c r="TBH51" s="223"/>
      <c r="TBQ51" s="223"/>
      <c r="TBR51" s="223"/>
      <c r="TCA51" s="223"/>
      <c r="TCB51" s="223"/>
      <c r="TCK51" s="223"/>
      <c r="TCL51" s="223"/>
      <c r="TCU51" s="223"/>
      <c r="TCV51" s="223"/>
      <c r="TDE51" s="223"/>
      <c r="TDF51" s="223"/>
      <c r="TDO51" s="223"/>
      <c r="TDP51" s="223"/>
      <c r="TDY51" s="223"/>
      <c r="TDZ51" s="223"/>
      <c r="TEI51" s="223"/>
      <c r="TEJ51" s="223"/>
      <c r="TES51" s="223"/>
      <c r="TET51" s="223"/>
      <c r="TFC51" s="223"/>
      <c r="TFD51" s="223"/>
      <c r="TFM51" s="223"/>
      <c r="TFN51" s="223"/>
      <c r="TFW51" s="223"/>
      <c r="TFX51" s="223"/>
      <c r="TGG51" s="223"/>
      <c r="TGH51" s="223"/>
      <c r="TGQ51" s="223"/>
      <c r="TGR51" s="223"/>
      <c r="THA51" s="223"/>
      <c r="THB51" s="223"/>
      <c r="THK51" s="223"/>
      <c r="THL51" s="223"/>
      <c r="THU51" s="223"/>
      <c r="THV51" s="223"/>
      <c r="TIE51" s="223"/>
      <c r="TIF51" s="223"/>
      <c r="TIO51" s="223"/>
      <c r="TIP51" s="223"/>
      <c r="TIY51" s="223"/>
      <c r="TIZ51" s="223"/>
      <c r="TJI51" s="223"/>
      <c r="TJJ51" s="223"/>
      <c r="TJS51" s="223"/>
      <c r="TJT51" s="223"/>
      <c r="TKC51" s="223"/>
      <c r="TKD51" s="223"/>
      <c r="TKM51" s="223"/>
      <c r="TKN51" s="223"/>
      <c r="TKW51" s="223"/>
      <c r="TKX51" s="223"/>
      <c r="TLG51" s="223"/>
      <c r="TLH51" s="223"/>
      <c r="TLQ51" s="223"/>
      <c r="TLR51" s="223"/>
      <c r="TMA51" s="223"/>
      <c r="TMB51" s="223"/>
      <c r="TMK51" s="223"/>
      <c r="TML51" s="223"/>
      <c r="TMU51" s="223"/>
      <c r="TMV51" s="223"/>
      <c r="TNE51" s="223"/>
      <c r="TNF51" s="223"/>
      <c r="TNO51" s="223"/>
      <c r="TNP51" s="223"/>
      <c r="TNY51" s="223"/>
      <c r="TNZ51" s="223"/>
      <c r="TOI51" s="223"/>
      <c r="TOJ51" s="223"/>
      <c r="TOS51" s="223"/>
      <c r="TOT51" s="223"/>
      <c r="TPC51" s="223"/>
      <c r="TPD51" s="223"/>
      <c r="TPM51" s="223"/>
      <c r="TPN51" s="223"/>
      <c r="TPW51" s="223"/>
      <c r="TPX51" s="223"/>
      <c r="TQG51" s="223"/>
      <c r="TQH51" s="223"/>
      <c r="TQQ51" s="223"/>
      <c r="TQR51" s="223"/>
      <c r="TRA51" s="223"/>
      <c r="TRB51" s="223"/>
      <c r="TRK51" s="223"/>
      <c r="TRL51" s="223"/>
      <c r="TRU51" s="223"/>
      <c r="TRV51" s="223"/>
      <c r="TSE51" s="223"/>
      <c r="TSF51" s="223"/>
      <c r="TSO51" s="223"/>
      <c r="TSP51" s="223"/>
      <c r="TSY51" s="223"/>
      <c r="TSZ51" s="223"/>
      <c r="TTI51" s="223"/>
      <c r="TTJ51" s="223"/>
      <c r="TTS51" s="223"/>
      <c r="TTT51" s="223"/>
      <c r="TUC51" s="223"/>
      <c r="TUD51" s="223"/>
      <c r="TUM51" s="223"/>
      <c r="TUN51" s="223"/>
      <c r="TUW51" s="223"/>
      <c r="TUX51" s="223"/>
      <c r="TVG51" s="223"/>
      <c r="TVH51" s="223"/>
      <c r="TVQ51" s="223"/>
      <c r="TVR51" s="223"/>
      <c r="TWA51" s="223"/>
      <c r="TWB51" s="223"/>
      <c r="TWK51" s="223"/>
      <c r="TWL51" s="223"/>
      <c r="TWU51" s="223"/>
      <c r="TWV51" s="223"/>
      <c r="TXE51" s="223"/>
      <c r="TXF51" s="223"/>
      <c r="TXO51" s="223"/>
      <c r="TXP51" s="223"/>
      <c r="TXY51" s="223"/>
      <c r="TXZ51" s="223"/>
      <c r="TYI51" s="223"/>
      <c r="TYJ51" s="223"/>
      <c r="TYS51" s="223"/>
      <c r="TYT51" s="223"/>
      <c r="TZC51" s="223"/>
      <c r="TZD51" s="223"/>
      <c r="TZM51" s="223"/>
      <c r="TZN51" s="223"/>
      <c r="TZW51" s="223"/>
      <c r="TZX51" s="223"/>
      <c r="UAG51" s="223"/>
      <c r="UAH51" s="223"/>
      <c r="UAQ51" s="223"/>
      <c r="UAR51" s="223"/>
      <c r="UBA51" s="223"/>
      <c r="UBB51" s="223"/>
      <c r="UBK51" s="223"/>
      <c r="UBL51" s="223"/>
      <c r="UBU51" s="223"/>
      <c r="UBV51" s="223"/>
      <c r="UCE51" s="223"/>
      <c r="UCF51" s="223"/>
      <c r="UCO51" s="223"/>
      <c r="UCP51" s="223"/>
      <c r="UCY51" s="223"/>
      <c r="UCZ51" s="223"/>
      <c r="UDI51" s="223"/>
      <c r="UDJ51" s="223"/>
      <c r="UDS51" s="223"/>
      <c r="UDT51" s="223"/>
      <c r="UEC51" s="223"/>
      <c r="UED51" s="223"/>
      <c r="UEM51" s="223"/>
      <c r="UEN51" s="223"/>
      <c r="UEW51" s="223"/>
      <c r="UEX51" s="223"/>
      <c r="UFG51" s="223"/>
      <c r="UFH51" s="223"/>
      <c r="UFQ51" s="223"/>
      <c r="UFR51" s="223"/>
      <c r="UGA51" s="223"/>
      <c r="UGB51" s="223"/>
      <c r="UGK51" s="223"/>
      <c r="UGL51" s="223"/>
      <c r="UGU51" s="223"/>
      <c r="UGV51" s="223"/>
      <c r="UHE51" s="223"/>
      <c r="UHF51" s="223"/>
      <c r="UHO51" s="223"/>
      <c r="UHP51" s="223"/>
      <c r="UHY51" s="223"/>
      <c r="UHZ51" s="223"/>
      <c r="UII51" s="223"/>
      <c r="UIJ51" s="223"/>
      <c r="UIS51" s="223"/>
      <c r="UIT51" s="223"/>
      <c r="UJC51" s="223"/>
      <c r="UJD51" s="223"/>
      <c r="UJM51" s="223"/>
      <c r="UJN51" s="223"/>
      <c r="UJW51" s="223"/>
      <c r="UJX51" s="223"/>
      <c r="UKG51" s="223"/>
      <c r="UKH51" s="223"/>
      <c r="UKQ51" s="223"/>
      <c r="UKR51" s="223"/>
      <c r="ULA51" s="223"/>
      <c r="ULB51" s="223"/>
      <c r="ULK51" s="223"/>
      <c r="ULL51" s="223"/>
      <c r="ULU51" s="223"/>
      <c r="ULV51" s="223"/>
      <c r="UME51" s="223"/>
      <c r="UMF51" s="223"/>
      <c r="UMO51" s="223"/>
      <c r="UMP51" s="223"/>
      <c r="UMY51" s="223"/>
      <c r="UMZ51" s="223"/>
      <c r="UNI51" s="223"/>
      <c r="UNJ51" s="223"/>
      <c r="UNS51" s="223"/>
      <c r="UNT51" s="223"/>
      <c r="UOC51" s="223"/>
      <c r="UOD51" s="223"/>
      <c r="UOM51" s="223"/>
      <c r="UON51" s="223"/>
      <c r="UOW51" s="223"/>
      <c r="UOX51" s="223"/>
      <c r="UPG51" s="223"/>
      <c r="UPH51" s="223"/>
      <c r="UPQ51" s="223"/>
      <c r="UPR51" s="223"/>
      <c r="UQA51" s="223"/>
      <c r="UQB51" s="223"/>
      <c r="UQK51" s="223"/>
      <c r="UQL51" s="223"/>
      <c r="UQU51" s="223"/>
      <c r="UQV51" s="223"/>
      <c r="URE51" s="223"/>
      <c r="URF51" s="223"/>
      <c r="URO51" s="223"/>
      <c r="URP51" s="223"/>
      <c r="URY51" s="223"/>
      <c r="URZ51" s="223"/>
      <c r="USI51" s="223"/>
      <c r="USJ51" s="223"/>
      <c r="USS51" s="223"/>
      <c r="UST51" s="223"/>
      <c r="UTC51" s="223"/>
      <c r="UTD51" s="223"/>
      <c r="UTM51" s="223"/>
      <c r="UTN51" s="223"/>
      <c r="UTW51" s="223"/>
      <c r="UTX51" s="223"/>
      <c r="UUG51" s="223"/>
      <c r="UUH51" s="223"/>
      <c r="UUQ51" s="223"/>
      <c r="UUR51" s="223"/>
      <c r="UVA51" s="223"/>
      <c r="UVB51" s="223"/>
      <c r="UVK51" s="223"/>
      <c r="UVL51" s="223"/>
      <c r="UVU51" s="223"/>
      <c r="UVV51" s="223"/>
      <c r="UWE51" s="223"/>
      <c r="UWF51" s="223"/>
      <c r="UWO51" s="223"/>
      <c r="UWP51" s="223"/>
      <c r="UWY51" s="223"/>
      <c r="UWZ51" s="223"/>
      <c r="UXI51" s="223"/>
      <c r="UXJ51" s="223"/>
      <c r="UXS51" s="223"/>
      <c r="UXT51" s="223"/>
      <c r="UYC51" s="223"/>
      <c r="UYD51" s="223"/>
      <c r="UYM51" s="223"/>
      <c r="UYN51" s="223"/>
      <c r="UYW51" s="223"/>
      <c r="UYX51" s="223"/>
      <c r="UZG51" s="223"/>
      <c r="UZH51" s="223"/>
      <c r="UZQ51" s="223"/>
      <c r="UZR51" s="223"/>
      <c r="VAA51" s="223"/>
      <c r="VAB51" s="223"/>
      <c r="VAK51" s="223"/>
      <c r="VAL51" s="223"/>
      <c r="VAU51" s="223"/>
      <c r="VAV51" s="223"/>
      <c r="VBE51" s="223"/>
      <c r="VBF51" s="223"/>
      <c r="VBO51" s="223"/>
      <c r="VBP51" s="223"/>
      <c r="VBY51" s="223"/>
      <c r="VBZ51" s="223"/>
      <c r="VCI51" s="223"/>
      <c r="VCJ51" s="223"/>
      <c r="VCS51" s="223"/>
      <c r="VCT51" s="223"/>
      <c r="VDC51" s="223"/>
      <c r="VDD51" s="223"/>
      <c r="VDM51" s="223"/>
      <c r="VDN51" s="223"/>
      <c r="VDW51" s="223"/>
      <c r="VDX51" s="223"/>
      <c r="VEG51" s="223"/>
      <c r="VEH51" s="223"/>
      <c r="VEQ51" s="223"/>
      <c r="VER51" s="223"/>
      <c r="VFA51" s="223"/>
      <c r="VFB51" s="223"/>
      <c r="VFK51" s="223"/>
      <c r="VFL51" s="223"/>
      <c r="VFU51" s="223"/>
      <c r="VFV51" s="223"/>
      <c r="VGE51" s="223"/>
      <c r="VGF51" s="223"/>
      <c r="VGO51" s="223"/>
      <c r="VGP51" s="223"/>
      <c r="VGY51" s="223"/>
      <c r="VGZ51" s="223"/>
      <c r="VHI51" s="223"/>
      <c r="VHJ51" s="223"/>
      <c r="VHS51" s="223"/>
      <c r="VHT51" s="223"/>
      <c r="VIC51" s="223"/>
      <c r="VID51" s="223"/>
      <c r="VIM51" s="223"/>
      <c r="VIN51" s="223"/>
      <c r="VIW51" s="223"/>
      <c r="VIX51" s="223"/>
      <c r="VJG51" s="223"/>
      <c r="VJH51" s="223"/>
      <c r="VJQ51" s="223"/>
      <c r="VJR51" s="223"/>
      <c r="VKA51" s="223"/>
      <c r="VKB51" s="223"/>
      <c r="VKK51" s="223"/>
      <c r="VKL51" s="223"/>
      <c r="VKU51" s="223"/>
      <c r="VKV51" s="223"/>
      <c r="VLE51" s="223"/>
      <c r="VLF51" s="223"/>
      <c r="VLO51" s="223"/>
      <c r="VLP51" s="223"/>
      <c r="VLY51" s="223"/>
      <c r="VLZ51" s="223"/>
      <c r="VMI51" s="223"/>
      <c r="VMJ51" s="223"/>
      <c r="VMS51" s="223"/>
      <c r="VMT51" s="223"/>
      <c r="VNC51" s="223"/>
      <c r="VND51" s="223"/>
      <c r="VNM51" s="223"/>
      <c r="VNN51" s="223"/>
      <c r="VNW51" s="223"/>
      <c r="VNX51" s="223"/>
      <c r="VOG51" s="223"/>
      <c r="VOH51" s="223"/>
      <c r="VOQ51" s="223"/>
      <c r="VOR51" s="223"/>
      <c r="VPA51" s="223"/>
      <c r="VPB51" s="223"/>
      <c r="VPK51" s="223"/>
      <c r="VPL51" s="223"/>
      <c r="VPU51" s="223"/>
      <c r="VPV51" s="223"/>
      <c r="VQE51" s="223"/>
      <c r="VQF51" s="223"/>
      <c r="VQO51" s="223"/>
      <c r="VQP51" s="223"/>
      <c r="VQY51" s="223"/>
      <c r="VQZ51" s="223"/>
      <c r="VRI51" s="223"/>
      <c r="VRJ51" s="223"/>
      <c r="VRS51" s="223"/>
      <c r="VRT51" s="223"/>
      <c r="VSC51" s="223"/>
      <c r="VSD51" s="223"/>
      <c r="VSM51" s="223"/>
      <c r="VSN51" s="223"/>
      <c r="VSW51" s="223"/>
      <c r="VSX51" s="223"/>
      <c r="VTG51" s="223"/>
      <c r="VTH51" s="223"/>
      <c r="VTQ51" s="223"/>
      <c r="VTR51" s="223"/>
      <c r="VUA51" s="223"/>
      <c r="VUB51" s="223"/>
      <c r="VUK51" s="223"/>
      <c r="VUL51" s="223"/>
      <c r="VUU51" s="223"/>
      <c r="VUV51" s="223"/>
      <c r="VVE51" s="223"/>
      <c r="VVF51" s="223"/>
      <c r="VVO51" s="223"/>
      <c r="VVP51" s="223"/>
      <c r="VVY51" s="223"/>
      <c r="VVZ51" s="223"/>
      <c r="VWI51" s="223"/>
      <c r="VWJ51" s="223"/>
      <c r="VWS51" s="223"/>
      <c r="VWT51" s="223"/>
      <c r="VXC51" s="223"/>
      <c r="VXD51" s="223"/>
      <c r="VXM51" s="223"/>
      <c r="VXN51" s="223"/>
      <c r="VXW51" s="223"/>
      <c r="VXX51" s="223"/>
      <c r="VYG51" s="223"/>
      <c r="VYH51" s="223"/>
      <c r="VYQ51" s="223"/>
      <c r="VYR51" s="223"/>
      <c r="VZA51" s="223"/>
      <c r="VZB51" s="223"/>
      <c r="VZK51" s="223"/>
      <c r="VZL51" s="223"/>
      <c r="VZU51" s="223"/>
      <c r="VZV51" s="223"/>
      <c r="WAE51" s="223"/>
      <c r="WAF51" s="223"/>
      <c r="WAO51" s="223"/>
      <c r="WAP51" s="223"/>
      <c r="WAY51" s="223"/>
      <c r="WAZ51" s="223"/>
      <c r="WBI51" s="223"/>
      <c r="WBJ51" s="223"/>
      <c r="WBS51" s="223"/>
      <c r="WBT51" s="223"/>
      <c r="WCC51" s="223"/>
      <c r="WCD51" s="223"/>
      <c r="WCM51" s="223"/>
      <c r="WCN51" s="223"/>
      <c r="WCW51" s="223"/>
      <c r="WCX51" s="223"/>
      <c r="WDG51" s="223"/>
      <c r="WDH51" s="223"/>
      <c r="WDQ51" s="223"/>
      <c r="WDR51" s="223"/>
      <c r="WEA51" s="223"/>
      <c r="WEB51" s="223"/>
      <c r="WEK51" s="223"/>
      <c r="WEL51" s="223"/>
      <c r="WEU51" s="223"/>
      <c r="WEV51" s="223"/>
      <c r="WFE51" s="223"/>
      <c r="WFF51" s="223"/>
      <c r="WFO51" s="223"/>
      <c r="WFP51" s="223"/>
      <c r="WFY51" s="223"/>
      <c r="WFZ51" s="223"/>
      <c r="WGI51" s="223"/>
      <c r="WGJ51" s="223"/>
      <c r="WGS51" s="223"/>
      <c r="WGT51" s="223"/>
      <c r="WHC51" s="223"/>
      <c r="WHD51" s="223"/>
      <c r="WHM51" s="223"/>
      <c r="WHN51" s="223"/>
      <c r="WHW51" s="223"/>
      <c r="WHX51" s="223"/>
      <c r="WIG51" s="223"/>
      <c r="WIH51" s="223"/>
      <c r="WIQ51" s="223"/>
      <c r="WIR51" s="223"/>
      <c r="WJA51" s="223"/>
      <c r="WJB51" s="223"/>
      <c r="WJK51" s="223"/>
      <c r="WJL51" s="223"/>
      <c r="WJU51" s="223"/>
      <c r="WJV51" s="223"/>
      <c r="WKE51" s="223"/>
      <c r="WKF51" s="223"/>
      <c r="WKO51" s="223"/>
      <c r="WKP51" s="223"/>
      <c r="WKY51" s="223"/>
      <c r="WKZ51" s="223"/>
      <c r="WLI51" s="223"/>
      <c r="WLJ51" s="223"/>
      <c r="WLS51" s="223"/>
      <c r="WLT51" s="223"/>
      <c r="WMC51" s="223"/>
      <c r="WMD51" s="223"/>
      <c r="WMM51" s="223"/>
      <c r="WMN51" s="223"/>
      <c r="WMW51" s="223"/>
      <c r="WMX51" s="223"/>
      <c r="WNG51" s="223"/>
      <c r="WNH51" s="223"/>
      <c r="WNQ51" s="223"/>
      <c r="WNR51" s="223"/>
      <c r="WOA51" s="223"/>
      <c r="WOB51" s="223"/>
      <c r="WOK51" s="223"/>
      <c r="WOL51" s="223"/>
      <c r="WOU51" s="223"/>
      <c r="WOV51" s="223"/>
      <c r="WPE51" s="223"/>
      <c r="WPF51" s="223"/>
      <c r="WPO51" s="223"/>
      <c r="WPP51" s="223"/>
      <c r="WPY51" s="223"/>
      <c r="WPZ51" s="223"/>
      <c r="WQI51" s="223"/>
      <c r="WQJ51" s="223"/>
      <c r="WQS51" s="223"/>
      <c r="WQT51" s="223"/>
      <c r="WRC51" s="223"/>
      <c r="WRD51" s="223"/>
      <c r="WRM51" s="223"/>
      <c r="WRN51" s="223"/>
      <c r="WRW51" s="223"/>
      <c r="WRX51" s="223"/>
      <c r="WSG51" s="223"/>
      <c r="WSH51" s="223"/>
      <c r="WSQ51" s="223"/>
      <c r="WSR51" s="223"/>
      <c r="WTA51" s="223"/>
      <c r="WTB51" s="223"/>
      <c r="WTK51" s="223"/>
      <c r="WTL51" s="223"/>
      <c r="WTU51" s="223"/>
      <c r="WTV51" s="223"/>
      <c r="WUE51" s="223"/>
      <c r="WUF51" s="223"/>
      <c r="WUO51" s="223"/>
      <c r="WUP51" s="223"/>
      <c r="WUY51" s="223"/>
      <c r="WUZ51" s="223"/>
      <c r="WVI51" s="223"/>
      <c r="WVJ51" s="223"/>
      <c r="WVS51" s="223"/>
      <c r="WVT51" s="223"/>
      <c r="WWC51" s="223"/>
      <c r="WWD51" s="223"/>
      <c r="WWM51" s="223"/>
      <c r="WWN51" s="223"/>
      <c r="WWW51" s="223"/>
      <c r="WWX51" s="223"/>
      <c r="WXG51" s="223"/>
      <c r="WXH51" s="223"/>
      <c r="WXQ51" s="223"/>
      <c r="WXR51" s="223"/>
      <c r="WYA51" s="223"/>
      <c r="WYB51" s="223"/>
      <c r="WYK51" s="223"/>
      <c r="WYL51" s="223"/>
      <c r="WYU51" s="223"/>
      <c r="WYV51" s="223"/>
      <c r="WZE51" s="223"/>
      <c r="WZF51" s="223"/>
      <c r="WZO51" s="223"/>
      <c r="WZP51" s="223"/>
      <c r="WZY51" s="223"/>
      <c r="WZZ51" s="223"/>
      <c r="XAI51" s="223"/>
      <c r="XAJ51" s="223"/>
      <c r="XAS51" s="223"/>
      <c r="XAT51" s="223"/>
      <c r="XBC51" s="223"/>
      <c r="XBD51" s="223"/>
      <c r="XBM51" s="223"/>
      <c r="XBN51" s="223"/>
      <c r="XBW51" s="223"/>
      <c r="XBX51" s="223"/>
      <c r="XCG51" s="223"/>
      <c r="XCH51" s="223"/>
      <c r="XCQ51" s="223"/>
      <c r="XCR51" s="223"/>
      <c r="XDA51" s="223"/>
      <c r="XDB51" s="223"/>
      <c r="XDK51" s="223"/>
      <c r="XDL51" s="223"/>
      <c r="XDU51" s="223"/>
      <c r="XDV51" s="223"/>
      <c r="XEE51" s="223"/>
      <c r="XEF51" s="223"/>
      <c r="XEO51" s="223"/>
      <c r="XEP51" s="223"/>
      <c r="XEY51" s="223"/>
      <c r="XEZ51" s="223"/>
    </row>
    <row r="52" spans="1:1020 1029:2040 2049:3070 3079:4090 4099:5120 5129:6140 6149:7160 7169:8190 8199:9210 9219:10240 10249:11260 11269:12280 12289:13310 13319:14330 14339:15360 15369:16380" ht="63" customHeight="1" thickBot="1" x14ac:dyDescent="0.25">
      <c r="A52" s="1817" t="s">
        <v>185</v>
      </c>
      <c r="B52" s="1806" t="s">
        <v>140</v>
      </c>
      <c r="C52" s="1808" t="s">
        <v>186</v>
      </c>
      <c r="D52" s="1809"/>
      <c r="E52" s="1810" t="s">
        <v>187</v>
      </c>
      <c r="F52" s="1812" t="s">
        <v>188</v>
      </c>
      <c r="G52" s="1803" t="s">
        <v>189</v>
      </c>
      <c r="H52" s="1804"/>
      <c r="I52" s="1803" t="s">
        <v>190</v>
      </c>
      <c r="J52" s="1804"/>
      <c r="K52" s="1803" t="s">
        <v>191</v>
      </c>
      <c r="L52" s="1804"/>
      <c r="M52" s="1279" t="s">
        <v>192</v>
      </c>
    </row>
    <row r="53" spans="1:1020 1029:2040 2049:3070 3079:4090 4099:5120 5129:6140 6149:7160 7169:8190 8199:9210 9219:10240 10249:11260 11269:12280 12289:13310 13319:14330 14339:15360 15369:16380" ht="36" customHeight="1" thickBot="1" x14ac:dyDescent="0.25">
      <c r="A53" s="1818"/>
      <c r="B53" s="1807"/>
      <c r="C53" s="410" t="s">
        <v>193</v>
      </c>
      <c r="D53" s="410" t="s">
        <v>194</v>
      </c>
      <c r="E53" s="1811"/>
      <c r="F53" s="1813"/>
      <c r="G53" s="478" t="s">
        <v>195</v>
      </c>
      <c r="H53" s="478" t="s">
        <v>196</v>
      </c>
      <c r="I53" s="478" t="s">
        <v>195</v>
      </c>
      <c r="J53" s="478" t="s">
        <v>196</v>
      </c>
      <c r="K53" s="478" t="s">
        <v>195</v>
      </c>
      <c r="L53" s="478" t="s">
        <v>196</v>
      </c>
      <c r="M53" s="1279" t="s">
        <v>197</v>
      </c>
    </row>
    <row r="54" spans="1:1020 1029:2040 2049:3070 3079:4090 4099:5120 5129:6140 6149:7160 7169:8190 8199:9210 9219:10240 10249:11260 11269:12280 12289:13310 13319:14330 14339:15360 15369:16380" ht="24" customHeight="1" x14ac:dyDescent="0.2">
      <c r="A54" s="437">
        <v>1</v>
      </c>
      <c r="B54" s="473" t="str">
        <f>'DATOS &lt;'!F48</f>
        <v>1</v>
      </c>
      <c r="C54" s="1267" t="str">
        <f>'DATOS &lt;'!B48</f>
        <v>1 mg</v>
      </c>
      <c r="D54" s="575" t="e">
        <f>'1 mg &lt; '!$F$75</f>
        <v>#N/A</v>
      </c>
      <c r="E54" s="1268">
        <f>'DATOS &lt;'!F93</f>
        <v>6.7000000000000004E-2</v>
      </c>
      <c r="F54" s="1269">
        <f>'DATOS &lt;'!G93</f>
        <v>0.2</v>
      </c>
      <c r="G54" s="438" t="e">
        <f>'mili Max-Min &lt; '!C12</f>
        <v>#N/A</v>
      </c>
      <c r="H54" s="439" t="e">
        <f>'mili Max-Min &lt; '!C11</f>
        <v>#N/A</v>
      </c>
      <c r="I54" s="439" t="e">
        <f>'mili Max-Min &lt; '!D12</f>
        <v>#N/A</v>
      </c>
      <c r="J54" s="439" t="e">
        <f>'mili Max-Min &lt; '!D11</f>
        <v>#N/A</v>
      </c>
      <c r="K54" s="440" t="e">
        <f>'mili Max-Min &lt; '!E12</f>
        <v>#N/A</v>
      </c>
      <c r="L54" s="439" t="e">
        <f>'mili Max-Min &lt; '!E11</f>
        <v>#N/A</v>
      </c>
      <c r="M54" s="441" t="e">
        <f t="shared" ref="M54:M65" si="0">IF(ABS(D54)+E54&lt;=F54,"SI","NO")</f>
        <v>#N/A</v>
      </c>
    </row>
    <row r="55" spans="1:1020 1029:2040 2049:3070 3079:4090 4099:5120 5129:6140 6149:7160 7169:8190 8199:9210 9219:10240 10249:11260 11269:12280 12289:13310 13319:14330 14339:15360 15369:16380" ht="24" customHeight="1" x14ac:dyDescent="0.2">
      <c r="A55" s="442">
        <v>2</v>
      </c>
      <c r="B55" s="474" t="str">
        <f>'DATOS &lt;'!F49</f>
        <v>2</v>
      </c>
      <c r="C55" s="1270" t="str">
        <f>'DATOS &lt;'!B49</f>
        <v>2 mg</v>
      </c>
      <c r="D55" s="576" t="e">
        <f>'2 mg &lt;'!F75</f>
        <v>#N/A</v>
      </c>
      <c r="E55" s="1271">
        <f>'DATOS &lt;'!F94</f>
        <v>6.7000000000000004E-2</v>
      </c>
      <c r="F55" s="1272">
        <f>'DATOS &lt;'!G94</f>
        <v>0.2</v>
      </c>
      <c r="G55" s="443" t="e">
        <f>'mili Max-Min &lt; '!C21</f>
        <v>#N/A</v>
      </c>
      <c r="H55" s="444" t="e">
        <f>'mili Max-Min &lt; '!C20</f>
        <v>#N/A</v>
      </c>
      <c r="I55" s="444" t="e">
        <f>'mili Max-Min &lt; '!D21</f>
        <v>#N/A</v>
      </c>
      <c r="J55" s="444" t="e">
        <f>'mili Max-Min &lt; '!D20</f>
        <v>#N/A</v>
      </c>
      <c r="K55" s="444" t="e">
        <f>'mili Max-Min &lt; '!E21</f>
        <v>#N/A</v>
      </c>
      <c r="L55" s="445" t="e">
        <f>'mili Max-Min &lt; '!E20</f>
        <v>#N/A</v>
      </c>
      <c r="M55" s="446" t="e">
        <f t="shared" si="0"/>
        <v>#N/A</v>
      </c>
    </row>
    <row r="56" spans="1:1020 1029:2040 2049:3070 3079:4090 4099:5120 5129:6140 6149:7160 7169:8190 8199:9210 9219:10240 10249:11260 11269:12280 12289:13310 13319:14330 14339:15360 15369:16380" ht="24" customHeight="1" x14ac:dyDescent="0.2">
      <c r="A56" s="442">
        <v>3</v>
      </c>
      <c r="B56" s="474" t="str">
        <f>'DATOS &lt;'!F50</f>
        <v>2*</v>
      </c>
      <c r="C56" s="1270" t="str">
        <f>'DATOS &lt;'!B49</f>
        <v>2 mg</v>
      </c>
      <c r="D56" s="576" t="e">
        <f>'2 mg + &lt; '!F75</f>
        <v>#N/A</v>
      </c>
      <c r="E56" s="1271">
        <f>'DATOS &lt;'!F95</f>
        <v>6.7000000000000004E-2</v>
      </c>
      <c r="F56" s="1272">
        <f>'DATOS &lt;'!G95</f>
        <v>0.2</v>
      </c>
      <c r="G56" s="443" t="e">
        <f>'mili Max-Min &lt; '!C30</f>
        <v>#N/A</v>
      </c>
      <c r="H56" s="444" t="e">
        <f>'mili Max-Min &lt; '!C29</f>
        <v>#N/A</v>
      </c>
      <c r="I56" s="444" t="e">
        <f>'mili Max-Min &lt; '!D30</f>
        <v>#N/A</v>
      </c>
      <c r="J56" s="444" t="e">
        <f>'mili Max-Min &lt; '!D29</f>
        <v>#N/A</v>
      </c>
      <c r="K56" s="444" t="e">
        <f>'mili Max-Min &lt; '!E30</f>
        <v>#N/A</v>
      </c>
      <c r="L56" s="445" t="e">
        <f>'mili Max-Min &lt; '!E29</f>
        <v>#N/A</v>
      </c>
      <c r="M56" s="446" t="e">
        <f t="shared" si="0"/>
        <v>#N/A</v>
      </c>
    </row>
    <row r="57" spans="1:1020 1029:2040 2049:3070 3079:4090 4099:5120 5129:6140 6149:7160 7169:8190 8199:9210 9219:10240 10249:11260 11269:12280 12289:13310 13319:14330 14339:15360 15369:16380" ht="24" customHeight="1" x14ac:dyDescent="0.2">
      <c r="A57" s="442">
        <v>4</v>
      </c>
      <c r="B57" s="474" t="str">
        <f>'DATOS &lt;'!F51</f>
        <v xml:space="preserve">5 </v>
      </c>
      <c r="C57" s="1270" t="str">
        <f>'DATOS &lt;'!B51</f>
        <v>5 mg</v>
      </c>
      <c r="D57" s="576" t="e">
        <f>'5 mg &lt; '!F75</f>
        <v>#N/A</v>
      </c>
      <c r="E57" s="1271">
        <f>'DATOS &lt;'!F96</f>
        <v>6.7000000000000004E-2</v>
      </c>
      <c r="F57" s="1272">
        <f>'DATOS &lt;'!G96</f>
        <v>0.2</v>
      </c>
      <c r="G57" s="443" t="e">
        <f>'mili Max-Min &lt; '!C39</f>
        <v>#N/A</v>
      </c>
      <c r="H57" s="444" t="e">
        <f>'mili Max-Min &lt; '!C38</f>
        <v>#N/A</v>
      </c>
      <c r="I57" s="444" t="e">
        <f>'mili Max-Min &lt; '!D39</f>
        <v>#N/A</v>
      </c>
      <c r="J57" s="444" t="e">
        <f>'mili Max-Min &lt; '!D38</f>
        <v>#N/A</v>
      </c>
      <c r="K57" s="444" t="e">
        <f>'mili Max-Min &lt; '!E39</f>
        <v>#N/A</v>
      </c>
      <c r="L57" s="445" t="e">
        <f>'mili Max-Min &lt; '!E38</f>
        <v>#N/A</v>
      </c>
      <c r="M57" s="446" t="e">
        <f t="shared" si="0"/>
        <v>#N/A</v>
      </c>
    </row>
    <row r="58" spans="1:1020 1029:2040 2049:3070 3079:4090 4099:5120 5129:6140 6149:7160 7169:8190 8199:9210 9219:10240 10249:11260 11269:12280 12289:13310 13319:14330 14339:15360 15369:16380" s="1031" customFormat="1" ht="24" customHeight="1" x14ac:dyDescent="0.2">
      <c r="A58" s="442">
        <v>5</v>
      </c>
      <c r="B58" s="474" t="str">
        <f>'DATOS &lt;'!F52</f>
        <v xml:space="preserve">10 </v>
      </c>
      <c r="C58" s="1270" t="str">
        <f>'DATOS &lt;'!B52</f>
        <v>10 mg</v>
      </c>
      <c r="D58" s="576" t="e">
        <f>'10 mg &lt; '!F75</f>
        <v>#N/A</v>
      </c>
      <c r="E58" s="1271">
        <f>'DATOS &lt;'!F97</f>
        <v>8.3000000000000004E-2</v>
      </c>
      <c r="F58" s="1272">
        <f>'DATOS &lt;'!G97</f>
        <v>0.25</v>
      </c>
      <c r="G58" s="443" t="e">
        <f>'mili Max-Min &lt; '!I12</f>
        <v>#N/A</v>
      </c>
      <c r="H58" s="444" t="e">
        <f>'mili Max-Min &lt; '!I11</f>
        <v>#N/A</v>
      </c>
      <c r="I58" s="444" t="e">
        <f>'mili Max-Min &lt; '!J12</f>
        <v>#N/A</v>
      </c>
      <c r="J58" s="444" t="e">
        <f>'mili Max-Min &lt; '!J11</f>
        <v>#N/A</v>
      </c>
      <c r="K58" s="444" t="e">
        <f>'mili Max-Min &lt; '!K12</f>
        <v>#N/A</v>
      </c>
      <c r="L58" s="445" t="e">
        <f>'mili Max-Min &lt; '!K11</f>
        <v>#N/A</v>
      </c>
      <c r="M58" s="446" t="e">
        <f t="shared" si="0"/>
        <v>#N/A</v>
      </c>
      <c r="O58" s="969"/>
      <c r="P58" s="969"/>
      <c r="Q58" s="969"/>
      <c r="R58" s="969"/>
      <c r="S58" s="969"/>
      <c r="T58" s="969"/>
      <c r="U58" s="969"/>
      <c r="V58" s="969"/>
    </row>
    <row r="59" spans="1:1020 1029:2040 2049:3070 3079:4090 4099:5120 5129:6140 6149:7160 7169:8190 8199:9210 9219:10240 10249:11260 11269:12280 12289:13310 13319:14330 14339:15360 15369:16380" ht="24" customHeight="1" x14ac:dyDescent="0.2">
      <c r="A59" s="442">
        <v>6</v>
      </c>
      <c r="B59" s="474" t="str">
        <f>'DATOS &lt;'!F53</f>
        <v xml:space="preserve">20 </v>
      </c>
      <c r="C59" s="1270" t="str">
        <f>'DATOS &lt;'!B53</f>
        <v>20 mg</v>
      </c>
      <c r="D59" s="476" t="e">
        <f>'20 mg &lt; '!F75</f>
        <v>#N/A</v>
      </c>
      <c r="E59" s="1273">
        <f>'DATOS &lt;'!F98</f>
        <v>0.1</v>
      </c>
      <c r="F59" s="1272">
        <f>'DATOS &lt;'!G98</f>
        <v>0.3</v>
      </c>
      <c r="G59" s="443" t="e">
        <f>'mili Max-Min &lt; '!I21</f>
        <v>#N/A</v>
      </c>
      <c r="H59" s="444" t="e">
        <f>'mili Max-Min &lt; '!I20</f>
        <v>#N/A</v>
      </c>
      <c r="I59" s="444" t="e">
        <f>'mili Max-Min &lt; '!J21</f>
        <v>#N/A</v>
      </c>
      <c r="J59" s="444" t="e">
        <f>'mili Max-Min &lt; '!J20</f>
        <v>#N/A</v>
      </c>
      <c r="K59" s="444" t="e">
        <f>'mili Max-Min &lt; '!K21</f>
        <v>#N/A</v>
      </c>
      <c r="L59" s="445" t="e">
        <f>'mili Max-Min &lt; '!K20</f>
        <v>#N/A</v>
      </c>
      <c r="M59" s="446" t="e">
        <f t="shared" si="0"/>
        <v>#N/A</v>
      </c>
    </row>
    <row r="60" spans="1:1020 1029:2040 2049:3070 3079:4090 4099:5120 5129:6140 6149:7160 7169:8190 8199:9210 9219:10240 10249:11260 11269:12280 12289:13310 13319:14330 14339:15360 15369:16380" ht="24" customHeight="1" x14ac:dyDescent="0.2">
      <c r="A60" s="442">
        <v>7</v>
      </c>
      <c r="B60" s="474" t="str">
        <f>'DATOS &lt;'!F54</f>
        <v xml:space="preserve">20 </v>
      </c>
      <c r="C60" s="1270" t="str">
        <f>'DATOS &lt;'!B53</f>
        <v>20 mg</v>
      </c>
      <c r="D60" s="476" t="e">
        <f>'20 mg + &lt; '!F75</f>
        <v>#N/A</v>
      </c>
      <c r="E60" s="1273">
        <f>'DATOS &lt;'!F99</f>
        <v>0.1</v>
      </c>
      <c r="F60" s="1272">
        <f>'DATOS &lt;'!G99</f>
        <v>0.3</v>
      </c>
      <c r="G60" s="443" t="e">
        <f>'mili Max-Min &lt; '!I30</f>
        <v>#N/A</v>
      </c>
      <c r="H60" s="444" t="e">
        <f>'mili Max-Min &lt; '!I29</f>
        <v>#N/A</v>
      </c>
      <c r="I60" s="444" t="e">
        <f>'mili Max-Min &lt; '!J30</f>
        <v>#N/A</v>
      </c>
      <c r="J60" s="444" t="e">
        <f>'mili Max-Min &lt; '!J29</f>
        <v>#N/A</v>
      </c>
      <c r="K60" s="444" t="e">
        <f>'mili Max-Min &lt; '!K30</f>
        <v>#N/A</v>
      </c>
      <c r="L60" s="445" t="e">
        <f>'mili Max-Min &lt; '!K29</f>
        <v>#N/A</v>
      </c>
      <c r="M60" s="446" t="e">
        <f t="shared" si="0"/>
        <v>#N/A</v>
      </c>
    </row>
    <row r="61" spans="1:1020 1029:2040 2049:3070 3079:4090 4099:5120 5129:6140 6149:7160 7169:8190 8199:9210 9219:10240 10249:11260 11269:12280 12289:13310 13319:14330 14339:15360 15369:16380" ht="24" customHeight="1" x14ac:dyDescent="0.2">
      <c r="A61" s="442">
        <v>8</v>
      </c>
      <c r="B61" s="474" t="str">
        <f>'DATOS &lt;'!F55</f>
        <v xml:space="preserve">50 </v>
      </c>
      <c r="C61" s="1270" t="str">
        <f>'DATOS &lt;'!B55</f>
        <v>50 mg</v>
      </c>
      <c r="D61" s="476" t="e">
        <f>'50 mg &lt; '!F75</f>
        <v>#N/A</v>
      </c>
      <c r="E61" s="1273">
        <f>'DATOS &lt;'!F100</f>
        <v>0.13</v>
      </c>
      <c r="F61" s="1274">
        <f>'DATOS &lt;'!G100</f>
        <v>0.4</v>
      </c>
      <c r="G61" s="443" t="e">
        <f>'mili Max-Min &lt; '!I39</f>
        <v>#N/A</v>
      </c>
      <c r="H61" s="444" t="e">
        <f>'mili Max-Min &lt; '!I38</f>
        <v>#N/A</v>
      </c>
      <c r="I61" s="444" t="e">
        <f>'mili Max-Min &lt; '!J39</f>
        <v>#N/A</v>
      </c>
      <c r="J61" s="444" t="e">
        <f>'mili Max-Min &lt; '!J38</f>
        <v>#N/A</v>
      </c>
      <c r="K61" s="444" t="e">
        <f>'mili Max-Min &lt; '!K39</f>
        <v>#N/A</v>
      </c>
      <c r="L61" s="445" t="e">
        <f>'mili Max-Min &lt; '!K38</f>
        <v>#N/A</v>
      </c>
      <c r="M61" s="446" t="e">
        <f t="shared" si="0"/>
        <v>#N/A</v>
      </c>
    </row>
    <row r="62" spans="1:1020 1029:2040 2049:3070 3079:4090 4099:5120 5129:6140 6149:7160 7169:8190 8199:9210 9219:10240 10249:11260 11269:12280 12289:13310 13319:14330 14339:15360 15369:16380" ht="24" customHeight="1" x14ac:dyDescent="0.2">
      <c r="A62" s="442">
        <v>9</v>
      </c>
      <c r="B62" s="474" t="str">
        <f>'DATOS &lt;'!F56</f>
        <v>100</v>
      </c>
      <c r="C62" s="1270" t="str">
        <f>'DATOS &lt;'!B56</f>
        <v>100 mg</v>
      </c>
      <c r="D62" s="476" t="e">
        <f>'100 mg &lt; '!F75</f>
        <v>#N/A</v>
      </c>
      <c r="E62" s="1273">
        <f>'DATOS &lt;'!F101</f>
        <v>0.17</v>
      </c>
      <c r="F62" s="1274">
        <f>'DATOS &lt;'!G101</f>
        <v>0.5</v>
      </c>
      <c r="G62" s="443" t="e">
        <f>'mili Max-Min &lt; '!O12</f>
        <v>#N/A</v>
      </c>
      <c r="H62" s="444" t="e">
        <f>'mili Max-Min &lt; '!O11</f>
        <v>#N/A</v>
      </c>
      <c r="I62" s="444" t="e">
        <f>'mili Max-Min &lt; '!P12</f>
        <v>#N/A</v>
      </c>
      <c r="J62" s="444" t="e">
        <f>'mili Max-Min &lt; '!P11</f>
        <v>#N/A</v>
      </c>
      <c r="K62" s="444" t="e">
        <f>'mili Max-Min &lt; '!Q12</f>
        <v>#N/A</v>
      </c>
      <c r="L62" s="445" t="e">
        <f>'mili Max-Min &lt; '!Q11</f>
        <v>#N/A</v>
      </c>
      <c r="M62" s="446" t="e">
        <f t="shared" si="0"/>
        <v>#N/A</v>
      </c>
    </row>
    <row r="63" spans="1:1020 1029:2040 2049:3070 3079:4090 4099:5120 5129:6140 6149:7160 7169:8190 8199:9210 9219:10240 10249:11260 11269:12280 12289:13310 13319:14330 14339:15360 15369:16380" ht="24" customHeight="1" x14ac:dyDescent="0.2">
      <c r="A63" s="442">
        <v>10</v>
      </c>
      <c r="B63" s="474" t="str">
        <f>'DATOS &lt;'!F57</f>
        <v>200</v>
      </c>
      <c r="C63" s="1270" t="str">
        <f>'DATOS &lt;'!B57</f>
        <v>200 mg</v>
      </c>
      <c r="D63" s="476" t="e">
        <f>'200 mg &lt; '!F75</f>
        <v>#N/A</v>
      </c>
      <c r="E63" s="1273">
        <f>'DATOS &lt;'!F102</f>
        <v>0.2</v>
      </c>
      <c r="F63" s="1274">
        <f>'DATOS &lt;'!G102</f>
        <v>0.6</v>
      </c>
      <c r="G63" s="443" t="e">
        <f>'mili Max-Min &lt; '!O21</f>
        <v>#N/A</v>
      </c>
      <c r="H63" s="444" t="e">
        <f>'mili Max-Min &lt; '!O20</f>
        <v>#N/A</v>
      </c>
      <c r="I63" s="444" t="e">
        <f>'mili Max-Min &lt; '!P21</f>
        <v>#N/A</v>
      </c>
      <c r="J63" s="444" t="e">
        <f>'mili Max-Min &lt; '!P20</f>
        <v>#N/A</v>
      </c>
      <c r="K63" s="444" t="e">
        <f>'mili Max-Min &lt; '!Q21</f>
        <v>#N/A</v>
      </c>
      <c r="L63" s="445" t="e">
        <f>'mili Max-Min &lt; '!Q20</f>
        <v>#N/A</v>
      </c>
      <c r="M63" s="446" t="e">
        <f t="shared" si="0"/>
        <v>#N/A</v>
      </c>
    </row>
    <row r="64" spans="1:1020 1029:2040 2049:3070 3079:4090 4099:5120 5129:6140 6149:7160 7169:8190 8199:9210 9219:10240 10249:11260 11269:12280 12289:13310 13319:14330 14339:15360 15369:16380" ht="24" customHeight="1" x14ac:dyDescent="0.2">
      <c r="A64" s="442">
        <v>11</v>
      </c>
      <c r="B64" s="474" t="str">
        <f>'DATOS &lt;'!F58</f>
        <v>200*</v>
      </c>
      <c r="C64" s="1270" t="str">
        <f>'DATOS &lt;'!B57</f>
        <v>200 mg</v>
      </c>
      <c r="D64" s="476" t="e">
        <f>'200 mg + &lt;'!F75</f>
        <v>#N/A</v>
      </c>
      <c r="E64" s="1273">
        <f>'DATOS &lt;'!F103</f>
        <v>0.2</v>
      </c>
      <c r="F64" s="1274">
        <f>'DATOS &lt;'!G103</f>
        <v>0.6</v>
      </c>
      <c r="G64" s="443" t="e">
        <f>'mili Max-Min &lt; '!O30</f>
        <v>#N/A</v>
      </c>
      <c r="H64" s="444" t="e">
        <f>'mili Max-Min &lt; '!O29</f>
        <v>#N/A</v>
      </c>
      <c r="I64" s="444" t="e">
        <f>'mili Max-Min &lt; '!P30</f>
        <v>#N/A</v>
      </c>
      <c r="J64" s="444" t="e">
        <f>'mili Max-Min &lt; '!P29</f>
        <v>#N/A</v>
      </c>
      <c r="K64" s="444" t="e">
        <f>'mili Max-Min &lt; '!Q30</f>
        <v>#N/A</v>
      </c>
      <c r="L64" s="445" t="e">
        <f>'mili Max-Min &lt; '!Q29</f>
        <v>#N/A</v>
      </c>
      <c r="M64" s="446" t="e">
        <f t="shared" si="0"/>
        <v>#N/A</v>
      </c>
    </row>
    <row r="65" spans="1:15" ht="24" customHeight="1" thickBot="1" x14ac:dyDescent="0.25">
      <c r="A65" s="447">
        <v>12</v>
      </c>
      <c r="B65" s="475" t="str">
        <f>'DATOS &lt;'!F59</f>
        <v>500</v>
      </c>
      <c r="C65" s="1275" t="str">
        <f>'DATOS &lt;'!B59</f>
        <v>500 mg</v>
      </c>
      <c r="D65" s="477" t="e">
        <f>'500 mg &lt; '!F75</f>
        <v>#N/A</v>
      </c>
      <c r="E65" s="1276">
        <f>'DATOS &lt;'!F104</f>
        <v>0.27</v>
      </c>
      <c r="F65" s="1277">
        <f>'DATOS &lt;'!G104</f>
        <v>0.8</v>
      </c>
      <c r="G65" s="448" t="e">
        <f>'mili Max-Min &lt; '!O39</f>
        <v>#N/A</v>
      </c>
      <c r="H65" s="449" t="e">
        <f>'mili Max-Min &lt; '!O38</f>
        <v>#N/A</v>
      </c>
      <c r="I65" s="449" t="e">
        <f>'mili Max-Min &lt; '!P39</f>
        <v>#N/A</v>
      </c>
      <c r="J65" s="449" t="e">
        <f>'mili Max-Min &lt; '!P38</f>
        <v>#N/A</v>
      </c>
      <c r="K65" s="449" t="e">
        <f>'mili Max-Min &lt; '!Q39</f>
        <v>#N/A</v>
      </c>
      <c r="L65" s="450" t="e">
        <f>'mili Max-Min &lt; '!Q38</f>
        <v>#N/A</v>
      </c>
      <c r="M65" s="451" t="e">
        <f t="shared" si="0"/>
        <v>#N/A</v>
      </c>
      <c r="O65" s="1158"/>
    </row>
    <row r="66" spans="1:15" ht="15" customHeight="1" x14ac:dyDescent="0.2">
      <c r="A66" s="1051"/>
      <c r="B66" s="1051"/>
      <c r="C66" s="1051"/>
      <c r="D66" s="1051"/>
      <c r="E66" s="1051"/>
      <c r="F66" s="1051"/>
      <c r="G66" s="1052"/>
      <c r="H66" s="1052"/>
      <c r="I66" s="1052"/>
      <c r="J66" s="1053"/>
    </row>
    <row r="67" spans="1:15" ht="48.95" customHeight="1" x14ac:dyDescent="0.2">
      <c r="A67" s="1805" t="s">
        <v>598</v>
      </c>
      <c r="B67" s="1805"/>
      <c r="C67" s="1805"/>
      <c r="D67" s="1805"/>
      <c r="E67" s="1805"/>
      <c r="F67" s="1805"/>
      <c r="G67" s="1805"/>
      <c r="H67" s="1805"/>
      <c r="I67" s="1805"/>
      <c r="J67" s="1805"/>
      <c r="K67" s="1805"/>
      <c r="L67" s="1805"/>
      <c r="M67" s="1805"/>
    </row>
    <row r="68" spans="1:15" ht="20.100000000000001" customHeight="1" x14ac:dyDescent="0.2">
      <c r="A68" s="1054"/>
      <c r="B68" s="1054"/>
      <c r="C68" s="1054"/>
      <c r="D68" s="1054"/>
      <c r="E68" s="1054"/>
      <c r="F68" s="1054"/>
      <c r="G68" s="1054"/>
      <c r="H68" s="1054"/>
      <c r="I68" s="1054"/>
      <c r="J68" s="1054"/>
    </row>
    <row r="69" spans="1:15" ht="18.75" customHeight="1" x14ac:dyDescent="0.2">
      <c r="A69" s="1054"/>
      <c r="B69" s="1054"/>
      <c r="C69" s="1054"/>
      <c r="D69" s="1054"/>
      <c r="E69" s="1054"/>
      <c r="F69" s="1054"/>
      <c r="G69" s="1054"/>
      <c r="H69" s="1054"/>
      <c r="I69" s="1054"/>
      <c r="J69" s="1054"/>
    </row>
    <row r="70" spans="1:15" ht="125.1" customHeight="1" x14ac:dyDescent="0.2">
      <c r="A70" s="1055"/>
      <c r="B70" s="1055"/>
      <c r="C70" s="1055"/>
      <c r="D70" s="1055"/>
      <c r="E70" s="1055"/>
      <c r="F70" s="1055"/>
      <c r="G70" s="1055"/>
      <c r="H70" s="1055"/>
      <c r="I70" s="1055"/>
      <c r="J70" s="1055"/>
    </row>
    <row r="71" spans="1:15" ht="35.1" customHeight="1" x14ac:dyDescent="0.2">
      <c r="A71" s="1055"/>
      <c r="B71" s="1055"/>
      <c r="C71" s="1055"/>
      <c r="D71" s="1055"/>
      <c r="E71" s="1055"/>
      <c r="F71" s="1055"/>
      <c r="G71" s="1055"/>
      <c r="H71" s="1055"/>
      <c r="I71" s="1055"/>
      <c r="J71" s="1055"/>
    </row>
    <row r="72" spans="1:15" ht="65.099999999999994" customHeight="1" x14ac:dyDescent="0.2">
      <c r="A72" s="1055"/>
      <c r="B72" s="1055"/>
      <c r="C72" s="1055"/>
      <c r="D72" s="1055"/>
      <c r="E72" s="1055"/>
      <c r="F72" s="1055"/>
      <c r="G72" s="1055"/>
      <c r="H72" s="1055"/>
      <c r="I72" s="1055"/>
      <c r="J72" s="1814" t="s">
        <v>8</v>
      </c>
      <c r="K72" s="1814"/>
      <c r="L72" s="1815">
        <f>L3</f>
        <v>0</v>
      </c>
      <c r="M72" s="1815"/>
    </row>
    <row r="73" spans="1:15" ht="23.1" customHeight="1" x14ac:dyDescent="0.2">
      <c r="A73" s="1816" t="s">
        <v>198</v>
      </c>
      <c r="B73" s="1816"/>
      <c r="C73" s="1816"/>
      <c r="D73" s="1816"/>
    </row>
    <row r="74" spans="1:15" ht="20.100000000000001" customHeight="1" x14ac:dyDescent="0.2">
      <c r="A74" s="1294"/>
      <c r="B74" s="1294"/>
      <c r="C74" s="1294"/>
      <c r="D74" s="1294"/>
      <c r="E74" s="1294"/>
      <c r="F74" s="1294"/>
      <c r="G74" s="1294"/>
      <c r="H74" s="1294"/>
      <c r="I74" s="1294"/>
      <c r="J74" s="1294"/>
      <c r="K74" s="1294"/>
      <c r="L74" s="1294"/>
      <c r="M74" s="1294"/>
    </row>
    <row r="75" spans="1:15" s="1056" customFormat="1" ht="33" customHeight="1" x14ac:dyDescent="0.25">
      <c r="A75" s="1295" t="s">
        <v>199</v>
      </c>
      <c r="B75" s="1799" t="s">
        <v>200</v>
      </c>
      <c r="C75" s="1799"/>
      <c r="D75" s="1799"/>
      <c r="E75" s="1799"/>
      <c r="F75" s="1799"/>
      <c r="G75" s="1799"/>
      <c r="H75" s="1799"/>
      <c r="I75" s="1799"/>
      <c r="J75" s="1799"/>
      <c r="K75" s="1799"/>
      <c r="L75" s="1799"/>
      <c r="M75" s="1799"/>
    </row>
    <row r="76" spans="1:15" s="1056" customFormat="1" ht="23.1" customHeight="1" x14ac:dyDescent="0.25">
      <c r="A76" s="1295" t="s">
        <v>199</v>
      </c>
      <c r="B76" s="1799" t="s">
        <v>201</v>
      </c>
      <c r="C76" s="1799"/>
      <c r="D76" s="1799"/>
      <c r="E76" s="1799"/>
      <c r="F76" s="1799"/>
      <c r="G76" s="1799"/>
      <c r="H76" s="1799"/>
      <c r="I76" s="1799"/>
      <c r="J76" s="1799"/>
      <c r="K76" s="1799"/>
      <c r="L76" s="1799"/>
      <c r="M76" s="1799"/>
    </row>
    <row r="77" spans="1:15" s="1056" customFormat="1" ht="33" customHeight="1" x14ac:dyDescent="0.25">
      <c r="A77" s="1295" t="s">
        <v>199</v>
      </c>
      <c r="B77" s="1799" t="s">
        <v>202</v>
      </c>
      <c r="C77" s="1799"/>
      <c r="D77" s="1799"/>
      <c r="E77" s="1799"/>
      <c r="F77" s="1799"/>
      <c r="G77" s="1799"/>
      <c r="H77" s="1799"/>
      <c r="I77" s="1799"/>
      <c r="J77" s="1799"/>
      <c r="K77" s="1799"/>
      <c r="L77" s="1799"/>
      <c r="M77" s="1799"/>
    </row>
    <row r="78" spans="1:15" s="1056" customFormat="1" ht="23.1" customHeight="1" x14ac:dyDescent="0.25">
      <c r="A78" s="1295" t="s">
        <v>199</v>
      </c>
      <c r="B78" s="1799" t="s">
        <v>203</v>
      </c>
      <c r="C78" s="1799"/>
      <c r="D78" s="1799"/>
      <c r="E78" s="1799"/>
      <c r="F78" s="1799"/>
      <c r="G78" s="1799"/>
      <c r="H78" s="1799"/>
      <c r="I78" s="1799"/>
      <c r="J78" s="1799"/>
      <c r="K78" s="1799"/>
      <c r="L78" s="1799"/>
      <c r="M78" s="1799"/>
    </row>
    <row r="79" spans="1:15" s="1056" customFormat="1" ht="23.1" customHeight="1" x14ac:dyDescent="0.25">
      <c r="A79" s="1295" t="s">
        <v>199</v>
      </c>
      <c r="B79" s="1799" t="s">
        <v>204</v>
      </c>
      <c r="C79" s="1799"/>
      <c r="D79" s="1799"/>
      <c r="E79" s="1799"/>
      <c r="F79" s="1799"/>
      <c r="G79" s="1799"/>
      <c r="H79" s="1799"/>
      <c r="I79" s="1799"/>
      <c r="J79" s="1799"/>
      <c r="K79" s="1799"/>
      <c r="L79" s="1799"/>
      <c r="M79" s="1799"/>
    </row>
    <row r="80" spans="1:15" s="1056" customFormat="1" ht="33" customHeight="1" x14ac:dyDescent="0.25">
      <c r="A80" s="1295" t="s">
        <v>199</v>
      </c>
      <c r="B80" s="1799" t="s">
        <v>205</v>
      </c>
      <c r="C80" s="1799"/>
      <c r="D80" s="1799"/>
      <c r="E80" s="1799"/>
      <c r="F80" s="1799"/>
      <c r="G80" s="1799"/>
      <c r="H80" s="1799"/>
      <c r="I80" s="1799"/>
      <c r="J80" s="1799"/>
      <c r="K80" s="1799"/>
      <c r="L80" s="1799"/>
      <c r="M80" s="1799"/>
    </row>
    <row r="81" spans="1:13" s="1056" customFormat="1" ht="23.1" customHeight="1" x14ac:dyDescent="0.25">
      <c r="A81" s="1295" t="s">
        <v>199</v>
      </c>
      <c r="B81" s="1799" t="s">
        <v>206</v>
      </c>
      <c r="C81" s="1799"/>
      <c r="D81" s="1799"/>
      <c r="E81" s="1799"/>
      <c r="F81" s="1799"/>
      <c r="G81" s="1799"/>
      <c r="H81" s="1799"/>
      <c r="I81" s="1799"/>
      <c r="J81" s="1799"/>
      <c r="K81" s="1799"/>
      <c r="L81" s="1799"/>
      <c r="M81" s="1799"/>
    </row>
    <row r="82" spans="1:13" s="1056" customFormat="1" ht="23.1" customHeight="1" x14ac:dyDescent="0.25">
      <c r="A82" s="1295" t="s">
        <v>199</v>
      </c>
      <c r="B82" s="1799" t="s">
        <v>568</v>
      </c>
      <c r="C82" s="1799"/>
      <c r="D82" s="1799"/>
      <c r="E82" s="1799"/>
      <c r="F82" s="1799"/>
      <c r="G82" s="1799"/>
      <c r="H82" s="1799"/>
      <c r="I82" s="1799"/>
      <c r="J82" s="1799"/>
      <c r="K82" s="1799"/>
      <c r="L82" s="1799"/>
      <c r="M82" s="1799"/>
    </row>
    <row r="83" spans="1:13" ht="23.1" customHeight="1" x14ac:dyDescent="0.2">
      <c r="A83" s="1295" t="s">
        <v>199</v>
      </c>
      <c r="B83" s="1799" t="s">
        <v>207</v>
      </c>
      <c r="C83" s="1799"/>
      <c r="D83" s="1799"/>
      <c r="E83" s="1799"/>
      <c r="F83" s="1799"/>
      <c r="G83" s="1799"/>
      <c r="H83" s="1799"/>
      <c r="I83" s="1799"/>
      <c r="J83" s="1799"/>
      <c r="K83" s="1799"/>
      <c r="L83" s="1799"/>
      <c r="M83" s="1799"/>
    </row>
    <row r="84" spans="1:13" ht="23.1" customHeight="1" x14ac:dyDescent="0.2">
      <c r="A84" s="1295" t="s">
        <v>199</v>
      </c>
      <c r="B84" s="1799" t="s">
        <v>599</v>
      </c>
      <c r="C84" s="1799"/>
      <c r="D84" s="1799"/>
      <c r="E84" s="1799"/>
      <c r="F84" s="1799"/>
      <c r="G84" s="1799"/>
      <c r="H84" s="1799"/>
      <c r="I84" s="1799"/>
      <c r="J84" s="1799"/>
      <c r="K84" s="1799"/>
      <c r="L84" s="1799"/>
      <c r="M84" s="1799"/>
    </row>
    <row r="85" spans="1:13" ht="33" customHeight="1" x14ac:dyDescent="0.2">
      <c r="A85" s="1295" t="s">
        <v>199</v>
      </c>
      <c r="B85" s="1799" t="s">
        <v>208</v>
      </c>
      <c r="C85" s="1799"/>
      <c r="D85" s="1799"/>
      <c r="E85" s="1799"/>
      <c r="F85" s="1799"/>
      <c r="G85" s="1799"/>
      <c r="H85" s="1799"/>
      <c r="I85" s="1799"/>
      <c r="J85" s="1799"/>
      <c r="K85" s="1799"/>
      <c r="L85" s="1799"/>
      <c r="M85" s="1799"/>
    </row>
    <row r="86" spans="1:13" ht="20.100000000000001" customHeight="1" x14ac:dyDescent="0.2">
      <c r="A86" s="228"/>
      <c r="B86" s="1159"/>
      <c r="C86" s="1159"/>
      <c r="D86" s="1159"/>
      <c r="E86" s="1159"/>
      <c r="F86" s="1159"/>
      <c r="G86" s="1159"/>
      <c r="H86" s="1159"/>
    </row>
    <row r="87" spans="1:13" ht="20.100000000000001" customHeight="1" x14ac:dyDescent="0.2"/>
    <row r="88" spans="1:13" ht="23.1" customHeight="1" x14ac:dyDescent="0.25">
      <c r="A88" s="1800"/>
      <c r="B88" s="1800"/>
      <c r="C88" s="1800"/>
      <c r="E88" s="229"/>
    </row>
    <row r="89" spans="1:13" ht="20.100000000000001" customHeight="1" x14ac:dyDescent="0.2"/>
    <row r="90" spans="1:13" ht="20.100000000000001" customHeight="1" x14ac:dyDescent="0.2">
      <c r="G90" s="1057"/>
      <c r="J90" s="1003"/>
    </row>
    <row r="91" spans="1:13" ht="23.1" customHeight="1" thickBot="1" x14ac:dyDescent="0.3">
      <c r="A91" s="229"/>
      <c r="B91" s="1861"/>
      <c r="C91" s="1861"/>
      <c r="D91" s="1861"/>
      <c r="E91" s="1861"/>
      <c r="F91" s="1278"/>
      <c r="H91" s="1861"/>
      <c r="I91" s="1861"/>
      <c r="J91" s="1861"/>
      <c r="K91" s="1861"/>
      <c r="L91" s="1861"/>
      <c r="M91" s="1278"/>
    </row>
    <row r="92" spans="1:13" ht="23.1" customHeight="1" x14ac:dyDescent="0.2">
      <c r="B92" s="1801" t="s">
        <v>209</v>
      </c>
      <c r="C92" s="1801"/>
      <c r="D92" s="1801"/>
      <c r="E92" s="1801"/>
      <c r="F92" s="1004"/>
      <c r="G92" s="1004"/>
      <c r="H92" s="1801" t="e">
        <f>VLOOKUP($M$91,'DATOS &lt;'!B131:G135,6,FALSE)</f>
        <v>#N/A</v>
      </c>
      <c r="I92" s="1801"/>
      <c r="J92" s="1801"/>
      <c r="K92" s="1801"/>
      <c r="L92" s="1801"/>
    </row>
    <row r="93" spans="1:13" ht="27" customHeight="1" x14ac:dyDescent="0.25">
      <c r="A93" s="229"/>
      <c r="B93" s="1802" t="e">
        <f>VLOOKUP($F$91,'DATOS &lt;'!$B$131:$E$135,4,FALSE)</f>
        <v>#N/A</v>
      </c>
      <c r="C93" s="1802"/>
      <c r="D93" s="1802"/>
      <c r="E93" s="1802"/>
      <c r="F93" s="409"/>
      <c r="G93" s="1004"/>
      <c r="H93" s="1802"/>
      <c r="I93" s="1802"/>
      <c r="J93" s="1802"/>
      <c r="K93" s="1802"/>
      <c r="L93" s="1802"/>
    </row>
    <row r="94" spans="1:13" ht="23.1" customHeight="1" x14ac:dyDescent="0.2">
      <c r="B94" s="1802" t="e">
        <f>VLOOKUP($F$91,'DATOS &lt;'!$B$131:$E$135,2,FALSE)</f>
        <v>#N/A</v>
      </c>
      <c r="C94" s="1802"/>
      <c r="D94" s="1802"/>
      <c r="E94" s="1802"/>
      <c r="F94" s="1004"/>
      <c r="G94" s="1004"/>
      <c r="H94" s="1802" t="e">
        <f>VLOOKUP($M$91,'DATOS &lt;'!$B$131:$G$135,2,FALSE)</f>
        <v>#N/A</v>
      </c>
      <c r="I94" s="1802"/>
      <c r="J94" s="1802"/>
      <c r="K94" s="1802"/>
      <c r="L94" s="1802"/>
    </row>
    <row r="95" spans="1:13" x14ac:dyDescent="0.2">
      <c r="J95" s="1003"/>
    </row>
    <row r="96" spans="1:13" ht="23.1" customHeight="1" x14ac:dyDescent="0.2">
      <c r="B96" s="1823" t="s">
        <v>211</v>
      </c>
      <c r="C96" s="1823"/>
      <c r="D96" s="1858"/>
      <c r="E96" s="1858"/>
      <c r="F96" s="968"/>
      <c r="G96" s="1860" t="s">
        <v>212</v>
      </c>
      <c r="H96" s="1860"/>
      <c r="I96" s="1860"/>
      <c r="J96" s="1859"/>
      <c r="K96" s="1859"/>
    </row>
    <row r="97" spans="1:13" x14ac:dyDescent="0.2">
      <c r="J97" s="1003"/>
    </row>
    <row r="98" spans="1:13" ht="23.1" customHeight="1" x14ac:dyDescent="0.25">
      <c r="A98" s="1800" t="s">
        <v>213</v>
      </c>
      <c r="B98" s="1800"/>
      <c r="C98" s="1800"/>
      <c r="D98" s="1800"/>
      <c r="E98" s="1800"/>
      <c r="F98" s="1800"/>
      <c r="G98" s="1800"/>
      <c r="H98" s="1800"/>
      <c r="I98" s="1800"/>
      <c r="J98" s="1800"/>
      <c r="K98" s="1800"/>
      <c r="L98" s="1800"/>
      <c r="M98" s="1800"/>
    </row>
  </sheetData>
  <sheetProtection password="CF7A" sheet="1" objects="1" scenarios="1"/>
  <mergeCells count="96">
    <mergeCell ref="A98:M98"/>
    <mergeCell ref="D96:E96"/>
    <mergeCell ref="B75:M75"/>
    <mergeCell ref="B76:M76"/>
    <mergeCell ref="B77:M77"/>
    <mergeCell ref="B78:M78"/>
    <mergeCell ref="B79:M79"/>
    <mergeCell ref="B93:E93"/>
    <mergeCell ref="B94:E94"/>
    <mergeCell ref="B96:C96"/>
    <mergeCell ref="J96:K96"/>
    <mergeCell ref="B92:E92"/>
    <mergeCell ref="G96:I96"/>
    <mergeCell ref="B91:E91"/>
    <mergeCell ref="H91:L91"/>
    <mergeCell ref="H94:L94"/>
    <mergeCell ref="B44:D44"/>
    <mergeCell ref="H44:I44"/>
    <mergeCell ref="J44:K44"/>
    <mergeCell ref="A30:J30"/>
    <mergeCell ref="B43:D43"/>
    <mergeCell ref="H43:I43"/>
    <mergeCell ref="J43:K43"/>
    <mergeCell ref="B34:C34"/>
    <mergeCell ref="D34:E34"/>
    <mergeCell ref="F34:G34"/>
    <mergeCell ref="B32:C33"/>
    <mergeCell ref="D32:E33"/>
    <mergeCell ref="F32:G33"/>
    <mergeCell ref="A2:M2"/>
    <mergeCell ref="A35:B35"/>
    <mergeCell ref="C35:D35"/>
    <mergeCell ref="E35:F35"/>
    <mergeCell ref="A46:J46"/>
    <mergeCell ref="J39:K39"/>
    <mergeCell ref="A40:J40"/>
    <mergeCell ref="L39:M39"/>
    <mergeCell ref="A41:M41"/>
    <mergeCell ref="H32:K32"/>
    <mergeCell ref="H33:I33"/>
    <mergeCell ref="J33:K33"/>
    <mergeCell ref="A14:C14"/>
    <mergeCell ref="A15:C15"/>
    <mergeCell ref="E24:F24"/>
    <mergeCell ref="A26:J26"/>
    <mergeCell ref="A48:M48"/>
    <mergeCell ref="A1:M1"/>
    <mergeCell ref="A28:M28"/>
    <mergeCell ref="A22:M22"/>
    <mergeCell ref="A6:B6"/>
    <mergeCell ref="D6:J6"/>
    <mergeCell ref="A17:C17"/>
    <mergeCell ref="A19:E19"/>
    <mergeCell ref="F19:J19"/>
    <mergeCell ref="A21:F21"/>
    <mergeCell ref="B23:E23"/>
    <mergeCell ref="A24:D24"/>
    <mergeCell ref="D14:M14"/>
    <mergeCell ref="D15:M15"/>
    <mergeCell ref="D16:M16"/>
    <mergeCell ref="D17:M17"/>
    <mergeCell ref="J3:K3"/>
    <mergeCell ref="L3:M3"/>
    <mergeCell ref="A4:C4"/>
    <mergeCell ref="G4:H4"/>
    <mergeCell ref="A16:C16"/>
    <mergeCell ref="A7:B7"/>
    <mergeCell ref="D7:J7"/>
    <mergeCell ref="A8:B8"/>
    <mergeCell ref="D8:G8"/>
    <mergeCell ref="A10:C10"/>
    <mergeCell ref="D10:E10"/>
    <mergeCell ref="K10:L10"/>
    <mergeCell ref="A12:J12"/>
    <mergeCell ref="H10:J10"/>
    <mergeCell ref="L72:M72"/>
    <mergeCell ref="A73:D73"/>
    <mergeCell ref="B80:M80"/>
    <mergeCell ref="A50:J50"/>
    <mergeCell ref="A52:A53"/>
    <mergeCell ref="B84:M84"/>
    <mergeCell ref="B85:M85"/>
    <mergeCell ref="A88:C88"/>
    <mergeCell ref="H92:L93"/>
    <mergeCell ref="I52:J52"/>
    <mergeCell ref="B81:M81"/>
    <mergeCell ref="B82:M82"/>
    <mergeCell ref="B83:M83"/>
    <mergeCell ref="A67:M67"/>
    <mergeCell ref="K52:L52"/>
    <mergeCell ref="G52:H52"/>
    <mergeCell ref="B52:B53"/>
    <mergeCell ref="C52:D52"/>
    <mergeCell ref="E52:E53"/>
    <mergeCell ref="F52:F53"/>
    <mergeCell ref="J72:K72"/>
  </mergeCells>
  <conditionalFormatting sqref="M54:M65">
    <cfRule type="containsText" dxfId="68" priority="1" operator="containsText" text="NO">
      <formula>NOT(ISERROR(SEARCH("NO",M54)))</formula>
    </cfRule>
  </conditionalFormatting>
  <printOptions horizontalCentered="1"/>
  <pageMargins left="0.70866141732283472" right="0.70866141732283472" top="0.74803149606299213" bottom="0.74803149606299213" header="0.31496062992125984" footer="0.31496062992125984"/>
  <pageSetup scale="65" orientation="portrait" r:id="rId1"/>
  <headerFooter>
    <oddHeader xml:space="preserve">&amp;C
&amp;16   CERTIFICADO DE CALIBRACIÓN DE PESAS
</oddHeader>
    <oddFooter xml:space="preserve">&amp;RRT03-F16 V.16 (2023-11-10)
&amp;P de 3 
</oddFooter>
  </headerFooter>
  <rowBreaks count="2" manualBreakCount="2">
    <brk id="36" max="12" man="1"/>
    <brk id="69"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00000000}">
          <x14:formula1>
            <xm:f>'DATOS &lt;'!$B$202:$B$215</xm:f>
          </x14:formula1>
          <xm:sqref>K31</xm:sqref>
        </x14:dataValidation>
        <x14:dataValidation type="list" allowBlank="1" showInputMessage="1" showErrorMessage="1" xr:uid="{00000000-0002-0000-2300-000001000000}">
          <x14:formula1>
            <xm:f>'DATOS &lt;'!$B$131:$B$135</xm:f>
          </x14:formula1>
          <xm:sqref>M91 F91</xm:sqref>
        </x14:dataValidation>
        <x14:dataValidation type="list" allowBlank="1" showInputMessage="1" showErrorMessage="1" xr:uid="{00000000-0002-0000-2300-000002000000}">
          <x14:formula1>
            <xm:f>'DATOS &lt;'!$I$115:$I$118</xm:f>
          </x14:formula1>
          <xm:sqref>M40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6">
    <tabColor rgb="FF92D050"/>
  </sheetPr>
  <dimension ref="A1:AH45"/>
  <sheetViews>
    <sheetView showGridLines="0" zoomScale="80" zoomScaleNormal="80" workbookViewId="0">
      <selection activeCell="AA36" sqref="AA36:AC37"/>
    </sheetView>
  </sheetViews>
  <sheetFormatPr baseColWidth="10" defaultColWidth="11.42578125" defaultRowHeight="15" x14ac:dyDescent="0.2"/>
  <cols>
    <col min="1" max="5" width="24.7109375" style="570" customWidth="1"/>
    <col min="6" max="6" width="13.7109375" style="570" customWidth="1"/>
    <col min="7" max="11" width="24.7109375" style="570" customWidth="1"/>
    <col min="12" max="12" width="13.7109375" style="570" customWidth="1"/>
    <col min="13" max="17" width="24.7109375" style="570" customWidth="1"/>
    <col min="18" max="18" width="13.7109375" style="570" customWidth="1"/>
    <col min="19" max="23" width="24.7109375" style="570" customWidth="1"/>
    <col min="24" max="24" width="13.7109375" style="570" customWidth="1"/>
    <col min="25" max="29" width="24.7109375" style="570" customWidth="1"/>
    <col min="30" max="32" width="0" style="570" hidden="1" customWidth="1"/>
    <col min="33" max="16384" width="11.42578125" style="570"/>
  </cols>
  <sheetData>
    <row r="1" spans="1:34" ht="119.25" customHeight="1" x14ac:dyDescent="0.2">
      <c r="A1" s="1867"/>
      <c r="B1" s="1867"/>
      <c r="C1" s="1867"/>
      <c r="D1" s="1867"/>
      <c r="E1" s="1865" t="s">
        <v>0</v>
      </c>
      <c r="F1" s="1866"/>
      <c r="G1" s="1866"/>
      <c r="H1" s="1866"/>
      <c r="I1" s="1866"/>
      <c r="J1" s="1866"/>
      <c r="K1" s="1866"/>
      <c r="L1" s="1866"/>
      <c r="M1" s="1866"/>
      <c r="N1" s="1866"/>
      <c r="O1" s="1866"/>
      <c r="P1" s="1866"/>
      <c r="Q1" s="1866"/>
      <c r="R1" s="1866"/>
      <c r="S1" s="1866"/>
      <c r="T1" s="1866"/>
      <c r="U1" s="1866"/>
      <c r="V1" s="1866"/>
      <c r="W1" s="1866"/>
      <c r="X1" s="1866"/>
      <c r="Y1" s="1866"/>
      <c r="Z1" s="1866"/>
      <c r="AA1" s="1866"/>
      <c r="AB1" s="1866"/>
      <c r="AC1" s="1866"/>
      <c r="AD1" s="1100"/>
      <c r="AE1" s="1100"/>
      <c r="AF1" s="1100"/>
      <c r="AG1" s="1100"/>
      <c r="AH1" s="1100"/>
    </row>
    <row r="2" spans="1:34" ht="15.75" thickBot="1" x14ac:dyDescent="0.25">
      <c r="A2" s="1100"/>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row>
    <row r="3" spans="1:34" ht="15.75" thickBot="1" x14ac:dyDescent="0.25">
      <c r="A3" s="1868" t="s">
        <v>107</v>
      </c>
      <c r="B3" s="1869"/>
      <c r="C3" s="1869"/>
      <c r="D3" s="1869"/>
      <c r="E3" s="1869"/>
      <c r="F3" s="1869"/>
      <c r="G3" s="1869"/>
      <c r="H3" s="1869"/>
      <c r="I3" s="1869"/>
      <c r="J3" s="1869"/>
      <c r="K3" s="1869"/>
      <c r="L3" s="1869"/>
      <c r="M3" s="1869"/>
      <c r="N3" s="1869"/>
      <c r="O3" s="1869"/>
      <c r="P3" s="1869"/>
      <c r="Q3" s="1869"/>
      <c r="R3" s="1869"/>
      <c r="S3" s="1869"/>
      <c r="T3" s="1869"/>
      <c r="U3" s="1869"/>
      <c r="V3" s="1869"/>
      <c r="W3" s="1869"/>
      <c r="X3" s="1869"/>
      <c r="Y3" s="1869"/>
      <c r="Z3" s="1869"/>
      <c r="AA3" s="1869"/>
      <c r="AB3" s="1869"/>
      <c r="AC3" s="1870"/>
      <c r="AD3" s="1100"/>
      <c r="AE3" s="1100"/>
      <c r="AF3" s="1100"/>
      <c r="AG3" s="1100"/>
      <c r="AH3" s="1100"/>
    </row>
    <row r="4" spans="1:34" ht="23.25" customHeight="1" thickBot="1" x14ac:dyDescent="0.25">
      <c r="A4" s="1871"/>
      <c r="B4" s="1872"/>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3"/>
      <c r="AD4" s="1545" t="s">
        <v>108</v>
      </c>
      <c r="AE4" s="1545"/>
      <c r="AF4" s="1100"/>
      <c r="AG4" s="1541" t="s">
        <v>108</v>
      </c>
      <c r="AH4" s="1542"/>
    </row>
    <row r="5" spans="1:34" ht="23.25" customHeight="1" thickBot="1" x14ac:dyDescent="0.25">
      <c r="A5" s="571"/>
      <c r="B5" s="220"/>
      <c r="C5" s="220"/>
      <c r="D5" s="220"/>
      <c r="E5" s="220"/>
      <c r="F5" s="220"/>
      <c r="G5" s="220"/>
      <c r="H5" s="572"/>
      <c r="I5" s="572"/>
      <c r="J5" s="220"/>
      <c r="K5" s="220"/>
      <c r="L5" s="220"/>
      <c r="M5" s="220"/>
      <c r="N5" s="572"/>
      <c r="O5" s="572"/>
      <c r="P5" s="220"/>
      <c r="Q5" s="220"/>
      <c r="R5" s="220"/>
      <c r="S5" s="220"/>
      <c r="T5" s="572"/>
      <c r="U5" s="572"/>
      <c r="V5" s="220"/>
      <c r="W5" s="220"/>
      <c r="X5" s="220"/>
      <c r="Y5" s="220"/>
      <c r="Z5" s="572"/>
      <c r="AA5" s="572"/>
      <c r="AB5" s="220"/>
      <c r="AC5" s="573"/>
      <c r="AD5" s="1546"/>
      <c r="AE5" s="1546"/>
      <c r="AF5" s="1100"/>
      <c r="AG5" s="1543"/>
      <c r="AH5" s="1544"/>
    </row>
    <row r="6" spans="1:34" s="574" customFormat="1" ht="30" customHeight="1" thickBot="1" x14ac:dyDescent="0.3">
      <c r="A6" s="211"/>
      <c r="B6" s="215" t="s">
        <v>111</v>
      </c>
      <c r="C6" s="216" t="s">
        <v>112</v>
      </c>
      <c r="D6" s="211"/>
      <c r="E6" s="1166"/>
      <c r="F6" s="1166"/>
      <c r="G6" s="220"/>
      <c r="H6" s="217" t="s">
        <v>111</v>
      </c>
      <c r="I6" s="217" t="s">
        <v>112</v>
      </c>
      <c r="J6" s="220"/>
      <c r="K6" s="220"/>
      <c r="L6" s="1166"/>
      <c r="M6" s="220"/>
      <c r="N6" s="214" t="s">
        <v>111</v>
      </c>
      <c r="O6" s="214" t="s">
        <v>112</v>
      </c>
      <c r="P6" s="220"/>
      <c r="Q6" s="220"/>
      <c r="R6" s="1166"/>
      <c r="S6" s="220"/>
      <c r="T6" s="217" t="s">
        <v>111</v>
      </c>
      <c r="U6" s="217" t="s">
        <v>112</v>
      </c>
      <c r="V6" s="220"/>
      <c r="W6" s="220"/>
      <c r="X6" s="1166"/>
      <c r="Y6" s="220"/>
      <c r="Z6" s="217" t="s">
        <v>111</v>
      </c>
      <c r="AA6" s="217" t="s">
        <v>112</v>
      </c>
      <c r="AB6" s="220"/>
      <c r="AC6" s="220"/>
      <c r="AD6" s="1063" t="s">
        <v>109</v>
      </c>
      <c r="AE6" s="1063" t="s">
        <v>110</v>
      </c>
      <c r="AF6" s="1166"/>
      <c r="AG6" s="1066" t="s">
        <v>109</v>
      </c>
      <c r="AH6" s="1067" t="s">
        <v>110</v>
      </c>
    </row>
    <row r="7" spans="1:34" s="574" customFormat="1" ht="30" customHeight="1" thickBot="1" x14ac:dyDescent="0.3">
      <c r="A7" s="209" t="s">
        <v>262</v>
      </c>
      <c r="B7" s="394">
        <f>'1 g &lt;'!B24</f>
        <v>0</v>
      </c>
      <c r="C7" s="394">
        <f>'1 g &lt;'!B33</f>
        <v>0</v>
      </c>
      <c r="D7" s="472" t="s">
        <v>114</v>
      </c>
      <c r="E7" s="213">
        <f>'1 g &lt;'!$J$19</f>
        <v>0</v>
      </c>
      <c r="F7" s="1166"/>
      <c r="G7" s="209" t="s">
        <v>274</v>
      </c>
      <c r="H7" s="394">
        <f>'10 g &lt;'!B24</f>
        <v>0</v>
      </c>
      <c r="I7" s="394">
        <f>'10 g &lt;'!$B$33</f>
        <v>0</v>
      </c>
      <c r="J7" s="214" t="s">
        <v>114</v>
      </c>
      <c r="K7" s="213">
        <f>'10 g &lt;'!$J$19</f>
        <v>0</v>
      </c>
      <c r="L7" s="1166"/>
      <c r="M7" s="214" t="s">
        <v>288</v>
      </c>
      <c r="N7" s="394">
        <f>'100 g &lt;'!$B$24</f>
        <v>0</v>
      </c>
      <c r="O7" s="394">
        <f>'100 g &lt;'!$B$33</f>
        <v>0</v>
      </c>
      <c r="P7" s="214" t="s">
        <v>114</v>
      </c>
      <c r="Q7" s="213">
        <f>'100 g &lt;'!$J$19</f>
        <v>0</v>
      </c>
      <c r="R7" s="1166"/>
      <c r="S7" s="214" t="s">
        <v>297</v>
      </c>
      <c r="T7" s="394">
        <f>'1 kg &lt;'!$B$24</f>
        <v>0</v>
      </c>
      <c r="U7" s="394">
        <f>'1 kg &lt;'!$B$33</f>
        <v>0</v>
      </c>
      <c r="V7" s="214" t="s">
        <v>114</v>
      </c>
      <c r="W7" s="213">
        <f>'1 kg &lt;'!$J$19</f>
        <v>0</v>
      </c>
      <c r="X7" s="1166"/>
      <c r="Y7" s="214" t="s">
        <v>306</v>
      </c>
      <c r="Z7" s="394">
        <f>'10 kg &lt;'!$B$24</f>
        <v>0</v>
      </c>
      <c r="AA7" s="394">
        <f>'10 kg &lt;'!$B$33</f>
        <v>0</v>
      </c>
      <c r="AB7" s="214" t="s">
        <v>114</v>
      </c>
      <c r="AC7" s="213">
        <f>'10 kg &lt;'!$J$19</f>
        <v>0</v>
      </c>
      <c r="AD7" s="830">
        <v>18</v>
      </c>
      <c r="AE7" s="830">
        <v>24</v>
      </c>
      <c r="AF7" s="1166"/>
      <c r="AG7" s="886">
        <v>18</v>
      </c>
      <c r="AH7" s="887">
        <v>24</v>
      </c>
    </row>
    <row r="8" spans="1:34" s="574" customFormat="1" ht="30" customHeight="1" thickBot="1" x14ac:dyDescent="0.3">
      <c r="A8" s="209" t="s">
        <v>119</v>
      </c>
      <c r="B8" s="210" t="s">
        <v>120</v>
      </c>
      <c r="C8" s="210" t="s">
        <v>121</v>
      </c>
      <c r="D8" s="210" t="s">
        <v>122</v>
      </c>
      <c r="E8" s="218" t="s">
        <v>123</v>
      </c>
      <c r="F8" s="1166"/>
      <c r="G8" s="215" t="s">
        <v>119</v>
      </c>
      <c r="H8" s="210" t="s">
        <v>120</v>
      </c>
      <c r="I8" s="219" t="s">
        <v>121</v>
      </c>
      <c r="J8" s="219" t="s">
        <v>122</v>
      </c>
      <c r="K8" s="216" t="s">
        <v>123</v>
      </c>
      <c r="L8" s="1166"/>
      <c r="M8" s="215" t="s">
        <v>119</v>
      </c>
      <c r="N8" s="210" t="s">
        <v>120</v>
      </c>
      <c r="O8" s="219" t="s">
        <v>121</v>
      </c>
      <c r="P8" s="219" t="s">
        <v>122</v>
      </c>
      <c r="Q8" s="216" t="s">
        <v>123</v>
      </c>
      <c r="R8" s="1166"/>
      <c r="S8" s="215" t="s">
        <v>119</v>
      </c>
      <c r="T8" s="210" t="s">
        <v>120</v>
      </c>
      <c r="U8" s="219" t="s">
        <v>121</v>
      </c>
      <c r="V8" s="219" t="s">
        <v>122</v>
      </c>
      <c r="W8" s="216" t="s">
        <v>123</v>
      </c>
      <c r="X8" s="1166"/>
      <c r="Y8" s="215" t="s">
        <v>119</v>
      </c>
      <c r="Z8" s="210" t="s">
        <v>120</v>
      </c>
      <c r="AA8" s="219" t="s">
        <v>121</v>
      </c>
      <c r="AB8" s="219" t="s">
        <v>122</v>
      </c>
      <c r="AC8" s="216" t="s">
        <v>123</v>
      </c>
      <c r="AD8" s="1063" t="s">
        <v>117</v>
      </c>
      <c r="AE8" s="1063" t="s">
        <v>118</v>
      </c>
      <c r="AF8" s="1166"/>
      <c r="AG8" s="1068" t="s">
        <v>117</v>
      </c>
      <c r="AH8" s="1069" t="s">
        <v>118</v>
      </c>
    </row>
    <row r="9" spans="1:34" s="574" customFormat="1" ht="39.950000000000003" customHeight="1" x14ac:dyDescent="0.25">
      <c r="A9" s="1863" t="e">
        <f>'1 g &lt;'!$E$4</f>
        <v>#N/A</v>
      </c>
      <c r="B9" s="212" t="s">
        <v>124</v>
      </c>
      <c r="C9" s="1070"/>
      <c r="D9" s="1071"/>
      <c r="E9" s="1072"/>
      <c r="F9" s="1166"/>
      <c r="G9" s="1862" t="e">
        <f>'10 g &lt;'!$E$4</f>
        <v>#N/A</v>
      </c>
      <c r="H9" s="202" t="s">
        <v>124</v>
      </c>
      <c r="I9" s="1073"/>
      <c r="J9" s="1071"/>
      <c r="K9" s="1072"/>
      <c r="L9" s="1166"/>
      <c r="M9" s="1862" t="e">
        <f>'100 g &lt;'!$E$4</f>
        <v>#N/A</v>
      </c>
      <c r="N9" s="202" t="s">
        <v>124</v>
      </c>
      <c r="O9" s="1073"/>
      <c r="P9" s="1071"/>
      <c r="Q9" s="1072"/>
      <c r="R9" s="1166"/>
      <c r="S9" s="1862" t="e">
        <f>'1 kg &lt;'!$E$4</f>
        <v>#N/A</v>
      </c>
      <c r="T9" s="202" t="s">
        <v>124</v>
      </c>
      <c r="U9" s="1073"/>
      <c r="V9" s="1071"/>
      <c r="W9" s="1072"/>
      <c r="X9" s="1166"/>
      <c r="Y9" s="1862" t="e">
        <f>'10 kg &lt;'!$E$4</f>
        <v>#N/A</v>
      </c>
      <c r="Z9" s="202" t="s">
        <v>124</v>
      </c>
      <c r="AA9" s="1073"/>
      <c r="AB9" s="1071"/>
      <c r="AC9" s="1072"/>
      <c r="AD9" s="830">
        <v>30</v>
      </c>
      <c r="AE9" s="830">
        <v>80</v>
      </c>
      <c r="AF9" s="1166"/>
      <c r="AG9" s="886">
        <v>30</v>
      </c>
      <c r="AH9" s="887">
        <v>80</v>
      </c>
    </row>
    <row r="10" spans="1:34" s="574" customFormat="1" ht="39.950000000000003" customHeight="1" thickBot="1" x14ac:dyDescent="0.3">
      <c r="A10" s="1863"/>
      <c r="B10" s="203" t="s">
        <v>127</v>
      </c>
      <c r="C10" s="1074"/>
      <c r="D10" s="1075"/>
      <c r="E10" s="1076"/>
      <c r="F10" s="1166"/>
      <c r="G10" s="1863"/>
      <c r="H10" s="204" t="s">
        <v>127</v>
      </c>
      <c r="I10" s="1077"/>
      <c r="J10" s="1075"/>
      <c r="K10" s="1076"/>
      <c r="L10" s="1166"/>
      <c r="M10" s="1863"/>
      <c r="N10" s="204" t="s">
        <v>127</v>
      </c>
      <c r="O10" s="1078"/>
      <c r="P10" s="1079"/>
      <c r="Q10" s="1080"/>
      <c r="R10" s="1166"/>
      <c r="S10" s="1863"/>
      <c r="T10" s="204" t="s">
        <v>127</v>
      </c>
      <c r="U10" s="1078"/>
      <c r="V10" s="1079"/>
      <c r="W10" s="1080"/>
      <c r="X10" s="1166"/>
      <c r="Y10" s="1863"/>
      <c r="Z10" s="204" t="s">
        <v>127</v>
      </c>
      <c r="AA10" s="1078"/>
      <c r="AB10" s="1079"/>
      <c r="AC10" s="1080"/>
      <c r="AD10" s="1063" t="s">
        <v>125</v>
      </c>
      <c r="AE10" s="1063" t="s">
        <v>126</v>
      </c>
      <c r="AF10" s="1166"/>
      <c r="AG10" s="1068" t="s">
        <v>125</v>
      </c>
      <c r="AH10" s="1069" t="s">
        <v>126</v>
      </c>
    </row>
    <row r="11" spans="1:34" s="574" customFormat="1" ht="39.950000000000003" customHeight="1" thickBot="1" x14ac:dyDescent="0.3">
      <c r="A11" s="1863"/>
      <c r="B11" s="202" t="s">
        <v>128</v>
      </c>
      <c r="C11" s="1167" t="e">
        <f>C9+(VLOOKUP('1 g &lt;'!$J$19,'DATOS &lt;'!$I$201:$V$207,9,FALSE))*C9+(VLOOKUP('1 g &lt;'!$J$19,'DATOS &lt;'!$I$201:$V$207,10,FALSE))</f>
        <v>#N/A</v>
      </c>
      <c r="D11" s="1168" t="e">
        <f>D9+(VLOOKUP('1 g &lt;'!$J$19,'DATOS &lt;'!$I$201:$V$207,11,FALSE))*D9+(VLOOKUP('1 g &lt;'!$J$19,'DATOS &lt;'!$I$201:$V$207,12,FALSE))</f>
        <v>#N/A</v>
      </c>
      <c r="E11" s="1169" t="e">
        <f>E9+(VLOOKUP('1 g &lt;'!$J$19,'DATOS &lt;'!$I$201:$V$207,13,FALSE))*E9+(VLOOKUP('1 g &lt;'!$J$19,'DATOS &lt;'!$I$201:$V$207,14,FALSE))</f>
        <v>#N/A</v>
      </c>
      <c r="F11" s="1166"/>
      <c r="G11" s="1863"/>
      <c r="H11" s="202" t="s">
        <v>128</v>
      </c>
      <c r="I11" s="1097" t="e">
        <f>I9+(VLOOKUP('10 g &lt;'!$J$19,'DATOS &lt;'!$I$201:$V$207,9,FALSE))*I9+(VLOOKUP('10 g &lt;'!$J$19,'DATOS &lt;'!$I$201:$V$207,10,FALSE))</f>
        <v>#N/A</v>
      </c>
      <c r="J11" s="1170" t="e">
        <f>J9+(VLOOKUP('10 g &lt;'!$J$19,'DATOS &lt;'!$I$201:$V$207,11,FALSE))*J9+(VLOOKUP('10 g &lt;'!$J$19,'DATOS &lt;'!$I$201:$V$207,12,FALSE))</f>
        <v>#N/A</v>
      </c>
      <c r="K11" s="1171" t="e">
        <f>K9+(VLOOKUP('10 g &lt;'!$J$19,'DATOS &lt;'!$I$201:$V$207,13,FALSE))*K9+(VLOOKUP('10 g &lt;'!$J$19,'DATOS &lt;'!$I$201:$V$207,14,FALSE))</f>
        <v>#N/A</v>
      </c>
      <c r="L11" s="1166"/>
      <c r="M11" s="1863"/>
      <c r="N11" s="205" t="s">
        <v>128</v>
      </c>
      <c r="O11" s="1097" t="e">
        <f>O9+(VLOOKUP('100 g &lt;'!$J$19,'DATOS &lt;'!$I$201:$V$207,9,FALSE))*O9+(VLOOKUP('100 g &lt;'!$J$19,'DATOS &lt;'!$I$201:$V$207,10,FALSE))</f>
        <v>#N/A</v>
      </c>
      <c r="P11" s="1092" t="e">
        <f>P9+(VLOOKUP('100 g &lt;'!$J$19,'DATOS &lt;'!$I$201:$V$207,11,FALSE))*P9+(VLOOKUP('100 g &lt;'!$J$19,'DATOS &lt;'!$I$201:$V$207,12,FALSE))</f>
        <v>#N/A</v>
      </c>
      <c r="Q11" s="1093" t="e">
        <f>Q9+(VLOOKUP('100 g &lt;'!$J$19,'DATOS &lt;'!$I$201:$V$207,13,FALSE))*Q9+(VLOOKUP('100 g &lt;'!$J$19,'DATOS &lt;'!$I$201:$V$207,14,FALSE))</f>
        <v>#N/A</v>
      </c>
      <c r="R11" s="1166"/>
      <c r="S11" s="1863"/>
      <c r="T11" s="205" t="s">
        <v>128</v>
      </c>
      <c r="U11" s="1097" t="e">
        <f>U9+(VLOOKUP('1 kg &lt;'!$J$19,'DATOS &lt;'!$I$201:$V$207,9,FALSE))*U9+(VLOOKUP('1 kg &lt;'!$J$19,'DATOS &lt;'!$I$201:$V$207,10,FALSE))</f>
        <v>#N/A</v>
      </c>
      <c r="V11" s="1092" t="e">
        <f>V9+(VLOOKUP('1 kg &lt;'!$J$19,'DATOS &lt;'!$I$201:$V$207,11,FALSE))*V9+(VLOOKUP('1 kg &lt;'!$J$19,'DATOS &lt;'!$I$201:$V$207,12,FALSE))</f>
        <v>#N/A</v>
      </c>
      <c r="W11" s="1093" t="e">
        <f>W9+(VLOOKUP('1 kg &lt;'!$J$19,'DATOS &lt;'!$I$201:$V$207,13,FALSE))*W9+(VLOOKUP('1 kg &lt;'!$J$19,'DATOS &lt;'!$I$201:$V$207,14,FALSE))</f>
        <v>#N/A</v>
      </c>
      <c r="X11" s="1166"/>
      <c r="Y11" s="1863"/>
      <c r="Z11" s="205" t="s">
        <v>128</v>
      </c>
      <c r="AA11" s="1097" t="e">
        <f>AA9+(VLOOKUP('10 kg &lt;'!$J$19,'DATOS &lt;'!$I$201:$V$207,9,FALSE))*AA9+(VLOOKUP('10 kg &lt;'!$J$19,'DATOS &lt;'!$I$201:$V$207,10,FALSE))</f>
        <v>#N/A</v>
      </c>
      <c r="AB11" s="1092" t="e">
        <f>AB9+(VLOOKUP('10 kg &lt;'!$J$19,'DATOS &lt;'!$I$201:$V$207,11,FALSE))*AB9+(VLOOKUP('10 kg &lt;'!$J$19,'DATOS &lt;'!$I$201:$V$207,12,FALSE))</f>
        <v>#N/A</v>
      </c>
      <c r="AC11" s="1093" t="e">
        <f>AC9+(VLOOKUP('10 kg &lt;'!$J$19,'DATOS &lt;'!$I$201:$V$207,13,FALSE))*AC9+(VLOOKUP('10 kg &lt;'!$J$19,'DATOS &lt;'!$I$201:$V$207,14,FALSE))</f>
        <v>#N/A</v>
      </c>
      <c r="AD11" s="830">
        <v>700</v>
      </c>
      <c r="AE11" s="830">
        <v>800</v>
      </c>
      <c r="AF11" s="1166"/>
      <c r="AG11" s="888">
        <v>700</v>
      </c>
      <c r="AH11" s="889">
        <v>800</v>
      </c>
    </row>
    <row r="12" spans="1:34" s="574" customFormat="1" ht="39.950000000000003" customHeight="1" thickBot="1" x14ac:dyDescent="0.3">
      <c r="A12" s="1864"/>
      <c r="B12" s="204" t="s">
        <v>129</v>
      </c>
      <c r="C12" s="1094" t="e">
        <f>C10+(VLOOKUP('1 g &lt;'!$J$19,'DATOS &lt;'!$I$201:$V$207,9,FALSE))*C10+(VLOOKUP('1 g &lt;'!$J$19,'DATOS &lt;'!$I$201:$V$207,10,FALSE))</f>
        <v>#N/A</v>
      </c>
      <c r="D12" s="1095" t="e">
        <f>D10+(VLOOKUP('1 g &lt;'!$J$19,'DATOS &lt;'!$I$201:$V$207,11,FALSE))*D10+(VLOOKUP('1 g &lt;'!$J$19,'DATOS &lt;'!$I$201:$V$207,12,FALSE))</f>
        <v>#N/A</v>
      </c>
      <c r="E12" s="1096" t="e">
        <f>E10+(VLOOKUP('1 g &lt;'!$J$19,'DATOS &lt;'!$I$201:$V$207,13,FALSE))*E10+(VLOOKUP('1 g &lt;'!$J$19,'DATOS &lt;'!$I$201:$V$207,14,FALSE))</f>
        <v>#N/A</v>
      </c>
      <c r="F12" s="1166"/>
      <c r="G12" s="1864"/>
      <c r="H12" s="204" t="s">
        <v>129</v>
      </c>
      <c r="I12" s="1094" t="e">
        <f>I10+(VLOOKUP('10 g &lt;'!$J$19,'DATOS &lt;'!$I$201:$V$207,9,FALSE))*I10+(VLOOKUP('10 g &lt;'!$J$19,'DATOS &lt;'!$I$201:$V$207,10,FALSE))</f>
        <v>#N/A</v>
      </c>
      <c r="J12" s="1172" t="e">
        <f>J10+(VLOOKUP('10 g &lt;'!$J$19,'DATOS &lt;'!$I$201:$V$207,11,FALSE))*J10+(VLOOKUP('10 g &lt;'!$J$19,'DATOS &lt;'!$I$201:$V$207,12,FALSE))</f>
        <v>#N/A</v>
      </c>
      <c r="K12" s="1173" t="e">
        <f>K10+(VLOOKUP('10 g &lt;'!$J$19,'DATOS &lt;'!$I$201:$V$207,13,FALSE))*K10+(VLOOKUP('10 g &lt;'!$J$19,'DATOS &lt;'!$I$201:$V$207,14,FALSE))</f>
        <v>#N/A</v>
      </c>
      <c r="L12" s="1166"/>
      <c r="M12" s="1864"/>
      <c r="N12" s="206" t="s">
        <v>129</v>
      </c>
      <c r="O12" s="1094" t="e">
        <f>O10+(VLOOKUP('100 g &lt;'!$J$19,'DATOS &lt;'!$I$201:$V$207,9,FALSE))*O10+(VLOOKUP('100 g &lt;'!$J$19,'DATOS &lt;'!$I$201:$V$207,10,FALSE))</f>
        <v>#N/A</v>
      </c>
      <c r="P12" s="1095" t="e">
        <f>P10+(VLOOKUP('100 g &lt;'!$J$19,'DATOS &lt;'!$I$201:$V$207,11,FALSE))*P10+(VLOOKUP('100 g &lt;'!$J$19,'DATOS &lt;'!$I$201:$V$207,12,FALSE))</f>
        <v>#N/A</v>
      </c>
      <c r="Q12" s="1096" t="e">
        <f>Q10+(VLOOKUP('100 g &lt;'!$J$19,'DATOS &lt;'!$I$201:$V$207,13,FALSE))*Q10+(VLOOKUP('100 g &lt;'!$J$19,'DATOS &lt;'!$I$201:$V$207,14,FALSE))</f>
        <v>#N/A</v>
      </c>
      <c r="R12" s="1166"/>
      <c r="S12" s="1864"/>
      <c r="T12" s="206" t="s">
        <v>129</v>
      </c>
      <c r="U12" s="1094" t="e">
        <f>U10+(VLOOKUP('1 kg &lt;'!$J$19,'DATOS &lt;'!$I$201:$V$207,9,FALSE))*U10+(VLOOKUP('1 kg &lt;'!$J$19,'DATOS &lt;'!$I$201:$V$207,10,FALSE))</f>
        <v>#N/A</v>
      </c>
      <c r="V12" s="1095" t="e">
        <f>V10+(VLOOKUP('1 kg &lt;'!$J$19,'DATOS &lt;'!$I$201:$V$207,11,FALSE))*V10+(VLOOKUP('1 kg &lt;'!$J$19,'DATOS &lt;'!$I$201:$V$207,12,FALSE))</f>
        <v>#N/A</v>
      </c>
      <c r="W12" s="1096" t="e">
        <f>W10+(VLOOKUP('1 kg &lt;'!$J$19,'DATOS &lt;'!$I$201:$V$207,13,FALSE))*W10+(VLOOKUP('1 kg &lt;'!$J$19,'DATOS &lt;'!$I$201:$V$207,14,FALSE))</f>
        <v>#N/A</v>
      </c>
      <c r="X12" s="1166"/>
      <c r="Y12" s="1864"/>
      <c r="Z12" s="206" t="s">
        <v>129</v>
      </c>
      <c r="AA12" s="1094" t="e">
        <f>AA10+(VLOOKUP('10 kg &lt;'!$J$19,'DATOS &lt;'!$I$201:$V$207,9,FALSE))*AA10+(VLOOKUP('10 kg &lt;'!$J$19,'DATOS &lt;'!$I$201:$V$207,10,FALSE))</f>
        <v>#N/A</v>
      </c>
      <c r="AB12" s="1095" t="e">
        <f>AB10+(VLOOKUP('10 kg &lt;'!$J$19,'DATOS &lt;'!$I$201:$V$207,11,FALSE))*AB10+(VLOOKUP('10 kg &lt;'!$J$19,'DATOS &lt;'!$I$201:$V$207,12,FALSE))</f>
        <v>#N/A</v>
      </c>
      <c r="AC12" s="1096" t="e">
        <f>AC10+(VLOOKUP('10 kg &lt;'!$J$19,'DATOS &lt;'!$I$201:$V$207,13,FALSE))*AC10+(VLOOKUP('10 kg &lt;'!$J$19,'DATOS &lt;'!$I$201:$V$207,14,FALSE))</f>
        <v>#N/A</v>
      </c>
      <c r="AD12" s="1166"/>
      <c r="AE12" s="1166"/>
      <c r="AF12" s="1166"/>
      <c r="AG12" s="1166"/>
      <c r="AH12" s="1166"/>
    </row>
    <row r="13" spans="1:34" s="574" customFormat="1" ht="300" customHeight="1" x14ac:dyDescent="0.25">
      <c r="A13" s="1166"/>
      <c r="B13" s="1166"/>
      <c r="C13" s="1166"/>
      <c r="D13" s="1166"/>
      <c r="E13" s="1166"/>
      <c r="F13" s="1166"/>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row>
    <row r="14" spans="1:34" s="574" customFormat="1" ht="30" customHeight="1" thickBot="1" x14ac:dyDescent="0.3">
      <c r="A14" s="1166"/>
      <c r="B14" s="1166"/>
      <c r="C14" s="1166"/>
      <c r="D14" s="1166"/>
      <c r="E14" s="1166"/>
      <c r="F14" s="1166"/>
      <c r="G14" s="1166"/>
      <c r="H14" s="1166"/>
      <c r="I14" s="1166"/>
      <c r="J14" s="1166"/>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row>
    <row r="15" spans="1:34" s="574" customFormat="1" ht="30" customHeight="1" thickBot="1" x14ac:dyDescent="0.3">
      <c r="A15" s="220"/>
      <c r="B15" s="215" t="s">
        <v>111</v>
      </c>
      <c r="C15" s="216" t="s">
        <v>112</v>
      </c>
      <c r="D15" s="220"/>
      <c r="E15" s="220"/>
      <c r="F15" s="1166"/>
      <c r="G15" s="220"/>
      <c r="H15" s="215" t="s">
        <v>111</v>
      </c>
      <c r="I15" s="216" t="s">
        <v>112</v>
      </c>
      <c r="J15" s="220"/>
      <c r="K15" s="220"/>
      <c r="L15" s="1166"/>
      <c r="M15" s="220"/>
      <c r="N15" s="215" t="s">
        <v>111</v>
      </c>
      <c r="O15" s="216" t="s">
        <v>112</v>
      </c>
      <c r="P15" s="220"/>
      <c r="Q15" s="220"/>
      <c r="R15" s="1166"/>
      <c r="S15" s="220"/>
      <c r="T15" s="215" t="s">
        <v>111</v>
      </c>
      <c r="U15" s="216" t="s">
        <v>112</v>
      </c>
      <c r="V15" s="220"/>
      <c r="W15" s="220"/>
      <c r="X15" s="1166"/>
      <c r="Y15" s="220"/>
      <c r="Z15" s="217" t="s">
        <v>111</v>
      </c>
      <c r="AA15" s="217" t="s">
        <v>112</v>
      </c>
      <c r="AB15" s="220"/>
      <c r="AC15" s="220"/>
      <c r="AD15" s="1166"/>
      <c r="AE15" s="1166"/>
      <c r="AF15" s="1166"/>
      <c r="AG15" s="1166"/>
      <c r="AH15" s="1166"/>
    </row>
    <row r="16" spans="1:34" s="574" customFormat="1" ht="30" customHeight="1" thickBot="1" x14ac:dyDescent="0.3">
      <c r="A16" s="221" t="s">
        <v>265</v>
      </c>
      <c r="B16" s="394">
        <f>'2 g &lt;'!B24</f>
        <v>0</v>
      </c>
      <c r="C16" s="394">
        <f>'2 g &lt;'!B33</f>
        <v>0</v>
      </c>
      <c r="D16" s="214" t="s">
        <v>114</v>
      </c>
      <c r="E16" s="213">
        <f>'2 g &lt;'!$J$19</f>
        <v>0</v>
      </c>
      <c r="F16" s="1166"/>
      <c r="G16" s="221" t="s">
        <v>277</v>
      </c>
      <c r="H16" s="394">
        <f>'20 g &lt;'!B24</f>
        <v>0</v>
      </c>
      <c r="I16" s="394">
        <f>'20 g &lt;'!$B$33</f>
        <v>0</v>
      </c>
      <c r="J16" s="214" t="s">
        <v>114</v>
      </c>
      <c r="K16" s="213">
        <f>'20 g &lt;'!$J$19</f>
        <v>0</v>
      </c>
      <c r="L16" s="1166"/>
      <c r="M16" s="221" t="s">
        <v>290</v>
      </c>
      <c r="N16" s="394">
        <f>'200 g &lt;'!$B$24</f>
        <v>0</v>
      </c>
      <c r="O16" s="394">
        <f>'200 g &lt;'!$B$33</f>
        <v>0</v>
      </c>
      <c r="P16" s="214" t="s">
        <v>114</v>
      </c>
      <c r="Q16" s="213">
        <f>'200 g &lt;'!$J$19</f>
        <v>0</v>
      </c>
      <c r="R16" s="1166"/>
      <c r="S16" s="221" t="s">
        <v>299</v>
      </c>
      <c r="T16" s="394">
        <f>'2 kg &lt;'!$B$24</f>
        <v>0</v>
      </c>
      <c r="U16" s="394">
        <f>'2 kg &lt;'!$B$33</f>
        <v>0</v>
      </c>
      <c r="V16" s="214" t="s">
        <v>114</v>
      </c>
      <c r="W16" s="213">
        <f>'2 kg &lt;'!$J$19</f>
        <v>0</v>
      </c>
      <c r="X16" s="1166"/>
      <c r="Y16" s="214" t="s">
        <v>541</v>
      </c>
      <c r="Z16" s="394">
        <f>'5 kg &lt; (C)'!$B$24</f>
        <v>0</v>
      </c>
      <c r="AA16" s="394">
        <f>'5 kg &lt; (C)'!$B$33</f>
        <v>0</v>
      </c>
      <c r="AB16" s="214" t="s">
        <v>114</v>
      </c>
      <c r="AC16" s="213">
        <f>'5 kg &lt; (C)'!$J$19</f>
        <v>0</v>
      </c>
      <c r="AD16" s="1166"/>
      <c r="AE16" s="1166"/>
      <c r="AF16" s="1166"/>
      <c r="AG16" s="1166"/>
      <c r="AH16" s="1166"/>
    </row>
    <row r="17" spans="1:29" s="574" customFormat="1" ht="30" customHeight="1" thickBot="1" x14ac:dyDescent="0.3">
      <c r="A17" s="215" t="s">
        <v>119</v>
      </c>
      <c r="B17" s="210" t="s">
        <v>120</v>
      </c>
      <c r="C17" s="219" t="s">
        <v>121</v>
      </c>
      <c r="D17" s="219" t="s">
        <v>122</v>
      </c>
      <c r="E17" s="216" t="s">
        <v>123</v>
      </c>
      <c r="F17" s="1166"/>
      <c r="G17" s="215" t="s">
        <v>119</v>
      </c>
      <c r="H17" s="210" t="s">
        <v>120</v>
      </c>
      <c r="I17" s="219" t="s">
        <v>121</v>
      </c>
      <c r="J17" s="219" t="s">
        <v>122</v>
      </c>
      <c r="K17" s="216" t="s">
        <v>123</v>
      </c>
      <c r="L17" s="1166"/>
      <c r="M17" s="215" t="s">
        <v>119</v>
      </c>
      <c r="N17" s="210" t="s">
        <v>120</v>
      </c>
      <c r="O17" s="219" t="s">
        <v>121</v>
      </c>
      <c r="P17" s="219" t="s">
        <v>122</v>
      </c>
      <c r="Q17" s="216" t="s">
        <v>123</v>
      </c>
      <c r="R17" s="1166"/>
      <c r="S17" s="215" t="s">
        <v>119</v>
      </c>
      <c r="T17" s="210" t="s">
        <v>120</v>
      </c>
      <c r="U17" s="219" t="s">
        <v>121</v>
      </c>
      <c r="V17" s="219" t="s">
        <v>122</v>
      </c>
      <c r="W17" s="216" t="s">
        <v>123</v>
      </c>
      <c r="X17" s="1166"/>
      <c r="Y17" s="215" t="s">
        <v>119</v>
      </c>
      <c r="Z17" s="210" t="s">
        <v>120</v>
      </c>
      <c r="AA17" s="219" t="s">
        <v>121</v>
      </c>
      <c r="AB17" s="219" t="s">
        <v>122</v>
      </c>
      <c r="AC17" s="216" t="s">
        <v>123</v>
      </c>
    </row>
    <row r="18" spans="1:29" s="574" customFormat="1" ht="39.950000000000003" customHeight="1" x14ac:dyDescent="0.25">
      <c r="A18" s="1862" t="e">
        <f>'2 g &lt;'!$E$4</f>
        <v>#N/A</v>
      </c>
      <c r="B18" s="202" t="s">
        <v>124</v>
      </c>
      <c r="C18" s="1073"/>
      <c r="D18" s="1071"/>
      <c r="E18" s="1072"/>
      <c r="F18" s="1166"/>
      <c r="G18" s="1862" t="e">
        <f>'20 g &lt;'!$E$4</f>
        <v>#N/A</v>
      </c>
      <c r="H18" s="202" t="s">
        <v>124</v>
      </c>
      <c r="I18" s="1073"/>
      <c r="J18" s="1071"/>
      <c r="K18" s="1072"/>
      <c r="L18" s="1166"/>
      <c r="M18" s="1862" t="e">
        <f>'200 g &lt;'!$E$4</f>
        <v>#N/A</v>
      </c>
      <c r="N18" s="202" t="s">
        <v>124</v>
      </c>
      <c r="O18" s="1073"/>
      <c r="P18" s="1071"/>
      <c r="Q18" s="1072"/>
      <c r="R18" s="1166"/>
      <c r="S18" s="1862" t="e">
        <f>'2 kg &lt;'!$E$4</f>
        <v>#N/A</v>
      </c>
      <c r="T18" s="202" t="s">
        <v>124</v>
      </c>
      <c r="U18" s="1073"/>
      <c r="V18" s="1071"/>
      <c r="W18" s="1072"/>
      <c r="X18" s="1166"/>
      <c r="Y18" s="1862" t="e">
        <f>'5 kg &lt; (C)'!$E$4</f>
        <v>#N/A</v>
      </c>
      <c r="Z18" s="202" t="s">
        <v>124</v>
      </c>
      <c r="AA18" s="1073"/>
      <c r="AB18" s="1071"/>
      <c r="AC18" s="1072"/>
    </row>
    <row r="19" spans="1:29" s="574" customFormat="1" ht="39.950000000000003" customHeight="1" thickBot="1" x14ac:dyDescent="0.3">
      <c r="A19" s="1863"/>
      <c r="B19" s="204" t="s">
        <v>127</v>
      </c>
      <c r="C19" s="1078"/>
      <c r="D19" s="1079"/>
      <c r="E19" s="1080"/>
      <c r="F19" s="1166"/>
      <c r="G19" s="1863"/>
      <c r="H19" s="204" t="s">
        <v>127</v>
      </c>
      <c r="I19" s="1078"/>
      <c r="J19" s="1079"/>
      <c r="K19" s="1080"/>
      <c r="L19" s="1166"/>
      <c r="M19" s="1863"/>
      <c r="N19" s="204" t="s">
        <v>127</v>
      </c>
      <c r="O19" s="1078"/>
      <c r="P19" s="1079"/>
      <c r="Q19" s="1080"/>
      <c r="R19" s="1166"/>
      <c r="S19" s="1863"/>
      <c r="T19" s="204" t="s">
        <v>127</v>
      </c>
      <c r="U19" s="1078"/>
      <c r="V19" s="1079"/>
      <c r="W19" s="1080"/>
      <c r="X19" s="1166"/>
      <c r="Y19" s="1863"/>
      <c r="Z19" s="204" t="s">
        <v>127</v>
      </c>
      <c r="AA19" s="1078"/>
      <c r="AB19" s="1079"/>
      <c r="AC19" s="1080"/>
    </row>
    <row r="20" spans="1:29" s="574" customFormat="1" ht="39.950000000000003" customHeight="1" x14ac:dyDescent="0.25">
      <c r="A20" s="1863"/>
      <c r="B20" s="205" t="s">
        <v>128</v>
      </c>
      <c r="C20" s="1097" t="e">
        <f>C18+(VLOOKUP('2 g &lt;'!$J$19,'DATOS &lt;'!$I$201:$V$207,9,FALSE))*C18+(VLOOKUP('2 g &lt;'!$J$19,'DATOS &lt;'!$I$201:$V$207,10,FALSE))</f>
        <v>#N/A</v>
      </c>
      <c r="D20" s="1092" t="e">
        <f>D18+(VLOOKUP('2 g &lt;'!$J$19,'DATOS &lt;'!$I$201:$V$207,11,FALSE))*D18+(VLOOKUP('2 g &lt;'!$J$19,'DATOS &lt;'!$I$201:$V$207,12,FALSE))</f>
        <v>#N/A</v>
      </c>
      <c r="E20" s="1093" t="e">
        <f>E18+(VLOOKUP('2 g &lt;'!$J$19,'DATOS &lt;'!$I$201:$V$207,13,FALSE))*E18+(VLOOKUP('2 g &lt;'!$J$19,'DATOS &lt;'!$I$201:$V$207,14,FALSE))</f>
        <v>#N/A</v>
      </c>
      <c r="F20" s="1166"/>
      <c r="G20" s="1863"/>
      <c r="H20" s="205" t="s">
        <v>128</v>
      </c>
      <c r="I20" s="1097" t="e">
        <f>I18+(VLOOKUP('20 g &lt;'!$J$19,'DATOS &lt;'!$I$201:$V$207,9,FALSE))*I18+(VLOOKUP('20 g &lt;'!$J$19,'DATOS &lt;'!$I$201:$V$207,10,FALSE))</f>
        <v>#N/A</v>
      </c>
      <c r="J20" s="1092" t="e">
        <f>J18+(VLOOKUP('20 g &lt;'!$J$19,'DATOS &lt;'!$I$201:$V$207,11,FALSE))*J18+(VLOOKUP('20 g &lt;'!$J$19,'DATOS &lt;'!$I$201:$V$207,12,FALSE))</f>
        <v>#N/A</v>
      </c>
      <c r="K20" s="1093" t="e">
        <f>K18+(VLOOKUP('20 g &lt;'!$J$19,'DATOS &lt;'!$I$201:$V$207,13,FALSE))*K18+(VLOOKUP('20 g &lt;'!$J$19,'DATOS &lt;'!$I$201:$V$207,14,FALSE))</f>
        <v>#N/A</v>
      </c>
      <c r="L20" s="1166"/>
      <c r="M20" s="1863"/>
      <c r="N20" s="205" t="s">
        <v>128</v>
      </c>
      <c r="O20" s="1097" t="e">
        <f>O18+(VLOOKUP('200 g &lt;'!$J$19,'DATOS &lt;'!$I$201:$V$207,9,FALSE))*O18+(VLOOKUP('200 g &lt;'!$J$19,'DATOS &lt;'!$I$201:$V$207,10,FALSE))</f>
        <v>#N/A</v>
      </c>
      <c r="P20" s="1092" t="e">
        <f>P18+(VLOOKUP('200 g &lt;'!$J$19,'DATOS &lt;'!$I$201:$V$207,11,FALSE))*P18+(VLOOKUP('200 g &lt;'!$J$19,'DATOS &lt;'!$I$201:$V$207,12,FALSE))</f>
        <v>#N/A</v>
      </c>
      <c r="Q20" s="1093" t="e">
        <f>Q18+(VLOOKUP('200 g &lt;'!$J$19,'DATOS &lt;'!$I$201:$V$207,13,FALSE))*Q18+(VLOOKUP('200 g &lt;'!$J$19,'DATOS &lt;'!$I$201:$V$207,14,FALSE))</f>
        <v>#N/A</v>
      </c>
      <c r="R20" s="1166"/>
      <c r="S20" s="1863"/>
      <c r="T20" s="205" t="s">
        <v>128</v>
      </c>
      <c r="U20" s="1097" t="e">
        <f>U18+(VLOOKUP('2 kg &lt;'!$J$19,'DATOS &lt;'!$I$201:$V$207,9,FALSE))*U18+(VLOOKUP('2 kg &lt;'!$J$19,'DATOS &lt;'!$I$201:$V$207,10,FALSE))</f>
        <v>#N/A</v>
      </c>
      <c r="V20" s="1092" t="e">
        <f>V18+(VLOOKUP('2 kg &lt;'!$J$19,'DATOS &lt;'!$I$201:$V$207,11,FALSE))*V18+(VLOOKUP('2 kg &lt;'!$J$19,'DATOS &lt;'!$I$201:$V$207,12,FALSE))</f>
        <v>#N/A</v>
      </c>
      <c r="W20" s="1093" t="e">
        <f>W18+(VLOOKUP('2 kg &lt;'!$J$19,'DATOS &lt;'!$I$201:$V$207,13,FALSE))*W18+(VLOOKUP('2 kg &lt;'!$J$19,'DATOS &lt;'!$I$201:$V$207,14,FALSE))</f>
        <v>#N/A</v>
      </c>
      <c r="X20" s="1166"/>
      <c r="Y20" s="1863"/>
      <c r="Z20" s="205" t="s">
        <v>128</v>
      </c>
      <c r="AA20" s="1097" t="e">
        <f>AA18+(VLOOKUP('5 kg &lt; (C)'!$J$19,'DATOS &lt;'!$I$201:$V$207,9,FALSE))*AA18+(VLOOKUP('5 kg &lt; (C)'!$J$19,'DATOS &lt;'!$I$201:$V$207,10,FALSE))</f>
        <v>#N/A</v>
      </c>
      <c r="AB20" s="1092" t="e">
        <f>AB18+(VLOOKUP('5 kg &lt; (C)'!$J$19,'DATOS &lt;'!$I$201:$V$207,11,FALSE))*AB18+(VLOOKUP('5 kg &lt; (C)'!$J$19,'DATOS &lt;'!$I$201:$V$207,12,FALSE))</f>
        <v>#N/A</v>
      </c>
      <c r="AC20" s="1093" t="e">
        <f>AC18+(VLOOKUP('5 kg &lt; (C)'!$J$19,'DATOS &lt;'!$I$201:$V$207,13,FALSE))*AC18+(VLOOKUP('5 kg &lt; (C)'!$J$19,'DATOS &lt;'!$I$201:$V$207,14,FALSE))</f>
        <v>#N/A</v>
      </c>
    </row>
    <row r="21" spans="1:29" s="574" customFormat="1" ht="39.950000000000003" customHeight="1" thickBot="1" x14ac:dyDescent="0.3">
      <c r="A21" s="1864"/>
      <c r="B21" s="206" t="s">
        <v>129</v>
      </c>
      <c r="C21" s="1094" t="e">
        <f>C19+(VLOOKUP('2 g &lt;'!$J$19,'DATOS &lt;'!$I$201:$V$207,9,FALSE))*C19+(VLOOKUP('2 g &lt;'!$J$19,'DATOS &lt;'!$I$201:$V$207,10,FALSE))</f>
        <v>#N/A</v>
      </c>
      <c r="D21" s="1095" t="e">
        <f>D19+(VLOOKUP('2 g &lt;'!$J$19,'DATOS &lt;'!$I$201:$V$207,11,FALSE))*D19+(VLOOKUP('2 g &lt;'!$J$19,'DATOS &lt;'!$I$201:$V$207,12,FALSE))</f>
        <v>#N/A</v>
      </c>
      <c r="E21" s="1096" t="e">
        <f>E19+(VLOOKUP('2 g &lt;'!$J$19,'DATOS &lt;'!$I$201:$V$207,13,FALSE))*E19+(VLOOKUP('2 g &lt;'!$J$19,'DATOS &lt;'!$I$201:$V$207,14,FALSE))</f>
        <v>#N/A</v>
      </c>
      <c r="F21" s="1166"/>
      <c r="G21" s="1864"/>
      <c r="H21" s="206" t="s">
        <v>129</v>
      </c>
      <c r="I21" s="1094" t="e">
        <f>I19+(VLOOKUP('20 g &lt;'!$J$19,'DATOS &lt;'!$I$201:$V$207,9,FALSE))*I19+(VLOOKUP('20 g &lt;'!$J$19,'DATOS &lt;'!$I$201:$V$207,10,FALSE))</f>
        <v>#N/A</v>
      </c>
      <c r="J21" s="1095" t="e">
        <f>J19+(VLOOKUP('20 g &lt;'!$J$19,'DATOS &lt;'!$I$201:$V$207,11,FALSE))*J19+(VLOOKUP('20 g &lt;'!$J$19,'DATOS &lt;'!$I$201:$V$207,12,FALSE))</f>
        <v>#N/A</v>
      </c>
      <c r="K21" s="1096" t="e">
        <f>K19+(VLOOKUP('20 g &lt;'!$J$19,'DATOS &lt;'!$I$201:$V$207,13,FALSE))*K19+(VLOOKUP('20 g &lt;'!$J$19,'DATOS &lt;'!$I$201:$V$207,14,FALSE))</f>
        <v>#N/A</v>
      </c>
      <c r="L21" s="1166"/>
      <c r="M21" s="1864"/>
      <c r="N21" s="206" t="s">
        <v>129</v>
      </c>
      <c r="O21" s="1094" t="e">
        <f>O19+(VLOOKUP('200 g &lt;'!$J$19,'DATOS &lt;'!$I$201:$V$207,9,FALSE))*O19+(VLOOKUP('200 g &lt;'!$J$19,'DATOS &lt;'!$I$201:$V$207,10,FALSE))</f>
        <v>#N/A</v>
      </c>
      <c r="P21" s="1095" t="e">
        <f>P19+(VLOOKUP('200 g &lt;'!$J$19,'DATOS &lt;'!$I$201:$V$207,11,FALSE))*P19+(VLOOKUP('200 g &lt;'!$J$19,'DATOS &lt;'!$I$201:$V$207,12,FALSE))</f>
        <v>#N/A</v>
      </c>
      <c r="Q21" s="1096" t="e">
        <f>Q19+(VLOOKUP('200 g &lt;'!$J$19,'DATOS &lt;'!$I$201:$V$207,13,FALSE))*Q19+(VLOOKUP('200 g &lt;'!$J$19,'DATOS &lt;'!$I$201:$V$207,14,FALSE))</f>
        <v>#N/A</v>
      </c>
      <c r="R21" s="1166"/>
      <c r="S21" s="1864"/>
      <c r="T21" s="206" t="s">
        <v>129</v>
      </c>
      <c r="U21" s="1094" t="e">
        <f>U19+(VLOOKUP('2 kg &lt;'!$J$19,'DATOS &lt;'!$I$201:$V$207,9,FALSE))*U19+(VLOOKUP('2 kg &lt;'!$J$19,'DATOS &lt;'!$I$201:$V$207,10,FALSE))</f>
        <v>#N/A</v>
      </c>
      <c r="V21" s="1095" t="e">
        <f>V19+(VLOOKUP('2 kg &lt;'!$J$19,'DATOS &lt;'!$I$201:$V$207,11,FALSE))*V19+(VLOOKUP('2 kg &lt;'!$J$19,'DATOS &lt;'!$I$201:$V$207,12,FALSE))</f>
        <v>#N/A</v>
      </c>
      <c r="W21" s="1096" t="e">
        <f>W19+(VLOOKUP('2 kg &lt;'!$J$19,'DATOS &lt;'!$I$201:$V$207,13,FALSE))*W19+(VLOOKUP('2 kg &lt;'!$J$19,'DATOS &lt;'!$I$201:$V$207,14,FALSE))</f>
        <v>#N/A</v>
      </c>
      <c r="X21" s="1166"/>
      <c r="Y21" s="1864"/>
      <c r="Z21" s="206" t="s">
        <v>129</v>
      </c>
      <c r="AA21" s="1094" t="e">
        <f>AA19+(VLOOKUP('5 kg &lt; (C)'!$J$19,'DATOS &lt;'!$I$201:$V$207,9,FALSE))*AA19+(VLOOKUP('5 kg &lt; (C)'!$J$19,'DATOS &lt;'!$I$201:$V$207,10,FALSE))</f>
        <v>#N/A</v>
      </c>
      <c r="AB21" s="1095" t="e">
        <f>AB19+(VLOOKUP('5 kg &lt; (C)'!$J$19,'DATOS &lt;'!$I$201:$V$207,11,FALSE))*AB19+(VLOOKUP('5 kg &lt; (C)'!$J$19,'DATOS &lt;'!$I$201:$V$207,12,FALSE))</f>
        <v>#N/A</v>
      </c>
      <c r="AC21" s="1096" t="e">
        <f>AC19+(VLOOKUP('5 kg &lt; (C)'!$J$19,'DATOS &lt;'!$I$201:$V$207,13,FALSE))*AC19+(VLOOKUP('5 kg &lt; (C)'!$J$19,'DATOS &lt;'!$I$201:$V$207,14,FALSE))</f>
        <v>#N/A</v>
      </c>
    </row>
    <row r="22" spans="1:29" s="574" customFormat="1" ht="300" customHeight="1" x14ac:dyDescent="0.25">
      <c r="A22" s="1166"/>
      <c r="B22" s="1166"/>
      <c r="C22" s="1166"/>
      <c r="D22" s="1166"/>
      <c r="E22" s="1166"/>
      <c r="F22" s="1166"/>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row>
    <row r="23" spans="1:29" s="574" customFormat="1" ht="30" customHeight="1" thickBot="1" x14ac:dyDescent="0.3">
      <c r="A23" s="1166"/>
      <c r="B23" s="1166"/>
      <c r="C23" s="1166"/>
      <c r="D23" s="1166"/>
      <c r="E23" s="1166"/>
      <c r="F23" s="1166"/>
      <c r="G23" s="220"/>
      <c r="H23" s="220"/>
      <c r="I23" s="220"/>
      <c r="J23" s="220"/>
      <c r="K23" s="220"/>
      <c r="L23" s="1166"/>
      <c r="M23" s="1166"/>
      <c r="N23" s="1166"/>
      <c r="O23" s="1166"/>
      <c r="P23" s="1166"/>
      <c r="Q23" s="1166"/>
      <c r="R23" s="1166"/>
      <c r="S23" s="220"/>
      <c r="T23" s="220"/>
      <c r="U23" s="220"/>
      <c r="V23" s="220"/>
      <c r="W23" s="220"/>
      <c r="X23" s="1166"/>
      <c r="Y23" s="1166"/>
      <c r="Z23" s="1166"/>
      <c r="AA23" s="1166"/>
      <c r="AB23" s="1166"/>
      <c r="AC23" s="1166"/>
    </row>
    <row r="24" spans="1:29" s="574" customFormat="1" ht="30" customHeight="1" thickBot="1" x14ac:dyDescent="0.3">
      <c r="A24" s="220"/>
      <c r="B24" s="215" t="s">
        <v>111</v>
      </c>
      <c r="C24" s="216" t="s">
        <v>112</v>
      </c>
      <c r="D24" s="220"/>
      <c r="E24" s="220"/>
      <c r="F24" s="1166"/>
      <c r="G24" s="220"/>
      <c r="H24" s="215" t="s">
        <v>111</v>
      </c>
      <c r="I24" s="216" t="s">
        <v>112</v>
      </c>
      <c r="J24" s="220"/>
      <c r="K24" s="220"/>
      <c r="L24" s="1166"/>
      <c r="M24" s="220"/>
      <c r="N24" s="215" t="s">
        <v>111</v>
      </c>
      <c r="O24" s="216" t="s">
        <v>112</v>
      </c>
      <c r="P24" s="220"/>
      <c r="Q24" s="220"/>
      <c r="R24" s="1166"/>
      <c r="S24" s="220"/>
      <c r="T24" s="215" t="s">
        <v>111</v>
      </c>
      <c r="U24" s="216" t="s">
        <v>112</v>
      </c>
      <c r="V24" s="220"/>
      <c r="W24" s="220"/>
      <c r="X24" s="1166"/>
      <c r="Y24" s="220"/>
      <c r="Z24" s="217" t="s">
        <v>111</v>
      </c>
      <c r="AA24" s="217" t="s">
        <v>112</v>
      </c>
      <c r="AB24" s="220"/>
      <c r="AC24" s="220"/>
    </row>
    <row r="25" spans="1:29" s="574" customFormat="1" ht="30" customHeight="1" thickBot="1" x14ac:dyDescent="0.3">
      <c r="A25" s="209" t="s">
        <v>542</v>
      </c>
      <c r="B25" s="394">
        <f>'2 g + &lt;'!B24</f>
        <v>0</v>
      </c>
      <c r="C25" s="394">
        <f>'2 g + &lt;'!B33</f>
        <v>0</v>
      </c>
      <c r="D25" s="214" t="s">
        <v>114</v>
      </c>
      <c r="E25" s="213">
        <f>'2 g + &lt;'!$J$19</f>
        <v>0</v>
      </c>
      <c r="F25" s="1166"/>
      <c r="G25" s="221" t="s">
        <v>543</v>
      </c>
      <c r="H25" s="394">
        <f>'20 g + &lt;'!$B$24</f>
        <v>0</v>
      </c>
      <c r="I25" s="394">
        <f>'20 g + &lt;'!$B$33</f>
        <v>0</v>
      </c>
      <c r="J25" s="214" t="s">
        <v>114</v>
      </c>
      <c r="K25" s="213">
        <f>'20 g + &lt;'!$J$19</f>
        <v>0</v>
      </c>
      <c r="L25" s="1166"/>
      <c r="M25" s="221" t="s">
        <v>544</v>
      </c>
      <c r="N25" s="394">
        <f>'200 g + &lt;'!$B$24</f>
        <v>0</v>
      </c>
      <c r="O25" s="394">
        <f>'200 g + &lt;'!$B$33</f>
        <v>0</v>
      </c>
      <c r="P25" s="214" t="s">
        <v>114</v>
      </c>
      <c r="Q25" s="213">
        <f>'200 g + &lt;'!$J$19</f>
        <v>0</v>
      </c>
      <c r="R25" s="1166"/>
      <c r="S25" s="221" t="s">
        <v>545</v>
      </c>
      <c r="T25" s="394">
        <f>'2 kg + &lt;'!$B$24</f>
        <v>0</v>
      </c>
      <c r="U25" s="394">
        <f>'2 kg + &lt;'!$B$33</f>
        <v>0</v>
      </c>
      <c r="V25" s="214" t="s">
        <v>114</v>
      </c>
      <c r="W25" s="213">
        <f>'2 kg + &lt;'!$J$19</f>
        <v>0</v>
      </c>
      <c r="X25" s="1166"/>
      <c r="Y25" s="214" t="s">
        <v>546</v>
      </c>
      <c r="Z25" s="394">
        <f>'10 kg &lt; (C)'!$B$24</f>
        <v>0</v>
      </c>
      <c r="AA25" s="394">
        <f>'10 kg &lt; (C)'!$B$33</f>
        <v>0</v>
      </c>
      <c r="AB25" s="214" t="s">
        <v>114</v>
      </c>
      <c r="AC25" s="213">
        <f>'10 kg &lt; (C)'!$J$19</f>
        <v>0</v>
      </c>
    </row>
    <row r="26" spans="1:29" s="574" customFormat="1" ht="30" customHeight="1" thickBot="1" x14ac:dyDescent="0.3">
      <c r="A26" s="209" t="s">
        <v>119</v>
      </c>
      <c r="B26" s="210" t="s">
        <v>120</v>
      </c>
      <c r="C26" s="210" t="s">
        <v>121</v>
      </c>
      <c r="D26" s="210" t="s">
        <v>122</v>
      </c>
      <c r="E26" s="218" t="s">
        <v>123</v>
      </c>
      <c r="F26" s="1166"/>
      <c r="G26" s="215" t="s">
        <v>119</v>
      </c>
      <c r="H26" s="210" t="s">
        <v>120</v>
      </c>
      <c r="I26" s="219" t="s">
        <v>121</v>
      </c>
      <c r="J26" s="219" t="s">
        <v>122</v>
      </c>
      <c r="K26" s="216" t="s">
        <v>123</v>
      </c>
      <c r="L26" s="1166"/>
      <c r="M26" s="215" t="s">
        <v>119</v>
      </c>
      <c r="N26" s="210" t="s">
        <v>120</v>
      </c>
      <c r="O26" s="219" t="s">
        <v>121</v>
      </c>
      <c r="P26" s="219" t="s">
        <v>122</v>
      </c>
      <c r="Q26" s="216" t="s">
        <v>123</v>
      </c>
      <c r="R26" s="1166"/>
      <c r="S26" s="215" t="s">
        <v>119</v>
      </c>
      <c r="T26" s="210" t="s">
        <v>120</v>
      </c>
      <c r="U26" s="219" t="s">
        <v>121</v>
      </c>
      <c r="V26" s="219" t="s">
        <v>122</v>
      </c>
      <c r="W26" s="216" t="s">
        <v>123</v>
      </c>
      <c r="X26" s="1166"/>
      <c r="Y26" s="215" t="s">
        <v>119</v>
      </c>
      <c r="Z26" s="210" t="s">
        <v>120</v>
      </c>
      <c r="AA26" s="219" t="s">
        <v>121</v>
      </c>
      <c r="AB26" s="219" t="s">
        <v>122</v>
      </c>
      <c r="AC26" s="216" t="s">
        <v>123</v>
      </c>
    </row>
    <row r="27" spans="1:29" s="574" customFormat="1" ht="39.950000000000003" customHeight="1" x14ac:dyDescent="0.25">
      <c r="A27" s="1862" t="e">
        <f>'2 g + &lt;'!$E$4</f>
        <v>#N/A</v>
      </c>
      <c r="B27" s="202" t="s">
        <v>124</v>
      </c>
      <c r="C27" s="1073"/>
      <c r="D27" s="1071"/>
      <c r="E27" s="1072"/>
      <c r="F27" s="1166"/>
      <c r="G27" s="1862" t="e">
        <f>'20 g + &lt;'!$E$4</f>
        <v>#N/A</v>
      </c>
      <c r="H27" s="205" t="s">
        <v>124</v>
      </c>
      <c r="I27" s="1070"/>
      <c r="J27" s="1071"/>
      <c r="K27" s="1072"/>
      <c r="L27" s="1166"/>
      <c r="M27" s="1862" t="e">
        <f>'200 g + &lt;'!$E$4</f>
        <v>#N/A</v>
      </c>
      <c r="N27" s="202" t="s">
        <v>124</v>
      </c>
      <c r="O27" s="1073"/>
      <c r="P27" s="1071"/>
      <c r="Q27" s="1072"/>
      <c r="R27" s="1166"/>
      <c r="S27" s="1862" t="e">
        <f>'2 kg + &lt;'!$E$4</f>
        <v>#N/A</v>
      </c>
      <c r="T27" s="202" t="s">
        <v>124</v>
      </c>
      <c r="U27" s="1073"/>
      <c r="V27" s="1071"/>
      <c r="W27" s="1072"/>
      <c r="X27" s="1166"/>
      <c r="Y27" s="1862" t="e">
        <f>'10 kg &lt; (C)'!$E$4</f>
        <v>#N/A</v>
      </c>
      <c r="Z27" s="202" t="s">
        <v>124</v>
      </c>
      <c r="AA27" s="1073"/>
      <c r="AB27" s="1071"/>
      <c r="AC27" s="1072"/>
    </row>
    <row r="28" spans="1:29" s="574" customFormat="1" ht="39.950000000000003" customHeight="1" thickBot="1" x14ac:dyDescent="0.3">
      <c r="A28" s="1863"/>
      <c r="B28" s="204" t="s">
        <v>127</v>
      </c>
      <c r="C28" s="1078"/>
      <c r="D28" s="1079"/>
      <c r="E28" s="1080"/>
      <c r="F28" s="1166"/>
      <c r="G28" s="1863"/>
      <c r="H28" s="206" t="s">
        <v>127</v>
      </c>
      <c r="I28" s="1174"/>
      <c r="J28" s="1079"/>
      <c r="K28" s="1080"/>
      <c r="L28" s="1166"/>
      <c r="M28" s="1863"/>
      <c r="N28" s="204" t="s">
        <v>127</v>
      </c>
      <c r="O28" s="1078"/>
      <c r="P28" s="1079"/>
      <c r="Q28" s="1080"/>
      <c r="R28" s="1175"/>
      <c r="S28" s="1863"/>
      <c r="T28" s="204" t="s">
        <v>127</v>
      </c>
      <c r="U28" s="1078"/>
      <c r="V28" s="1079"/>
      <c r="W28" s="1080"/>
      <c r="X28" s="1166"/>
      <c r="Y28" s="1863"/>
      <c r="Z28" s="204" t="s">
        <v>127</v>
      </c>
      <c r="AA28" s="1078"/>
      <c r="AB28" s="1079"/>
      <c r="AC28" s="1080"/>
    </row>
    <row r="29" spans="1:29" s="574" customFormat="1" ht="39.950000000000003" customHeight="1" x14ac:dyDescent="0.25">
      <c r="A29" s="1863"/>
      <c r="B29" s="205" t="s">
        <v>128</v>
      </c>
      <c r="C29" s="1097" t="e">
        <f>C27+(VLOOKUP('2 g + &lt;'!$J$19,'DATOS &lt;'!$I$201:$V$207,9,FALSE))*C27+(VLOOKUP('2 g + &lt;'!$J$19,'DATOS &lt;'!$I$201:$V$207,10,FALSE))</f>
        <v>#N/A</v>
      </c>
      <c r="D29" s="1092" t="e">
        <f>D27+(VLOOKUP('2 g + &lt;'!$J$19,'DATOS &lt;'!$I$201:$V$207,11,FALSE))*D27+(VLOOKUP('2 g + &lt;'!$J$19,'DATOS &lt;'!$I$201:$V$207,12,FALSE))</f>
        <v>#N/A</v>
      </c>
      <c r="E29" s="1093" t="e">
        <f>E27+(VLOOKUP('2 g + &lt;'!$J$19,'DATOS &lt;'!$I$201:$V$207,13,FALSE))*E27+(VLOOKUP('2 g + &lt;'!$J$19,'DATOS &lt;'!$I$201:$V$207,14,FALSE))</f>
        <v>#N/A</v>
      </c>
      <c r="F29" s="1166"/>
      <c r="G29" s="1863"/>
      <c r="H29" s="205" t="s">
        <v>128</v>
      </c>
      <c r="I29" s="1176" t="e">
        <f>I27+(VLOOKUP('20 g + &lt;'!$J$19,'DATOS &lt;'!$I$201:$V$207,9,FALSE))*I27+(VLOOKUP('20 g + &lt;'!$J$19,'DATOS &lt;'!$I$201:$V$207,10,FALSE))</f>
        <v>#N/A</v>
      </c>
      <c r="J29" s="1177" t="e">
        <f>J27+(VLOOKUP('20 g + &lt;'!$J$19,'DATOS &lt;'!$I$201:$V$207,11,FALSE))*J27+(VLOOKUP('20 g + &lt;'!$J$19,'DATOS &lt;'!$I$201:$V$207,12,FALSE))</f>
        <v>#N/A</v>
      </c>
      <c r="K29" s="1178" t="e">
        <f>K27+(VLOOKUP('20 g + &lt;'!$J$19,'DATOS &lt;'!$I$201:$V$207,13,FALSE))*K27+(VLOOKUP('20 g + &lt;'!$J$19,'DATOS &lt;'!$I$201:$V$207,14,FALSE))</f>
        <v>#N/A</v>
      </c>
      <c r="L29" s="1166"/>
      <c r="M29" s="1863"/>
      <c r="N29" s="205" t="s">
        <v>128</v>
      </c>
      <c r="O29" s="1097" t="e">
        <f>O27+(VLOOKUP('200 g + &lt;'!$J$19,'DATOS &lt;'!$I$201:$V$207,9,FALSE))*O27+(VLOOKUP('200 g + &lt;'!$J$19,'DATOS &lt;'!$I$201:$V$207,10,FALSE))</f>
        <v>#N/A</v>
      </c>
      <c r="P29" s="1092" t="e">
        <f>P27+(VLOOKUP('200 g + &lt;'!$J$19,'DATOS &lt;'!$I$201:$V$207,11,FALSE))*P27+(VLOOKUP('200 g + &lt;'!$J$19,'DATOS &lt;'!$I$201:$V$207,12,FALSE))</f>
        <v>#N/A</v>
      </c>
      <c r="Q29" s="1093" t="e">
        <f>Q27+(VLOOKUP('200 g + &lt;'!$J$19,'DATOS &lt;'!$I$201:$V$207,13,FALSE))*Q27+(VLOOKUP('200 g + &lt;'!$J$19,'DATOS &lt;'!$I$201:$V$207,14,FALSE))</f>
        <v>#N/A</v>
      </c>
      <c r="R29" s="1166"/>
      <c r="S29" s="1863"/>
      <c r="T29" s="205" t="s">
        <v>128</v>
      </c>
      <c r="U29" s="1097" t="e">
        <f>U27+(VLOOKUP('2 kg + &lt;'!$J$19,'DATOS &lt;'!$I$201:$V$207,9,FALSE))*U27+(VLOOKUP('2 kg + &lt;'!$J$19,'DATOS &lt;'!$I$201:$V$207,10,FALSE))</f>
        <v>#N/A</v>
      </c>
      <c r="V29" s="1092" t="e">
        <f>V27+(VLOOKUP('2 kg + &lt;'!$J$19,'DATOS &lt;'!$I$201:$V$207,11,FALSE))*V27+(VLOOKUP('2 kg + &lt;'!$J$19,'DATOS &lt;'!$I$201:$V$207,12,FALSE))</f>
        <v>#N/A</v>
      </c>
      <c r="W29" s="1093" t="e">
        <f>W27+(VLOOKUP('2 kg + &lt;'!$J$19,'DATOS &lt;'!$I$201:$V$207,13,FALSE))*W27+(VLOOKUP('2 kg + &lt;'!$J$19,'DATOS &lt;'!$I$201:$V$207,14,FALSE))</f>
        <v>#N/A</v>
      </c>
      <c r="X29" s="1166"/>
      <c r="Y29" s="1863"/>
      <c r="Z29" s="205" t="s">
        <v>128</v>
      </c>
      <c r="AA29" s="1097" t="e">
        <f>AA27+(VLOOKUP('10 kg &lt; (C)'!$J$19,'DATOS &lt;'!$I$201:$V$207,9,FALSE))*AA27+(VLOOKUP('10 kg &lt; (C)'!$J$19,'DATOS &lt;'!$I$201:$V$207,10,FALSE))</f>
        <v>#N/A</v>
      </c>
      <c r="AB29" s="1092" t="e">
        <f>AB27+(VLOOKUP('10 kg &lt; (C)'!$J$19,'DATOS &lt;'!$I$201:$V$207,11,FALSE))*AB27+(VLOOKUP('10 kg &lt; (C)'!$J$19,'DATOS &lt;'!$I$201:$V$207,12,FALSE))</f>
        <v>#N/A</v>
      </c>
      <c r="AC29" s="1093" t="e">
        <f>AC27+(VLOOKUP('10 kg &lt; (C)'!$J$19,'DATOS &lt;'!$I$201:$V$207,13,FALSE))*AC27+(VLOOKUP('10 kg &lt; (C)'!$J$19,'DATOS &lt;'!$I$201:$V$207,14,FALSE))</f>
        <v>#N/A</v>
      </c>
    </row>
    <row r="30" spans="1:29" s="574" customFormat="1" ht="39.950000000000003" customHeight="1" thickBot="1" x14ac:dyDescent="0.3">
      <c r="A30" s="1864"/>
      <c r="B30" s="206" t="s">
        <v>129</v>
      </c>
      <c r="C30" s="1094" t="e">
        <f>C28+(VLOOKUP('2 g + &lt;'!$J$19,'DATOS &lt;'!$I$201:$V$207,9,FALSE))*C28+(VLOOKUP('2 g + &lt;'!$J$19,'DATOS &lt;'!$I$201:$V$207,10,FALSE))</f>
        <v>#N/A</v>
      </c>
      <c r="D30" s="1095" t="e">
        <f>D28+(VLOOKUP('2 g + &lt;'!$J$19,'DATOS &lt;'!$I$201:$V$207,11,FALSE))*D28+(VLOOKUP('2 g + &lt;'!$J$19,'DATOS &lt;'!$I$201:$V$207,12,FALSE))</f>
        <v>#N/A</v>
      </c>
      <c r="E30" s="1096" t="e">
        <f>E28+(VLOOKUP('2 g + &lt;'!$J$19,'DATOS &lt;'!$I$201:$V$207,13,FALSE))*E28+(VLOOKUP('2 g + &lt;'!$J$19,'DATOS &lt;'!$I$201:$V$207,14,FALSE))</f>
        <v>#N/A</v>
      </c>
      <c r="F30" s="1166"/>
      <c r="G30" s="1864"/>
      <c r="H30" s="206" t="s">
        <v>129</v>
      </c>
      <c r="I30" s="1094" t="e">
        <f>I28+(VLOOKUP('20 g &lt;'!$J$19,'DATOS &lt;'!$I$201:$V$207,9,FALSE))*I28+(VLOOKUP('20 g &lt;'!$J$19,'DATOS &lt;'!$I$201:$V$207,10,FALSE))</f>
        <v>#N/A</v>
      </c>
      <c r="J30" s="1095" t="e">
        <f>J28+(VLOOKUP('20 g + &lt;'!$J$19,'DATOS &lt;'!$I$201:$V$207,11,FALSE))*J28+(VLOOKUP('20 g + &lt;'!$J$19,'DATOS &lt;'!$I$201:$V$207,12,FALSE))</f>
        <v>#N/A</v>
      </c>
      <c r="K30" s="1096" t="e">
        <f>K28+(VLOOKUP('20 g + &lt;'!$J$19,'DATOS &lt;'!$I$201:$V$207,13,FALSE))*K28+(VLOOKUP('20 g + &lt;'!$J$19,'DATOS &lt;'!$I$201:$V$207,14,FALSE))</f>
        <v>#N/A</v>
      </c>
      <c r="L30" s="1166"/>
      <c r="M30" s="1864"/>
      <c r="N30" s="206" t="s">
        <v>129</v>
      </c>
      <c r="O30" s="1094" t="e">
        <f>O28+(VLOOKUP('200 g + &lt;'!$J$19,'DATOS &lt;'!$I$201:$V$207,9,FALSE))*O28+(VLOOKUP('200 g + &lt;'!$J$19,'DATOS &lt;'!$I$201:$V$207,10,FALSE))</f>
        <v>#N/A</v>
      </c>
      <c r="P30" s="1095" t="e">
        <f>P28+(VLOOKUP('200 g + &lt;'!$J$19,'DATOS &lt;'!$I$201:$V$207,11,FALSE))*P28+(VLOOKUP('200 g + &lt;'!$J$19,'DATOS &lt;'!$I$201:$V$207,12,FALSE))</f>
        <v>#N/A</v>
      </c>
      <c r="Q30" s="1096" t="e">
        <f>Q28+(VLOOKUP('200 g &lt;'!$J$19,'DATOS &lt;'!$I$201:$V$207,13,FALSE))*Q28+(VLOOKUP('200 g &lt;'!$J$19,'DATOS &lt;'!$I$201:$V$207,14,FALSE))</f>
        <v>#N/A</v>
      </c>
      <c r="R30" s="1166"/>
      <c r="S30" s="1864"/>
      <c r="T30" s="206" t="s">
        <v>129</v>
      </c>
      <c r="U30" s="1094" t="e">
        <f>U28+(VLOOKUP('2 kg + &lt;'!$J$19,'DATOS &lt;'!$I$201:$V$207,9,FALSE))*U28+(VLOOKUP('2 kg + &lt;'!$J$19,'DATOS &lt;'!$I$201:$V$207,10,FALSE))</f>
        <v>#N/A</v>
      </c>
      <c r="V30" s="1095" t="e">
        <f>V28+(VLOOKUP('2 kg + &lt;'!$J$19,'DATOS &lt;'!$I$201:$V$207,11,FALSE))*V28+(VLOOKUP('2 kg + &lt;'!$J$19,'DATOS &lt;'!$I$201:$V$207,12,FALSE))</f>
        <v>#N/A</v>
      </c>
      <c r="W30" s="1096" t="e">
        <f>W28+(VLOOKUP('2 kg + &lt;'!$J$19,'DATOS &lt;'!$I$201:$V$207,13,FALSE))*W28+(VLOOKUP('2 kg + &lt;'!$J$19,'DATOS &lt;'!$I$201:$V$207,14,FALSE))</f>
        <v>#N/A</v>
      </c>
      <c r="X30" s="1166"/>
      <c r="Y30" s="1864"/>
      <c r="Z30" s="206" t="s">
        <v>129</v>
      </c>
      <c r="AA30" s="1094" t="e">
        <f>AA28+(VLOOKUP('10 kg &lt; (C)'!$J$19,'DATOS &lt;'!$I$201:$V$207,9,FALSE))*AA28+(VLOOKUP('10 kg &lt; (C)'!$J$19,'DATOS &lt;'!$I$201:$V$207,10,FALSE))</f>
        <v>#N/A</v>
      </c>
      <c r="AB30" s="1095" t="e">
        <f>AB28+(VLOOKUP('10 kg &lt; (C)'!$J$19,'DATOS &lt;'!$I$201:$V$207,11,FALSE))*AB28+(VLOOKUP('10 kg &lt; (C)'!$J$19,'DATOS &lt;'!$I$201:$V$207,12,FALSE))</f>
        <v>#N/A</v>
      </c>
      <c r="AC30" s="1096" t="e">
        <f>AC28+(VLOOKUP('10 kg &lt; (C)'!$J$19,'DATOS &lt;'!$I$201:$V$207,13,FALSE))*AC28+(VLOOKUP('10 kg &lt; (C)'!$J$19,'DATOS &lt;'!$I$201:$V$207,14,FALSE))</f>
        <v>#N/A</v>
      </c>
    </row>
    <row r="31" spans="1:29" s="574" customFormat="1" ht="300" customHeight="1" x14ac:dyDescent="0.25">
      <c r="A31" s="1166"/>
      <c r="B31" s="1166"/>
      <c r="C31" s="1166"/>
      <c r="D31" s="1166"/>
      <c r="E31" s="1166"/>
      <c r="F31" s="1166"/>
      <c r="G31" s="1166"/>
      <c r="H31" s="1166"/>
      <c r="I31" s="1166"/>
      <c r="J31" s="1166"/>
      <c r="K31" s="1166"/>
      <c r="L31" s="1166"/>
      <c r="M31" s="1166"/>
      <c r="N31" s="1166"/>
      <c r="O31" s="1166"/>
      <c r="P31" s="1166"/>
      <c r="Q31" s="1166"/>
      <c r="R31" s="1166"/>
      <c r="S31" s="1166"/>
      <c r="T31" s="1166"/>
      <c r="U31" s="1166"/>
      <c r="V31" s="1166"/>
      <c r="W31" s="1166"/>
      <c r="X31" s="1166"/>
      <c r="Y31" s="1166"/>
      <c r="Z31" s="1166"/>
      <c r="AA31" s="1166"/>
      <c r="AB31" s="1166"/>
      <c r="AC31" s="1166"/>
    </row>
    <row r="32" spans="1:29" s="574" customFormat="1" ht="30" customHeight="1" thickBot="1" x14ac:dyDescent="0.3">
      <c r="A32" s="1166"/>
      <c r="B32" s="1179"/>
      <c r="C32" s="1144"/>
      <c r="D32" s="1144"/>
      <c r="E32" s="1144"/>
      <c r="F32" s="1166"/>
      <c r="G32" s="1166"/>
      <c r="H32" s="1166"/>
      <c r="I32" s="1166"/>
      <c r="J32" s="1166"/>
      <c r="K32" s="1166"/>
      <c r="L32" s="1166"/>
      <c r="M32" s="1166"/>
      <c r="N32" s="1166"/>
      <c r="O32" s="1166"/>
      <c r="P32" s="1166"/>
      <c r="Q32" s="1166"/>
      <c r="R32" s="1166"/>
      <c r="S32" s="1166"/>
      <c r="T32" s="1166"/>
      <c r="U32" s="1166"/>
      <c r="V32" s="1166"/>
      <c r="W32" s="1166"/>
      <c r="X32" s="1166"/>
      <c r="Y32" s="1166"/>
      <c r="Z32" s="1166"/>
      <c r="AA32" s="1166"/>
      <c r="AB32" s="1166"/>
      <c r="AC32" s="1166"/>
    </row>
    <row r="33" spans="1:29" s="574" customFormat="1" ht="30" customHeight="1" thickBot="1" x14ac:dyDescent="0.3">
      <c r="A33" s="220"/>
      <c r="B33" s="215" t="s">
        <v>111</v>
      </c>
      <c r="C33" s="216" t="s">
        <v>112</v>
      </c>
      <c r="D33" s="220"/>
      <c r="E33" s="220"/>
      <c r="F33" s="1166"/>
      <c r="G33" s="220"/>
      <c r="H33" s="215" t="s">
        <v>111</v>
      </c>
      <c r="I33" s="216" t="s">
        <v>112</v>
      </c>
      <c r="J33" s="220"/>
      <c r="K33" s="220"/>
      <c r="L33" s="1166"/>
      <c r="M33" s="220"/>
      <c r="N33" s="215" t="s">
        <v>111</v>
      </c>
      <c r="O33" s="216" t="s">
        <v>112</v>
      </c>
      <c r="P33" s="220"/>
      <c r="Q33" s="220"/>
      <c r="R33" s="1166"/>
      <c r="S33" s="220"/>
      <c r="T33" s="215" t="s">
        <v>111</v>
      </c>
      <c r="U33" s="216" t="s">
        <v>112</v>
      </c>
      <c r="V33" s="220"/>
      <c r="W33" s="220"/>
      <c r="X33" s="1166"/>
      <c r="Y33" s="220"/>
      <c r="Z33" s="217" t="s">
        <v>111</v>
      </c>
      <c r="AA33" s="217" t="s">
        <v>112</v>
      </c>
      <c r="AB33" s="220"/>
      <c r="AC33" s="220"/>
    </row>
    <row r="34" spans="1:29" s="574" customFormat="1" ht="30" customHeight="1" thickBot="1" x14ac:dyDescent="0.3">
      <c r="A34" s="209" t="s">
        <v>364</v>
      </c>
      <c r="B34" s="394">
        <f>'5 g &lt;'!B24</f>
        <v>0</v>
      </c>
      <c r="C34" s="394">
        <f>'5 g &lt;'!$B$33</f>
        <v>0</v>
      </c>
      <c r="D34" s="214" t="s">
        <v>114</v>
      </c>
      <c r="E34" s="213">
        <f>'5 g &lt;'!$J$19</f>
        <v>0</v>
      </c>
      <c r="F34" s="1166"/>
      <c r="G34" s="221" t="s">
        <v>285</v>
      </c>
      <c r="H34" s="394">
        <f>'50 g &lt;'!$B$24</f>
        <v>0</v>
      </c>
      <c r="I34" s="394">
        <f>'50 g &lt;'!$B$33</f>
        <v>0</v>
      </c>
      <c r="J34" s="214" t="s">
        <v>114</v>
      </c>
      <c r="K34" s="213">
        <f>'50 g &lt;'!$J$19</f>
        <v>0</v>
      </c>
      <c r="L34" s="1166"/>
      <c r="M34" s="221" t="s">
        <v>295</v>
      </c>
      <c r="N34" s="394">
        <f>'500 g &lt;'!$B$24</f>
        <v>0</v>
      </c>
      <c r="O34" s="394">
        <f>'500 g &lt;'!$B$33</f>
        <v>0</v>
      </c>
      <c r="P34" s="214" t="s">
        <v>114</v>
      </c>
      <c r="Q34" s="213">
        <f>'500 g &lt;'!$J$19</f>
        <v>0</v>
      </c>
      <c r="R34" s="1166"/>
      <c r="S34" s="221" t="s">
        <v>304</v>
      </c>
      <c r="T34" s="394">
        <f>'5 kg &lt;'!$B$24</f>
        <v>0</v>
      </c>
      <c r="U34" s="394">
        <f>'5 kg &lt;'!$B$33</f>
        <v>0</v>
      </c>
      <c r="V34" s="214" t="s">
        <v>114</v>
      </c>
      <c r="W34" s="213">
        <f>'5 kg &lt;'!$J$19</f>
        <v>0</v>
      </c>
      <c r="X34" s="1166"/>
      <c r="Y34" s="214" t="s">
        <v>547</v>
      </c>
      <c r="Z34" s="394">
        <f>'20 kg &lt; (C)'!$B$24</f>
        <v>0</v>
      </c>
      <c r="AA34" s="394">
        <f>'20 kg &lt; (C)'!$B$33</f>
        <v>0</v>
      </c>
      <c r="AB34" s="214" t="s">
        <v>114</v>
      </c>
      <c r="AC34" s="213">
        <f>'20 kg &lt; (C)'!$J$19</f>
        <v>0</v>
      </c>
    </row>
    <row r="35" spans="1:29" s="574" customFormat="1" ht="30" customHeight="1" thickBot="1" x14ac:dyDescent="0.3">
      <c r="A35" s="209" t="s">
        <v>119</v>
      </c>
      <c r="B35" s="210" t="s">
        <v>120</v>
      </c>
      <c r="C35" s="210" t="s">
        <v>121</v>
      </c>
      <c r="D35" s="210" t="s">
        <v>122</v>
      </c>
      <c r="E35" s="218" t="s">
        <v>123</v>
      </c>
      <c r="F35" s="1166"/>
      <c r="G35" s="209" t="s">
        <v>119</v>
      </c>
      <c r="H35" s="210" t="s">
        <v>120</v>
      </c>
      <c r="I35" s="210" t="s">
        <v>121</v>
      </c>
      <c r="J35" s="210" t="s">
        <v>122</v>
      </c>
      <c r="K35" s="218" t="s">
        <v>123</v>
      </c>
      <c r="L35" s="1166"/>
      <c r="M35" s="215" t="s">
        <v>119</v>
      </c>
      <c r="N35" s="210" t="s">
        <v>120</v>
      </c>
      <c r="O35" s="219" t="s">
        <v>121</v>
      </c>
      <c r="P35" s="219" t="s">
        <v>122</v>
      </c>
      <c r="Q35" s="216" t="s">
        <v>123</v>
      </c>
      <c r="R35" s="1166"/>
      <c r="S35" s="215" t="s">
        <v>119</v>
      </c>
      <c r="T35" s="210" t="s">
        <v>120</v>
      </c>
      <c r="U35" s="219" t="s">
        <v>121</v>
      </c>
      <c r="V35" s="219" t="s">
        <v>122</v>
      </c>
      <c r="W35" s="216" t="s">
        <v>123</v>
      </c>
      <c r="X35" s="1166"/>
      <c r="Y35" s="215" t="s">
        <v>119</v>
      </c>
      <c r="Z35" s="210" t="s">
        <v>120</v>
      </c>
      <c r="AA35" s="219" t="s">
        <v>121</v>
      </c>
      <c r="AB35" s="219" t="s">
        <v>122</v>
      </c>
      <c r="AC35" s="216" t="s">
        <v>123</v>
      </c>
    </row>
    <row r="36" spans="1:29" s="574" customFormat="1" ht="39.950000000000003" customHeight="1" x14ac:dyDescent="0.25">
      <c r="A36" s="1862" t="e">
        <f>'5 g &lt;'!$E$4</f>
        <v>#N/A</v>
      </c>
      <c r="B36" s="202" t="s">
        <v>124</v>
      </c>
      <c r="C36" s="1073"/>
      <c r="D36" s="1071"/>
      <c r="E36" s="1072"/>
      <c r="F36" s="1166"/>
      <c r="G36" s="1862" t="e">
        <f>'50 g &lt;'!$E$4</f>
        <v>#N/A</v>
      </c>
      <c r="H36" s="202" t="s">
        <v>124</v>
      </c>
      <c r="I36" s="1073"/>
      <c r="J36" s="1071"/>
      <c r="K36" s="1072"/>
      <c r="L36" s="1166"/>
      <c r="M36" s="1862" t="e">
        <f>'500 g &lt;'!$E$4</f>
        <v>#N/A</v>
      </c>
      <c r="N36" s="202" t="s">
        <v>124</v>
      </c>
      <c r="O36" s="1073"/>
      <c r="P36" s="1071"/>
      <c r="Q36" s="1072"/>
      <c r="R36" s="1166"/>
      <c r="S36" s="1862" t="e">
        <f>'5 kg &lt;'!$E$4</f>
        <v>#N/A</v>
      </c>
      <c r="T36" s="202" t="s">
        <v>124</v>
      </c>
      <c r="U36" s="1073"/>
      <c r="V36" s="1071"/>
      <c r="W36" s="1072"/>
      <c r="X36" s="1166"/>
      <c r="Y36" s="1862" t="e">
        <f>'20 kg &lt; (C)'!$E$4</f>
        <v>#N/A</v>
      </c>
      <c r="Z36" s="202" t="s">
        <v>124</v>
      </c>
      <c r="AA36" s="1073"/>
      <c r="AB36" s="1071"/>
      <c r="AC36" s="1072"/>
    </row>
    <row r="37" spans="1:29" s="574" customFormat="1" ht="39.950000000000003" customHeight="1" thickBot="1" x14ac:dyDescent="0.3">
      <c r="A37" s="1863"/>
      <c r="B37" s="204" t="s">
        <v>127</v>
      </c>
      <c r="C37" s="1078"/>
      <c r="D37" s="1079"/>
      <c r="E37" s="1080"/>
      <c r="F37" s="1166"/>
      <c r="G37" s="1863"/>
      <c r="H37" s="204" t="s">
        <v>127</v>
      </c>
      <c r="I37" s="1078"/>
      <c r="J37" s="1079"/>
      <c r="K37" s="1080"/>
      <c r="L37" s="1166"/>
      <c r="M37" s="1863"/>
      <c r="N37" s="204" t="s">
        <v>127</v>
      </c>
      <c r="O37" s="1078"/>
      <c r="P37" s="1079"/>
      <c r="Q37" s="1080"/>
      <c r="R37" s="1166"/>
      <c r="S37" s="1863"/>
      <c r="T37" s="204" t="s">
        <v>127</v>
      </c>
      <c r="U37" s="1078"/>
      <c r="V37" s="1079"/>
      <c r="W37" s="1080"/>
      <c r="X37" s="1166"/>
      <c r="Y37" s="1863"/>
      <c r="Z37" s="204" t="s">
        <v>127</v>
      </c>
      <c r="AA37" s="1078"/>
      <c r="AB37" s="1079"/>
      <c r="AC37" s="1080"/>
    </row>
    <row r="38" spans="1:29" s="574" customFormat="1" ht="39.950000000000003" customHeight="1" x14ac:dyDescent="0.25">
      <c r="A38" s="1863"/>
      <c r="B38" s="205" t="s">
        <v>128</v>
      </c>
      <c r="C38" s="1097" t="e">
        <f>C36+(VLOOKUP('5 g &lt;'!$J$19,'DATOS &lt;'!$I$201:$V$207,9,FALSE))*C36+(VLOOKUP('5 g &lt;'!$J$19,'DATOS &lt;'!$I$201:$V$207,10,FALSE))</f>
        <v>#N/A</v>
      </c>
      <c r="D38" s="1092" t="e">
        <f>D36+(VLOOKUP('5 g &lt;'!$J$19,'DATOS &lt;'!$I$201:$V$207,11,FALSE))*D36+(VLOOKUP('5 g &lt;'!$J$19,'DATOS &lt;'!$I$201:$V$207,12,FALSE))</f>
        <v>#N/A</v>
      </c>
      <c r="E38" s="1093" t="e">
        <f>E36+(VLOOKUP('5 g &lt;'!$J$19,'DATOS &lt;'!$I$201:$V$207,13,FALSE))*E36+(VLOOKUP('5 g &lt;'!$J$19,'DATOS &lt;'!$I$201:$V$207,14,FALSE))</f>
        <v>#N/A</v>
      </c>
      <c r="F38" s="1166"/>
      <c r="G38" s="1863"/>
      <c r="H38" s="205" t="s">
        <v>128</v>
      </c>
      <c r="I38" s="1097" t="e">
        <f>I36+(VLOOKUP('50 g &lt;'!$J$19,'DATOS &lt;'!$I$201:$V$207,9,FALSE))*I36+(VLOOKUP('50 g &lt;'!$J$19,'DATOS &lt;'!$I$201:$V$207,10,FALSE))</f>
        <v>#N/A</v>
      </c>
      <c r="J38" s="1092" t="e">
        <f>J36+(VLOOKUP('50 g &lt;'!$J$19,'DATOS &lt;'!$I$201:$V$207,11,FALSE))*J36+(VLOOKUP('50 g &lt;'!$J$19,'DATOS &lt;'!$I$201:$V$207,12,FALSE))</f>
        <v>#N/A</v>
      </c>
      <c r="K38" s="1093" t="e">
        <f>K36+(VLOOKUP('50 g &lt;'!$J$19,'DATOS &lt;'!$I$201:$V$207,13,FALSE))*K36+(VLOOKUP('50 g &lt;'!$J$19,'DATOS &lt;'!$I$201:$V$207,14,FALSE))</f>
        <v>#N/A</v>
      </c>
      <c r="L38" s="1166"/>
      <c r="M38" s="1863"/>
      <c r="N38" s="205" t="s">
        <v>128</v>
      </c>
      <c r="O38" s="1097" t="e">
        <f>O36+(VLOOKUP('500 g &lt;'!$J$19,'DATOS &lt;'!$I$201:$V$207,9,FALSE))*O36+(VLOOKUP('500 g &lt;'!$J$19,'DATOS &lt;'!$I$201:$V$207,10,FALSE))</f>
        <v>#N/A</v>
      </c>
      <c r="P38" s="1092" t="e">
        <f>P36+(VLOOKUP('500 g &lt;'!$J$19,'DATOS &lt;'!$I$201:$V$207,11,FALSE))*P36+(VLOOKUP('500 g &lt;'!$J$19,'DATOS &lt;'!$I$201:$V$207,12,FALSE))</f>
        <v>#N/A</v>
      </c>
      <c r="Q38" s="1093" t="e">
        <f>Q36+(VLOOKUP('500 g &lt;'!$J$19,'DATOS &lt;'!$I$201:$V$207,13,FALSE))*Q36+(VLOOKUP('500 g &lt;'!$J$19,'DATOS &lt;'!$I$201:$V$207,14,FALSE))</f>
        <v>#N/A</v>
      </c>
      <c r="R38" s="1166"/>
      <c r="S38" s="1863"/>
      <c r="T38" s="205" t="s">
        <v>128</v>
      </c>
      <c r="U38" s="1097" t="e">
        <f>U36+(VLOOKUP('5 kg &lt;'!$J$19,'DATOS &lt;'!$I$201:$V$207,9,FALSE))*U36+(VLOOKUP('5 kg &lt;'!$J$19,'DATOS &lt;'!$I$201:$V$207,10,FALSE))</f>
        <v>#N/A</v>
      </c>
      <c r="V38" s="1092" t="e">
        <f>V36+(VLOOKUP('5 kg &lt;'!$J$19,'DATOS &lt;'!$I$201:$V$207,11,FALSE))*V36+(VLOOKUP('5 kg &lt;'!$J$19,'DATOS &lt;'!$I$201:$V$207,12,FALSE))</f>
        <v>#N/A</v>
      </c>
      <c r="W38" s="1093" t="e">
        <f>W36+(VLOOKUP('5 kg &lt;'!$J$19,'DATOS &lt;'!$I$201:$V$207,13,FALSE))*W36+(VLOOKUP('5 kg &lt;'!$J$19,'DATOS &lt;'!$I$201:$V$207,14,FALSE))</f>
        <v>#N/A</v>
      </c>
      <c r="X38" s="1166"/>
      <c r="Y38" s="1863"/>
      <c r="Z38" s="205" t="s">
        <v>128</v>
      </c>
      <c r="AA38" s="1097" t="e">
        <f>AA36+(VLOOKUP('20 kg &lt; (C)'!$J$19,'DATOS &lt;'!$I$201:$V$207,9,FALSE))*AA36+(VLOOKUP('20 kg &lt; (C)'!$J$19,'DATOS &lt;'!$I$201:$V$207,10,FALSE))</f>
        <v>#N/A</v>
      </c>
      <c r="AB38" s="1092" t="e">
        <f>AB36+(VLOOKUP('20 kg &lt; (C)'!$J$19,'DATOS &lt;'!$I$201:$V$207,11,FALSE))*AB36+(VLOOKUP('20 kg &lt; (C)'!$J$19,'DATOS &lt;'!$I$201:$V$207,12,FALSE))</f>
        <v>#N/A</v>
      </c>
      <c r="AC38" s="1093" t="e">
        <f>AC36+(VLOOKUP('20 kg &lt; (C)'!$J$19,'DATOS &lt;'!$I$201:$V$207,13,FALSE))*AC36+(VLOOKUP('20 kg &lt; (C)'!$J$19,'DATOS &lt;'!$I$201:$V$207,14,FALSE))</f>
        <v>#N/A</v>
      </c>
    </row>
    <row r="39" spans="1:29" s="574" customFormat="1" ht="39.950000000000003" customHeight="1" thickBot="1" x14ac:dyDescent="0.3">
      <c r="A39" s="1864"/>
      <c r="B39" s="206" t="s">
        <v>129</v>
      </c>
      <c r="C39" s="1094" t="e">
        <f>C37+(VLOOKUP('5 g &lt;'!$J$19,'DATOS &lt;'!$I$201:$V$207,9,FALSE))*C37+(VLOOKUP('5 g &lt;'!$J$19,'DATOS &lt;'!$I$201:$V$207,10,FALSE))</f>
        <v>#N/A</v>
      </c>
      <c r="D39" s="1095" t="e">
        <f>D37+(VLOOKUP('5 g &lt;'!$J$19,'DATOS &lt;'!$I$201:$V$207,11,FALSE))*D37+(VLOOKUP('5 g &lt;'!$J$19,'DATOS &lt;'!$I$201:$V$207,12,FALSE))</f>
        <v>#N/A</v>
      </c>
      <c r="E39" s="1096" t="e">
        <f>E37+(VLOOKUP('5 g &lt;'!$J$19,'DATOS &lt;'!$I$201:$V$207,13,FALSE))*E37+(VLOOKUP('5 g &lt;'!$J$19,'DATOS &lt;'!$I$201:$V$207,14,FALSE))</f>
        <v>#N/A</v>
      </c>
      <c r="F39" s="1166"/>
      <c r="G39" s="1864"/>
      <c r="H39" s="206" t="s">
        <v>129</v>
      </c>
      <c r="I39" s="1094" t="e">
        <f>I37+(VLOOKUP('50 g &lt;'!$J$19,'DATOS &lt;'!$I$201:$V$207,9,FALSE))*I37+(VLOOKUP('50 g &lt;'!$J$19,'DATOS &lt;'!$I$201:$V$207,10,FALSE))</f>
        <v>#N/A</v>
      </c>
      <c r="J39" s="1095" t="e">
        <f>J37+(VLOOKUP('50 g &lt;'!$J$19,'DATOS &lt;'!$I$201:$V$207,11,FALSE))*J37+(VLOOKUP('50 g &lt;'!$J$19,'DATOS &lt;'!$I$201:$V$207,12,FALSE))</f>
        <v>#N/A</v>
      </c>
      <c r="K39" s="1096" t="e">
        <f>K37+(VLOOKUP('50 g &lt;'!$J$19,'DATOS &lt;'!$I$201:$V$207,13,FALSE))*K37+(VLOOKUP('50 g &lt;'!$J$19,'DATOS &lt;'!$I$201:$V$207,14,FALSE))</f>
        <v>#N/A</v>
      </c>
      <c r="L39" s="1166"/>
      <c r="M39" s="1864"/>
      <c r="N39" s="206" t="s">
        <v>129</v>
      </c>
      <c r="O39" s="1094" t="e">
        <f>O37+(VLOOKUP('500 g &lt;'!$J$19,'DATOS &lt;'!$I$201:$V$207,9,FALSE))*O37+(VLOOKUP('500 g &lt;'!$J$19,'DATOS &lt;'!$I$201:$V$207,10,FALSE))</f>
        <v>#N/A</v>
      </c>
      <c r="P39" s="1095" t="e">
        <f>P37+(VLOOKUP('500 g &lt;'!$J$19,'DATOS &lt;'!$I$201:$V$207,11,FALSE))*P37+(VLOOKUP('500 g &lt;'!$J$19,'DATOS &lt;'!$I$201:$V$207,12,FALSE))</f>
        <v>#N/A</v>
      </c>
      <c r="Q39" s="1096" t="e">
        <f>Q37+(VLOOKUP('500 g &lt;'!$J$19,'DATOS &lt;'!$I$201:$V$207,13,FALSE))*Q37+(VLOOKUP('500 g &lt;'!$J$19,'DATOS &lt;'!$I$201:$V$207,14,FALSE))</f>
        <v>#N/A</v>
      </c>
      <c r="R39" s="1166"/>
      <c r="S39" s="1864"/>
      <c r="T39" s="206" t="s">
        <v>129</v>
      </c>
      <c r="U39" s="1094" t="e">
        <f>U37+(VLOOKUP('5 kg &lt;'!$J$19,'DATOS &lt;'!$I$201:$V$207,9,FALSE))*U37+(VLOOKUP('5 kg &lt;'!$J$19,'DATOS &lt;'!$I$201:$V$207,10,FALSE))</f>
        <v>#N/A</v>
      </c>
      <c r="V39" s="1095" t="e">
        <f>V37+(VLOOKUP('5 kg &lt;'!$J$19,'DATOS &lt;'!$I$201:$V$207,11,FALSE))*V37+(VLOOKUP('5 kg &lt;'!$J$19,'DATOS &lt;'!$I$201:$V$207,12,FALSE))</f>
        <v>#N/A</v>
      </c>
      <c r="W39" s="1096" t="e">
        <f>W37+(VLOOKUP('5 kg &lt;'!$J$19,'DATOS &lt;'!$I$201:$V$207,13,FALSE))*W37+(VLOOKUP('5 kg &lt;'!$J$19,'DATOS &lt;'!$I$201:$V$207,14,FALSE))</f>
        <v>#N/A</v>
      </c>
      <c r="X39" s="1166"/>
      <c r="Y39" s="1864"/>
      <c r="Z39" s="206" t="s">
        <v>129</v>
      </c>
      <c r="AA39" s="1094" t="e">
        <f>AA37+(VLOOKUP('20 kg &lt; (C)'!$J$19,'DATOS &lt;'!$I$201:$V$207,9,FALSE))*AA37+(VLOOKUP('20 kg &lt; (C)'!$J$19,'DATOS &lt;'!$I$201:$V$207,10,FALSE))</f>
        <v>#N/A</v>
      </c>
      <c r="AB39" s="1095" t="e">
        <f>AB37+(VLOOKUP('20 kg &lt; (C)'!$J$19,'DATOS &lt;'!$I$201:$V$207,11,FALSE))*AB37+(VLOOKUP('20 kg &lt; (C)'!$J$19,'DATOS &lt;'!$I$201:$V$207,12,FALSE))</f>
        <v>#N/A</v>
      </c>
      <c r="AC39" s="1096" t="e">
        <f>AC37+(VLOOKUP('20 kg &lt; (C)'!$J$19,'DATOS &lt;'!$I$201:$V$207,13,FALSE))*AC37+(VLOOKUP('20 kg &lt; (C)'!$J$19,'DATOS &lt;'!$I$201:$V$207,14,FALSE))</f>
        <v>#N/A</v>
      </c>
    </row>
    <row r="40" spans="1:29" s="574" customFormat="1" ht="300" customHeight="1" x14ac:dyDescent="0.25">
      <c r="A40" s="1166"/>
      <c r="B40" s="1166"/>
      <c r="C40" s="1166"/>
      <c r="D40" s="1166"/>
      <c r="E40" s="1166"/>
      <c r="F40" s="1166"/>
      <c r="G40" s="1166"/>
      <c r="H40" s="1166"/>
      <c r="I40" s="1166"/>
      <c r="J40" s="1166"/>
      <c r="K40" s="1166"/>
      <c r="L40" s="1166"/>
      <c r="M40" s="1166"/>
      <c r="N40" s="1166"/>
      <c r="O40" s="1166"/>
      <c r="P40" s="1166"/>
      <c r="Q40" s="1166"/>
      <c r="R40" s="1166"/>
      <c r="S40" s="1166"/>
      <c r="T40" s="1166"/>
      <c r="U40" s="1166"/>
      <c r="V40" s="1166"/>
      <c r="W40" s="1166"/>
      <c r="X40" s="1166"/>
      <c r="Y40" s="1166"/>
      <c r="Z40" s="1166"/>
      <c r="AA40" s="1166"/>
      <c r="AB40" s="1166"/>
      <c r="AC40" s="1166"/>
    </row>
    <row r="41" spans="1:29" s="574" customFormat="1" x14ac:dyDescent="0.25">
      <c r="A41" s="1166"/>
      <c r="B41" s="1166"/>
      <c r="C41" s="1166"/>
      <c r="D41" s="1166"/>
      <c r="E41" s="1166"/>
      <c r="F41" s="1166"/>
      <c r="G41" s="1166"/>
      <c r="H41" s="1166"/>
      <c r="I41" s="1166"/>
      <c r="J41" s="1166"/>
      <c r="K41" s="1166"/>
      <c r="L41" s="1166"/>
      <c r="M41" s="1166"/>
      <c r="N41" s="1166"/>
      <c r="O41" s="1166"/>
      <c r="P41" s="1166"/>
      <c r="Q41" s="1166"/>
      <c r="R41" s="1166"/>
      <c r="S41" s="1166"/>
      <c r="T41" s="1166"/>
      <c r="U41" s="1166"/>
      <c r="V41" s="1166"/>
      <c r="W41" s="1166"/>
      <c r="X41" s="1166"/>
      <c r="Y41" s="1166"/>
      <c r="Z41" s="1166"/>
      <c r="AA41" s="1166"/>
      <c r="AB41" s="1166"/>
      <c r="AC41" s="1166"/>
    </row>
    <row r="42" spans="1:29" s="574" customFormat="1" x14ac:dyDescent="0.25">
      <c r="A42" s="1166"/>
      <c r="B42" s="1166"/>
      <c r="C42" s="1166"/>
      <c r="D42" s="1166"/>
      <c r="E42" s="1166"/>
      <c r="F42" s="1166"/>
      <c r="G42" s="1166"/>
      <c r="H42" s="1166"/>
      <c r="I42" s="1166"/>
      <c r="J42" s="1166"/>
      <c r="K42" s="1166"/>
      <c r="L42" s="1166"/>
      <c r="M42" s="1166"/>
      <c r="N42" s="1166"/>
      <c r="O42" s="1166"/>
      <c r="P42" s="1166"/>
      <c r="Q42" s="1166"/>
      <c r="R42" s="1166"/>
      <c r="S42" s="1166"/>
      <c r="T42" s="1166"/>
      <c r="U42" s="1166"/>
      <c r="V42" s="1166"/>
      <c r="W42" s="1166"/>
      <c r="X42" s="1166"/>
      <c r="Y42" s="1166"/>
      <c r="Z42" s="1166"/>
      <c r="AA42" s="1166"/>
      <c r="AB42" s="1166"/>
      <c r="AC42" s="1166"/>
    </row>
    <row r="43" spans="1:29" s="574" customFormat="1" x14ac:dyDescent="0.25">
      <c r="A43" s="1166"/>
      <c r="B43" s="1166"/>
      <c r="C43" s="1166"/>
      <c r="D43" s="1166"/>
      <c r="E43" s="1166"/>
      <c r="F43" s="1166"/>
      <c r="G43" s="1166"/>
      <c r="H43" s="1166"/>
      <c r="I43" s="1166"/>
      <c r="J43" s="1166"/>
      <c r="K43" s="1166"/>
      <c r="L43" s="1166"/>
      <c r="M43" s="1166"/>
      <c r="N43" s="1166"/>
      <c r="O43" s="1166"/>
      <c r="P43" s="1166"/>
      <c r="Q43" s="1166"/>
      <c r="R43" s="1166"/>
      <c r="S43" s="1166"/>
      <c r="T43" s="1166"/>
      <c r="U43" s="1166"/>
      <c r="V43" s="1166"/>
      <c r="W43" s="1166"/>
      <c r="X43" s="1166"/>
      <c r="Y43" s="1166"/>
      <c r="Z43" s="1166"/>
      <c r="AA43" s="1166"/>
      <c r="AB43" s="1166"/>
      <c r="AC43" s="1166"/>
    </row>
    <row r="44" spans="1:29" s="574" customFormat="1" x14ac:dyDescent="0.25">
      <c r="A44" s="1166"/>
      <c r="B44" s="1166"/>
      <c r="C44" s="1166"/>
      <c r="D44" s="1166"/>
      <c r="E44" s="1166"/>
      <c r="F44" s="1166"/>
      <c r="G44" s="1166"/>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row>
    <row r="45" spans="1:29" s="574" customFormat="1" x14ac:dyDescent="0.25">
      <c r="A45" s="1166"/>
      <c r="B45" s="1166"/>
      <c r="C45" s="1166"/>
      <c r="D45" s="1166"/>
      <c r="E45" s="1166"/>
      <c r="F45" s="1166"/>
      <c r="G45" s="1166"/>
      <c r="H45" s="1166"/>
      <c r="I45" s="1166"/>
      <c r="J45" s="1166"/>
      <c r="K45" s="1166"/>
      <c r="L45" s="1166"/>
      <c r="M45" s="1166"/>
      <c r="N45" s="1166"/>
      <c r="O45" s="1166"/>
      <c r="P45" s="1166"/>
      <c r="Q45" s="1166"/>
      <c r="R45" s="1166"/>
      <c r="S45" s="1166"/>
      <c r="T45" s="1166"/>
      <c r="U45" s="1166"/>
      <c r="V45" s="1166"/>
      <c r="W45" s="1166"/>
      <c r="X45" s="1166"/>
      <c r="Y45" s="1166"/>
      <c r="Z45" s="1166"/>
      <c r="AA45" s="1166"/>
      <c r="AB45" s="1166"/>
      <c r="AC45" s="1166"/>
    </row>
  </sheetData>
  <sheetProtection algorithmName="SHA-512" hashValue="6T5MbfRnm9n8wHB9daQyciiBhtIjjL9u8Ro9661+Togb/ipAZpCcvZHr8a0v0bkauM9d+WBpRCWmMVlKRU11Jg==" saltValue="OQRcS6gpmha97W4Z60f0Lg==" spinCount="100000" sheet="1" selectLockedCells="1"/>
  <mergeCells count="25">
    <mergeCell ref="E1:AC1"/>
    <mergeCell ref="A1:D1"/>
    <mergeCell ref="A3:AC4"/>
    <mergeCell ref="Y9:Y12"/>
    <mergeCell ref="A36:A39"/>
    <mergeCell ref="G9:G12"/>
    <mergeCell ref="M9:M12"/>
    <mergeCell ref="S9:S12"/>
    <mergeCell ref="G27:G30"/>
    <mergeCell ref="M27:M30"/>
    <mergeCell ref="A27:A30"/>
    <mergeCell ref="S27:S30"/>
    <mergeCell ref="A18:A21"/>
    <mergeCell ref="A9:A12"/>
    <mergeCell ref="AG4:AH5"/>
    <mergeCell ref="Y27:Y30"/>
    <mergeCell ref="Y36:Y39"/>
    <mergeCell ref="Y18:Y21"/>
    <mergeCell ref="G18:G21"/>
    <mergeCell ref="M18:M21"/>
    <mergeCell ref="S18:S21"/>
    <mergeCell ref="S36:S39"/>
    <mergeCell ref="M36:M39"/>
    <mergeCell ref="G36:G39"/>
    <mergeCell ref="AD4:AE5"/>
  </mergeCells>
  <conditionalFormatting sqref="C11:C12">
    <cfRule type="cellIs" dxfId="67" priority="66" operator="notBetween">
      <formula>$AG$7</formula>
      <formula>$AH$7</formula>
    </cfRule>
  </conditionalFormatting>
  <conditionalFormatting sqref="C20:C21">
    <cfRule type="cellIs" dxfId="66" priority="36" operator="notBetween">
      <formula>$AG$7</formula>
      <formula>$AH$7</formula>
    </cfRule>
  </conditionalFormatting>
  <conditionalFormatting sqref="C29:C30">
    <cfRule type="cellIs" dxfId="65" priority="16" operator="notBetween">
      <formula>$AG$7</formula>
      <formula>$AH$7</formula>
    </cfRule>
  </conditionalFormatting>
  <conditionalFormatting sqref="C38:C39">
    <cfRule type="cellIs" dxfId="64" priority="15" operator="notBetween">
      <formula>$AG$7</formula>
      <formula>$AH$7</formula>
    </cfRule>
  </conditionalFormatting>
  <conditionalFormatting sqref="D11:D12">
    <cfRule type="cellIs" dxfId="63" priority="65" operator="notBetween">
      <formula>$AG$9</formula>
      <formula>$AH$9</formula>
    </cfRule>
  </conditionalFormatting>
  <conditionalFormatting sqref="D20:D21">
    <cfRule type="cellIs" dxfId="62" priority="35" operator="notBetween">
      <formula>$AG$9</formula>
      <formula>$AH$9</formula>
    </cfRule>
  </conditionalFormatting>
  <conditionalFormatting sqref="D29:D30">
    <cfRule type="cellIs" dxfId="61" priority="17" operator="notBetween">
      <formula>$AG$9</formula>
      <formula>$AH$9</formula>
    </cfRule>
  </conditionalFormatting>
  <conditionalFormatting sqref="D38:D39">
    <cfRule type="cellIs" dxfId="60" priority="14" operator="notBetween">
      <formula>$AG$9</formula>
      <formula>$AH$9</formula>
    </cfRule>
  </conditionalFormatting>
  <conditionalFormatting sqref="E11:E12">
    <cfRule type="cellIs" dxfId="59" priority="64" operator="notBetween">
      <formula>$AG$11</formula>
      <formula>$AH$11</formula>
    </cfRule>
  </conditionalFormatting>
  <conditionalFormatting sqref="E20:E21">
    <cfRule type="cellIs" dxfId="58" priority="34" operator="notBetween">
      <formula>$AG$11</formula>
      <formula>$AH$11</formula>
    </cfRule>
  </conditionalFormatting>
  <conditionalFormatting sqref="E29:E30">
    <cfRule type="cellIs" dxfId="57" priority="18" operator="notBetween">
      <formula>$AG$11</formula>
      <formula>$AH$11</formula>
    </cfRule>
  </conditionalFormatting>
  <conditionalFormatting sqref="E38:E39">
    <cfRule type="cellIs" dxfId="56" priority="13" operator="notBetween">
      <formula>$AG$11</formula>
      <formula>$AH$11</formula>
    </cfRule>
  </conditionalFormatting>
  <conditionalFormatting sqref="I11:I12">
    <cfRule type="cellIs" dxfId="55" priority="63" operator="notBetween">
      <formula>$AG$7</formula>
      <formula>$AH$7</formula>
    </cfRule>
  </conditionalFormatting>
  <conditionalFormatting sqref="I20:I21">
    <cfRule type="cellIs" dxfId="54" priority="33" operator="notBetween">
      <formula>$AG$7</formula>
      <formula>$AH$7</formula>
    </cfRule>
  </conditionalFormatting>
  <conditionalFormatting sqref="I29:I30">
    <cfRule type="cellIs" dxfId="53" priority="19" operator="notBetween">
      <formula>$AG$7</formula>
      <formula>$AH$7</formula>
    </cfRule>
  </conditionalFormatting>
  <conditionalFormatting sqref="I38:I39">
    <cfRule type="cellIs" dxfId="52" priority="12" operator="notBetween">
      <formula>$AG$7</formula>
      <formula>$AH$7</formula>
    </cfRule>
  </conditionalFormatting>
  <conditionalFormatting sqref="J11:J12">
    <cfRule type="cellIs" dxfId="51" priority="62" operator="notBetween">
      <formula>$AG$9</formula>
      <formula>$AH$9</formula>
    </cfRule>
  </conditionalFormatting>
  <conditionalFormatting sqref="J20:J21">
    <cfRule type="cellIs" dxfId="50" priority="32" operator="notBetween">
      <formula>$AG$9</formula>
      <formula>$AH$9</formula>
    </cfRule>
  </conditionalFormatting>
  <conditionalFormatting sqref="J29:J30">
    <cfRule type="cellIs" dxfId="49" priority="20" operator="notBetween">
      <formula>$AG$9</formula>
      <formula>$AH$9</formula>
    </cfRule>
  </conditionalFormatting>
  <conditionalFormatting sqref="J38:J39">
    <cfRule type="cellIs" dxfId="48" priority="11" operator="notBetween">
      <formula>$AG$9</formula>
      <formula>$AH$9</formula>
    </cfRule>
  </conditionalFormatting>
  <conditionalFormatting sqref="K11:K12">
    <cfRule type="cellIs" dxfId="47" priority="61" operator="notBetween">
      <formula>$AG$11</formula>
      <formula>$AH$11</formula>
    </cfRule>
  </conditionalFormatting>
  <conditionalFormatting sqref="K20:K21">
    <cfRule type="cellIs" dxfId="46" priority="31" operator="notBetween">
      <formula>$AG$11</formula>
      <formula>$AH$11</formula>
    </cfRule>
  </conditionalFormatting>
  <conditionalFormatting sqref="K29:K30">
    <cfRule type="cellIs" dxfId="45" priority="21" operator="notBetween">
      <formula>$AG$11</formula>
      <formula>$AH$11</formula>
    </cfRule>
  </conditionalFormatting>
  <conditionalFormatting sqref="K38:K39">
    <cfRule type="cellIs" dxfId="44" priority="10" operator="notBetween">
      <formula>$AG$11</formula>
      <formula>$AH$11</formula>
    </cfRule>
  </conditionalFormatting>
  <conditionalFormatting sqref="O11:O12">
    <cfRule type="cellIs" dxfId="43" priority="60" operator="notBetween">
      <formula>$AG$7</formula>
      <formula>$AH$7</formula>
    </cfRule>
  </conditionalFormatting>
  <conditionalFormatting sqref="O20:O21">
    <cfRule type="cellIs" dxfId="42" priority="43" operator="notBetween">
      <formula>$AG$7</formula>
      <formula>$AH$7</formula>
    </cfRule>
  </conditionalFormatting>
  <conditionalFormatting sqref="O29:O30">
    <cfRule type="cellIs" dxfId="41" priority="22" operator="notBetween">
      <formula>$AG$7</formula>
      <formula>$AH$7</formula>
    </cfRule>
  </conditionalFormatting>
  <conditionalFormatting sqref="O38:O39">
    <cfRule type="cellIs" dxfId="40" priority="9" operator="notBetween">
      <formula>$AG$7</formula>
      <formula>$AH$7</formula>
    </cfRule>
  </conditionalFormatting>
  <conditionalFormatting sqref="P11:P12">
    <cfRule type="cellIs" dxfId="39" priority="59" operator="notBetween">
      <formula>$AG$9</formula>
      <formula>$AH$9</formula>
    </cfRule>
  </conditionalFormatting>
  <conditionalFormatting sqref="P20:P21">
    <cfRule type="cellIs" dxfId="38" priority="44" operator="notBetween">
      <formula>$AG$9</formula>
      <formula>$AH$9</formula>
    </cfRule>
  </conditionalFormatting>
  <conditionalFormatting sqref="P29:P30">
    <cfRule type="cellIs" dxfId="37" priority="23" operator="notBetween">
      <formula>$AG$9</formula>
      <formula>$AH$9</formula>
    </cfRule>
  </conditionalFormatting>
  <conditionalFormatting sqref="P38:P39">
    <cfRule type="cellIs" dxfId="36" priority="8" operator="notBetween">
      <formula>$AG$9</formula>
      <formula>$AH$9</formula>
    </cfRule>
  </conditionalFormatting>
  <conditionalFormatting sqref="Q11:Q12">
    <cfRule type="cellIs" dxfId="35" priority="58" operator="notBetween">
      <formula>$AG$11</formula>
      <formula>$AH$11</formula>
    </cfRule>
  </conditionalFormatting>
  <conditionalFormatting sqref="Q20:Q21">
    <cfRule type="cellIs" dxfId="34" priority="45" operator="notBetween">
      <formula>$AG$11</formula>
      <formula>$AH$11</formula>
    </cfRule>
  </conditionalFormatting>
  <conditionalFormatting sqref="Q29:Q30">
    <cfRule type="cellIs" dxfId="33" priority="24" operator="notBetween">
      <formula>$AG$11</formula>
      <formula>$AH$11</formula>
    </cfRule>
  </conditionalFormatting>
  <conditionalFormatting sqref="Q38:Q39">
    <cfRule type="cellIs" dxfId="32" priority="7" operator="notBetween">
      <formula>$AG$11</formula>
      <formula>$AH$11</formula>
    </cfRule>
  </conditionalFormatting>
  <conditionalFormatting sqref="U11:U12">
    <cfRule type="cellIs" dxfId="31" priority="57" operator="notBetween">
      <formula>$AG$7</formula>
      <formula>$AH$7</formula>
    </cfRule>
  </conditionalFormatting>
  <conditionalFormatting sqref="U20:U21">
    <cfRule type="cellIs" dxfId="30" priority="48" operator="notBetween">
      <formula>$AG$7</formula>
      <formula>$AH$7</formula>
    </cfRule>
  </conditionalFormatting>
  <conditionalFormatting sqref="U29:U30">
    <cfRule type="cellIs" dxfId="29" priority="25" operator="notBetween">
      <formula>$AG$7</formula>
      <formula>$AH$7</formula>
    </cfRule>
  </conditionalFormatting>
  <conditionalFormatting sqref="U38:U39">
    <cfRule type="cellIs" dxfId="28" priority="6" operator="notBetween">
      <formula>$AG$7</formula>
      <formula>$AH$7</formula>
    </cfRule>
  </conditionalFormatting>
  <conditionalFormatting sqref="V11:V12">
    <cfRule type="cellIs" dxfId="27" priority="56" operator="notBetween">
      <formula>$AG$9</formula>
      <formula>$AH$9</formula>
    </cfRule>
  </conditionalFormatting>
  <conditionalFormatting sqref="V20:V21">
    <cfRule type="cellIs" dxfId="26" priority="47" operator="notBetween">
      <formula>$AG$9</formula>
      <formula>$AH$9</formula>
    </cfRule>
  </conditionalFormatting>
  <conditionalFormatting sqref="V29:V30">
    <cfRule type="cellIs" dxfId="25" priority="26" operator="notBetween">
      <formula>$AG$9</formula>
      <formula>$AH$9</formula>
    </cfRule>
  </conditionalFormatting>
  <conditionalFormatting sqref="V38:V39">
    <cfRule type="cellIs" dxfId="24" priority="5" operator="notBetween">
      <formula>$AG$9</formula>
      <formula>$AH$9</formula>
    </cfRule>
  </conditionalFormatting>
  <conditionalFormatting sqref="W11:W12">
    <cfRule type="cellIs" dxfId="23" priority="55" operator="notBetween">
      <formula>$AG$11</formula>
      <formula>$AH$11</formula>
    </cfRule>
  </conditionalFormatting>
  <conditionalFormatting sqref="W20:W21">
    <cfRule type="cellIs" dxfId="22" priority="46" operator="notBetween">
      <formula>$AG$11</formula>
      <formula>$AH$11</formula>
    </cfRule>
  </conditionalFormatting>
  <conditionalFormatting sqref="W29:W30">
    <cfRule type="cellIs" dxfId="21" priority="27" operator="notBetween">
      <formula>$AG$11</formula>
      <formula>$AH$11</formula>
    </cfRule>
  </conditionalFormatting>
  <conditionalFormatting sqref="W38:W39">
    <cfRule type="cellIs" dxfId="20" priority="4" operator="notBetween">
      <formula>$AG$11</formula>
      <formula>$AH$11</formula>
    </cfRule>
  </conditionalFormatting>
  <conditionalFormatting sqref="AA11:AA12">
    <cfRule type="cellIs" dxfId="19" priority="54" operator="notBetween">
      <formula>$AG$7</formula>
      <formula>$AH$7</formula>
    </cfRule>
  </conditionalFormatting>
  <conditionalFormatting sqref="AA20:AA21">
    <cfRule type="cellIs" dxfId="18" priority="49" operator="notBetween">
      <formula>$AG$7</formula>
      <formula>$AH$7</formula>
    </cfRule>
  </conditionalFormatting>
  <conditionalFormatting sqref="AA29:AA30">
    <cfRule type="cellIs" dxfId="17" priority="28" operator="notBetween">
      <formula>$AG$7</formula>
      <formula>$AH$7</formula>
    </cfRule>
  </conditionalFormatting>
  <conditionalFormatting sqref="AA38:AA39">
    <cfRule type="cellIs" dxfId="16" priority="3" operator="notBetween">
      <formula>$AG$7</formula>
      <formula>$AH$7</formula>
    </cfRule>
  </conditionalFormatting>
  <conditionalFormatting sqref="AB11:AB12">
    <cfRule type="cellIs" dxfId="15" priority="53" operator="notBetween">
      <formula>$AG$9</formula>
      <formula>$AH$9</formula>
    </cfRule>
  </conditionalFormatting>
  <conditionalFormatting sqref="AB20:AB21">
    <cfRule type="cellIs" dxfId="14" priority="50" operator="notBetween">
      <formula>$AG$9</formula>
      <formula>$AH$9</formula>
    </cfRule>
  </conditionalFormatting>
  <conditionalFormatting sqref="AB29:AB30">
    <cfRule type="cellIs" dxfId="13" priority="29" operator="notBetween">
      <formula>$AG$9</formula>
      <formula>$AH$9</formula>
    </cfRule>
  </conditionalFormatting>
  <conditionalFormatting sqref="AB38:AB39">
    <cfRule type="cellIs" dxfId="12" priority="2" operator="notBetween">
      <formula>$AG$9</formula>
      <formula>$AH$9</formula>
    </cfRule>
  </conditionalFormatting>
  <conditionalFormatting sqref="AC11:AC12">
    <cfRule type="cellIs" dxfId="11" priority="52" operator="notBetween">
      <formula>$AG$11</formula>
      <formula>$AH$11</formula>
    </cfRule>
  </conditionalFormatting>
  <conditionalFormatting sqref="AC20:AC21">
    <cfRule type="cellIs" dxfId="10" priority="51" operator="notBetween">
      <formula>$AG$11</formula>
      <formula>$AH$11</formula>
    </cfRule>
  </conditionalFormatting>
  <conditionalFormatting sqref="AC29:AC30">
    <cfRule type="cellIs" dxfId="9" priority="30" operator="notBetween">
      <formula>$AG$11</formula>
      <formula>$AH$11</formula>
    </cfRule>
  </conditionalFormatting>
  <conditionalFormatting sqref="AC38:AC39">
    <cfRule type="cellIs" dxfId="8" priority="1" operator="notBetween">
      <formula>$AG$11</formula>
      <formula>$AH$11</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7">
    <tabColor rgb="FF92D050"/>
  </sheetPr>
  <dimension ref="A1:XEZ112"/>
  <sheetViews>
    <sheetView showGridLines="0" view="pageBreakPreview" zoomScale="80" zoomScaleNormal="100" zoomScaleSheetLayoutView="80" workbookViewId="0">
      <selection activeCell="D110" sqref="D110:E110"/>
    </sheetView>
  </sheetViews>
  <sheetFormatPr baseColWidth="10" defaultColWidth="11.42578125" defaultRowHeight="15" x14ac:dyDescent="0.2"/>
  <cols>
    <col min="1" max="1" width="5" style="969" customWidth="1"/>
    <col min="2" max="2" width="15.42578125" style="969" customWidth="1"/>
    <col min="3" max="3" width="12.28515625" style="969" customWidth="1"/>
    <col min="4" max="4" width="14.7109375" style="969" customWidth="1"/>
    <col min="5" max="5" width="16" style="969" customWidth="1"/>
    <col min="6" max="6" width="11.85546875" style="969" customWidth="1"/>
    <col min="7" max="13" width="9.7109375" style="969" customWidth="1"/>
    <col min="14" max="16384" width="11.42578125" style="969"/>
  </cols>
  <sheetData>
    <row r="1" spans="1:13" ht="125.1" customHeight="1" x14ac:dyDescent="0.2">
      <c r="A1" s="1825"/>
      <c r="B1" s="1825"/>
      <c r="C1" s="1825"/>
      <c r="D1" s="1825"/>
      <c r="E1" s="1825"/>
      <c r="F1" s="1825"/>
      <c r="G1" s="1825"/>
      <c r="H1" s="1825"/>
      <c r="I1" s="1825"/>
      <c r="J1" s="1825"/>
      <c r="K1" s="1825"/>
      <c r="L1" s="1825"/>
      <c r="M1" s="1825"/>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14" t="s">
        <v>8</v>
      </c>
      <c r="K3" s="1814"/>
      <c r="L3" s="1815">
        <f>'DATOS &lt;'!J8</f>
        <v>0</v>
      </c>
      <c r="M3" s="1815"/>
    </row>
    <row r="4" spans="1:13" ht="33" customHeight="1" x14ac:dyDescent="0.25">
      <c r="A4" s="1815" t="s">
        <v>152</v>
      </c>
      <c r="B4" s="1815"/>
      <c r="C4" s="1815"/>
      <c r="D4" s="1004"/>
      <c r="E4" s="1004"/>
      <c r="G4" s="1819"/>
      <c r="H4" s="1819"/>
    </row>
    <row r="5" spans="1:13" ht="24.95" customHeight="1" x14ac:dyDescent="0.2">
      <c r="A5" s="1005"/>
      <c r="B5" s="1004"/>
      <c r="C5" s="1004"/>
      <c r="D5" s="1004"/>
      <c r="E5" s="1004"/>
      <c r="F5" s="1004"/>
    </row>
    <row r="6" spans="1:13" ht="33" customHeight="1" x14ac:dyDescent="0.2">
      <c r="A6" s="1820" t="s">
        <v>153</v>
      </c>
      <c r="B6" s="1820"/>
      <c r="D6" s="1821">
        <f>('DATOS &lt;'!E8)</f>
        <v>0</v>
      </c>
      <c r="E6" s="1821"/>
      <c r="F6" s="1821"/>
      <c r="G6" s="1821"/>
      <c r="H6" s="1821"/>
      <c r="I6" s="1821"/>
      <c r="J6" s="1821"/>
    </row>
    <row r="7" spans="1:13" ht="33" customHeight="1" x14ac:dyDescent="0.2">
      <c r="A7" s="1820" t="s">
        <v>154</v>
      </c>
      <c r="B7" s="1820"/>
      <c r="C7" s="968"/>
      <c r="D7" s="1821">
        <f>'DATOS &lt;'!F8</f>
        <v>0</v>
      </c>
      <c r="E7" s="1821"/>
      <c r="F7" s="1821"/>
      <c r="G7" s="1821"/>
      <c r="H7" s="1821"/>
      <c r="I7" s="1821"/>
      <c r="J7" s="1821"/>
    </row>
    <row r="8" spans="1:13" ht="33" customHeight="1" x14ac:dyDescent="0.2">
      <c r="A8" s="1820" t="s">
        <v>155</v>
      </c>
      <c r="B8" s="1820"/>
      <c r="D8" s="1821" t="str">
        <f>PROPER('DATOS &lt;'!C8)</f>
        <v/>
      </c>
      <c r="E8" s="1821"/>
      <c r="F8" s="1821"/>
      <c r="G8" s="1821"/>
    </row>
    <row r="9" spans="1:13" ht="23.1" customHeight="1" x14ac:dyDescent="0.2">
      <c r="A9" s="1005"/>
      <c r="B9" s="1005"/>
      <c r="D9" s="1005"/>
      <c r="E9" s="1005"/>
      <c r="F9" s="1004"/>
    </row>
    <row r="10" spans="1:13" ht="33" customHeight="1" x14ac:dyDescent="0.2">
      <c r="A10" s="1820" t="s">
        <v>156</v>
      </c>
      <c r="B10" s="1820"/>
      <c r="C10" s="1820"/>
      <c r="D10" s="1822">
        <f>'DATOS &lt;'!D8</f>
        <v>0</v>
      </c>
      <c r="E10" s="1822"/>
      <c r="G10" s="968"/>
      <c r="H10" s="1860" t="s">
        <v>157</v>
      </c>
      <c r="I10" s="1860"/>
      <c r="J10" s="1860"/>
      <c r="K10" s="1822" t="e">
        <f>'10 kg &lt;'!E4</f>
        <v>#N/A</v>
      </c>
      <c r="L10" s="1822"/>
    </row>
    <row r="11" spans="1:13" ht="23.1" customHeight="1" x14ac:dyDescent="0.2">
      <c r="A11" s="1004"/>
      <c r="B11" s="1004"/>
      <c r="C11" s="1004"/>
      <c r="D11" s="1004"/>
      <c r="E11" s="1004"/>
      <c r="F11" s="1004"/>
    </row>
    <row r="12" spans="1:13" ht="33" customHeight="1" x14ac:dyDescent="0.2">
      <c r="A12" s="1815" t="s">
        <v>158</v>
      </c>
      <c r="B12" s="1815"/>
      <c r="C12" s="1815"/>
      <c r="D12" s="1815"/>
      <c r="E12" s="1815"/>
      <c r="F12" s="1815"/>
      <c r="G12" s="1815"/>
      <c r="H12" s="1815"/>
      <c r="I12" s="1815"/>
      <c r="J12" s="1815"/>
    </row>
    <row r="13" spans="1:13" ht="24.95" customHeight="1" x14ac:dyDescent="0.2">
      <c r="A13" s="411"/>
      <c r="B13" s="411"/>
      <c r="C13" s="411"/>
      <c r="D13" s="411"/>
      <c r="E13" s="411"/>
      <c r="F13" s="1004"/>
    </row>
    <row r="14" spans="1:13" ht="33" customHeight="1" x14ac:dyDescent="0.2">
      <c r="A14" s="1820" t="s">
        <v>159</v>
      </c>
      <c r="B14" s="1820"/>
      <c r="C14" s="1820"/>
      <c r="D14" s="1875" t="s">
        <v>534</v>
      </c>
      <c r="E14" s="1875"/>
      <c r="F14" s="1875"/>
      <c r="G14" s="1875"/>
      <c r="H14" s="1875"/>
      <c r="I14" s="1875"/>
      <c r="J14" s="1875"/>
    </row>
    <row r="15" spans="1:13" ht="33" customHeight="1" x14ac:dyDescent="0.2">
      <c r="A15" s="1820" t="s">
        <v>161</v>
      </c>
      <c r="B15" s="1820"/>
      <c r="C15" s="1820"/>
      <c r="D15" s="1828" t="str">
        <f>PROPER('DATOS &lt;'!D48)</f>
        <v/>
      </c>
      <c r="E15" s="1874"/>
      <c r="F15" s="1874"/>
      <c r="G15" s="1874"/>
      <c r="H15" s="1005"/>
      <c r="I15" s="1005"/>
      <c r="J15" s="1005"/>
    </row>
    <row r="16" spans="1:13" ht="33" customHeight="1" x14ac:dyDescent="0.2">
      <c r="A16" s="1820" t="s">
        <v>162</v>
      </c>
      <c r="B16" s="1820"/>
      <c r="C16" s="1820"/>
      <c r="D16" s="1829">
        <f>'DATOS &lt;'!E48</f>
        <v>0</v>
      </c>
      <c r="E16" s="1829"/>
      <c r="F16" s="1829"/>
      <c r="G16" s="1829"/>
      <c r="H16" s="1005"/>
      <c r="I16" s="1005"/>
      <c r="J16" s="1005"/>
    </row>
    <row r="17" spans="1:13" ht="33" customHeight="1" x14ac:dyDescent="0.2">
      <c r="A17" s="1820" t="s">
        <v>163</v>
      </c>
      <c r="B17" s="1820"/>
      <c r="C17" s="1820"/>
      <c r="D17" s="1874" t="s">
        <v>535</v>
      </c>
      <c r="E17" s="1874"/>
      <c r="F17" s="1822"/>
      <c r="G17" s="1822"/>
    </row>
    <row r="18" spans="1:13" ht="30" customHeight="1" x14ac:dyDescent="0.2">
      <c r="A18" s="1005"/>
      <c r="B18" s="1005"/>
      <c r="C18" s="1005"/>
      <c r="D18" s="1006"/>
      <c r="E18" s="1005"/>
      <c r="F18" s="1005"/>
      <c r="G18" s="1005"/>
    </row>
    <row r="19" spans="1:13" ht="33" customHeight="1" x14ac:dyDescent="0.2">
      <c r="A19" s="1820" t="s">
        <v>164</v>
      </c>
      <c r="B19" s="1820"/>
      <c r="C19" s="1820"/>
      <c r="D19" s="1820"/>
      <c r="E19" s="1820"/>
      <c r="F19" s="1826">
        <f>'DATOS &lt;'!C80</f>
        <v>32</v>
      </c>
      <c r="G19" s="1826"/>
      <c r="H19" s="1826"/>
      <c r="I19" s="1826"/>
      <c r="J19" s="1826"/>
    </row>
    <row r="20" spans="1:13" ht="30" customHeight="1" x14ac:dyDescent="0.2">
      <c r="A20" s="1005"/>
      <c r="B20" s="1005"/>
      <c r="C20" s="1005"/>
      <c r="D20" s="1005"/>
      <c r="E20" s="1005"/>
      <c r="F20" s="1005"/>
      <c r="G20" s="1004"/>
    </row>
    <row r="21" spans="1:13" ht="33" customHeight="1" x14ac:dyDescent="0.2">
      <c r="A21" s="1815" t="s">
        <v>165</v>
      </c>
      <c r="B21" s="1815"/>
      <c r="C21" s="1815"/>
      <c r="D21" s="1815"/>
      <c r="E21" s="1815"/>
      <c r="F21" s="1815"/>
    </row>
    <row r="22" spans="1:13" ht="30" customHeight="1" x14ac:dyDescent="0.2">
      <c r="A22" s="1821">
        <f>'DATOS &lt;'!G8</f>
        <v>0</v>
      </c>
      <c r="B22" s="1821"/>
      <c r="C22" s="1821"/>
      <c r="D22" s="1821"/>
      <c r="E22" s="1821"/>
      <c r="F22" s="1821"/>
      <c r="G22" s="1821"/>
      <c r="H22" s="1821"/>
      <c r="I22" s="1821"/>
      <c r="J22" s="1821"/>
      <c r="K22" s="1821"/>
      <c r="L22" s="1821"/>
      <c r="M22" s="1821"/>
    </row>
    <row r="23" spans="1:13" ht="30" customHeight="1" x14ac:dyDescent="0.2">
      <c r="B23" s="1815"/>
      <c r="C23" s="1815"/>
      <c r="D23" s="1815"/>
      <c r="E23" s="1815"/>
      <c r="F23" s="411"/>
      <c r="G23" s="1005"/>
    </row>
    <row r="24" spans="1:13" ht="33" customHeight="1" x14ac:dyDescent="0.2">
      <c r="A24" s="1815" t="s">
        <v>166</v>
      </c>
      <c r="B24" s="1815"/>
      <c r="C24" s="1815"/>
      <c r="D24" s="1815"/>
      <c r="E24" s="1843">
        <f>'DATOS &lt;'!I8</f>
        <v>0</v>
      </c>
      <c r="F24" s="1843"/>
    </row>
    <row r="25" spans="1:13" ht="30" customHeight="1" x14ac:dyDescent="0.25">
      <c r="A25" s="1005"/>
      <c r="B25" s="1005"/>
      <c r="C25" s="1005"/>
      <c r="D25" s="1005"/>
      <c r="E25" s="1005"/>
      <c r="F25" s="1005"/>
      <c r="G25" s="412"/>
      <c r="H25" s="412"/>
      <c r="I25" s="1004"/>
      <c r="J25" s="1004"/>
    </row>
    <row r="26" spans="1:13" ht="33" customHeight="1" x14ac:dyDescent="0.2">
      <c r="A26" s="1816" t="s">
        <v>167</v>
      </c>
      <c r="B26" s="1816"/>
      <c r="C26" s="1816"/>
      <c r="D26" s="1816"/>
      <c r="E26" s="1816"/>
      <c r="F26" s="1816"/>
      <c r="G26" s="1816"/>
      <c r="H26" s="1816"/>
      <c r="I26" s="1816"/>
      <c r="J26" s="1816"/>
    </row>
    <row r="27" spans="1:13" ht="23.1" customHeight="1" x14ac:dyDescent="0.2">
      <c r="A27" s="408"/>
      <c r="B27" s="408"/>
      <c r="C27" s="408"/>
      <c r="D27" s="408"/>
      <c r="G27" s="1004"/>
    </row>
    <row r="28" spans="1:13" ht="45" customHeight="1" x14ac:dyDescent="0.2">
      <c r="A28" s="1824" t="s">
        <v>168</v>
      </c>
      <c r="B28" s="1824"/>
      <c r="C28" s="1824"/>
      <c r="D28" s="1824"/>
      <c r="E28" s="1824"/>
      <c r="F28" s="1824"/>
      <c r="G28" s="1824"/>
      <c r="H28" s="1824"/>
      <c r="I28" s="1824"/>
      <c r="J28" s="1824"/>
      <c r="K28" s="1824"/>
      <c r="L28" s="1824"/>
      <c r="M28" s="1824"/>
    </row>
    <row r="29" spans="1:13" ht="20.100000000000001" customHeight="1" x14ac:dyDescent="0.25">
      <c r="G29" s="412"/>
      <c r="H29" s="412"/>
      <c r="I29" s="1003"/>
      <c r="J29" s="1003"/>
    </row>
    <row r="30" spans="1:13" ht="125.1" customHeight="1" x14ac:dyDescent="0.25">
      <c r="G30" s="412"/>
      <c r="H30" s="412"/>
      <c r="I30" s="1003"/>
      <c r="J30" s="1003"/>
    </row>
    <row r="31" spans="1:13" ht="35.1" customHeight="1" x14ac:dyDescent="0.25">
      <c r="G31" s="412"/>
      <c r="H31" s="412"/>
      <c r="I31" s="1003"/>
      <c r="J31" s="1003"/>
    </row>
    <row r="32" spans="1:13" ht="65.099999999999994" customHeight="1" x14ac:dyDescent="0.2">
      <c r="J32" s="1814" t="s">
        <v>8</v>
      </c>
      <c r="K32" s="1814"/>
      <c r="L32" s="1815">
        <f>L3</f>
        <v>0</v>
      </c>
      <c r="M32" s="1815"/>
    </row>
    <row r="33" spans="1:13" ht="33" customHeight="1" x14ac:dyDescent="0.2">
      <c r="A33" s="1816" t="s">
        <v>169</v>
      </c>
      <c r="B33" s="1816"/>
      <c r="C33" s="1816"/>
      <c r="D33" s="1816"/>
      <c r="E33" s="1816"/>
      <c r="F33" s="1816"/>
      <c r="G33" s="1816"/>
      <c r="H33" s="1816"/>
      <c r="I33" s="1816"/>
      <c r="J33" s="1816"/>
    </row>
    <row r="34" spans="1:13" ht="15" customHeight="1" thickBot="1" x14ac:dyDescent="0.25">
      <c r="A34" s="1007"/>
      <c r="B34" s="1007"/>
      <c r="C34" s="1007"/>
      <c r="D34" s="1007"/>
      <c r="E34" s="1007"/>
      <c r="F34" s="1007"/>
      <c r="G34" s="1007"/>
      <c r="K34" s="1250"/>
    </row>
    <row r="35" spans="1:13" ht="65.099999999999994" customHeight="1" thickBot="1" x14ac:dyDescent="0.25">
      <c r="B35" s="1854" t="s">
        <v>170</v>
      </c>
      <c r="C35" s="1855"/>
      <c r="D35" s="1854" t="s">
        <v>171</v>
      </c>
      <c r="E35" s="1855"/>
      <c r="F35" s="1854" t="s">
        <v>172</v>
      </c>
      <c r="G35" s="1855"/>
      <c r="H35" s="1836" t="s">
        <v>173</v>
      </c>
      <c r="I35" s="1837"/>
      <c r="J35" s="1837"/>
      <c r="K35" s="1838"/>
    </row>
    <row r="36" spans="1:13" ht="65.099999999999994" customHeight="1" thickBot="1" x14ac:dyDescent="0.25">
      <c r="B36" s="1856"/>
      <c r="C36" s="1857"/>
      <c r="D36" s="1856"/>
      <c r="E36" s="1857"/>
      <c r="F36" s="1856"/>
      <c r="G36" s="1857"/>
      <c r="H36" s="1839" t="s">
        <v>174</v>
      </c>
      <c r="I36" s="1840"/>
      <c r="J36" s="1841" t="s">
        <v>175</v>
      </c>
      <c r="K36" s="1842"/>
    </row>
    <row r="37" spans="1:13" ht="65.099999999999994" customHeight="1" thickBot="1" x14ac:dyDescent="0.25">
      <c r="B37" s="1848" t="str">
        <f>D14</f>
        <v>Juego de pesas de 1 g a 10 kg</v>
      </c>
      <c r="C37" s="1849"/>
      <c r="D37" s="1850" t="s">
        <v>536</v>
      </c>
      <c r="E37" s="1851"/>
      <c r="F37" s="1852" t="e">
        <f>VLOOKUP($K$34,'DATOS &lt;'!B202:G215,1,FALSE)</f>
        <v>#N/A</v>
      </c>
      <c r="G37" s="1853"/>
      <c r="H37" s="1008" t="e">
        <f>VLOOKUP($K$34,'DATOS &lt;'!B202:G215,3,FALSE)</f>
        <v>#N/A</v>
      </c>
      <c r="I37" s="1009" t="s">
        <v>177</v>
      </c>
      <c r="J37" s="1010" t="e">
        <f>VLOOKUP($K$34,'DATOS &lt;'!B202:G215,5,FALSE)</f>
        <v>#N/A</v>
      </c>
      <c r="K37" s="1011" t="s">
        <v>178</v>
      </c>
    </row>
    <row r="38" spans="1:13" ht="39.950000000000003" hidden="1" customHeight="1" thickBot="1" x14ac:dyDescent="0.25">
      <c r="A38" s="1831"/>
      <c r="B38" s="1832"/>
      <c r="C38" s="1831"/>
      <c r="D38" s="1833"/>
      <c r="E38" s="1834"/>
      <c r="F38" s="1832"/>
      <c r="G38" s="1012"/>
      <c r="H38" s="1013"/>
      <c r="I38" s="1012"/>
      <c r="J38" s="1014"/>
    </row>
    <row r="39" spans="1:13" ht="27" customHeight="1" x14ac:dyDescent="0.2"/>
    <row r="40" spans="1:13" ht="27" customHeight="1" x14ac:dyDescent="0.2">
      <c r="A40" s="1816" t="s">
        <v>179</v>
      </c>
      <c r="B40" s="1816"/>
      <c r="C40" s="1816"/>
      <c r="D40" s="1816"/>
      <c r="E40" s="1816"/>
      <c r="F40" s="1816"/>
      <c r="G40" s="1816"/>
      <c r="H40" s="1816"/>
      <c r="I40" s="1816"/>
      <c r="J40" s="1816"/>
      <c r="M40" s="1284"/>
    </row>
    <row r="41" spans="1:13" ht="23.25" customHeight="1" x14ac:dyDescent="0.2">
      <c r="B41" s="968"/>
      <c r="C41" s="968"/>
      <c r="E41" s="968"/>
      <c r="F41" s="968"/>
      <c r="G41" s="968"/>
      <c r="H41" s="968"/>
      <c r="I41" s="968"/>
      <c r="J41" s="968"/>
      <c r="K41" s="968"/>
      <c r="L41" s="968"/>
      <c r="M41" s="968"/>
    </row>
    <row r="42" spans="1:13" ht="90" customHeight="1" x14ac:dyDescent="0.2">
      <c r="A42" s="1835" t="e">
        <f>VLOOKUP($M$40,'DATOS &lt;'!$I$115:$L$118,2,FALSE)</f>
        <v>#N/A</v>
      </c>
      <c r="B42" s="1835"/>
      <c r="C42" s="1835"/>
      <c r="D42" s="1835"/>
      <c r="E42" s="1835"/>
      <c r="F42" s="1835"/>
      <c r="G42" s="1835"/>
      <c r="H42" s="1835"/>
      <c r="I42" s="1835"/>
      <c r="J42" s="1835"/>
      <c r="K42" s="1835"/>
      <c r="L42" s="1835"/>
      <c r="M42" s="1835"/>
    </row>
    <row r="43" spans="1:13" ht="20.100000000000001" customHeight="1" thickBot="1" x14ac:dyDescent="0.25">
      <c r="A43" s="1015"/>
      <c r="B43" s="1015"/>
      <c r="C43" s="1015"/>
      <c r="D43" s="1015"/>
      <c r="E43" s="1015"/>
      <c r="F43" s="1015"/>
      <c r="G43" s="1015"/>
      <c r="H43" s="1015"/>
      <c r="I43" s="1015"/>
      <c r="J43" s="1015"/>
    </row>
    <row r="44" spans="1:13" ht="65.099999999999994" customHeight="1" thickBot="1" x14ac:dyDescent="0.25">
      <c r="B44" s="1847" t="s">
        <v>180</v>
      </c>
      <c r="C44" s="1847"/>
      <c r="D44" s="1847"/>
      <c r="E44" s="242" t="s">
        <v>11</v>
      </c>
      <c r="F44" s="242" t="s">
        <v>12</v>
      </c>
      <c r="G44" s="224" t="s">
        <v>3</v>
      </c>
      <c r="H44" s="1847" t="s">
        <v>181</v>
      </c>
      <c r="I44" s="1847"/>
      <c r="J44" s="1847" t="s">
        <v>5</v>
      </c>
      <c r="K44" s="1847"/>
    </row>
    <row r="45" spans="1:13" ht="65.099999999999994" customHeight="1" thickBot="1" x14ac:dyDescent="0.25">
      <c r="B45" s="1880" t="s">
        <v>537</v>
      </c>
      <c r="C45" s="1880"/>
      <c r="D45" s="1880"/>
      <c r="E45" s="225" t="s">
        <v>538</v>
      </c>
      <c r="F45" s="413" t="e">
        <f>VLOOKUP('1 g &lt;'!$E$6,'DATOS &lt;'!N7:AC135,3,FALSE)</f>
        <v>#N/A</v>
      </c>
      <c r="G45" s="1016" t="e">
        <f>VLOOKUP('1 g &lt;'!$E$6,'DATOS &lt;'!N7:AC135,16,FALSE)</f>
        <v>#N/A</v>
      </c>
      <c r="H45" s="1845" t="e">
        <f>VLOOKUP('1 g &lt;'!$E$6,'DATOS &lt;'!N7:AB135,6,FALSE)</f>
        <v>#N/A</v>
      </c>
      <c r="I45" s="1845"/>
      <c r="J45" s="1846" t="e">
        <f>VLOOKUP('1 g &lt;'!$E$6,'DATOS &lt;'!N7:AC135,7,FALSE)</f>
        <v>#N/A</v>
      </c>
      <c r="K45" s="1846"/>
    </row>
    <row r="46" spans="1:13" ht="65.099999999999994" customHeight="1" thickBot="1" x14ac:dyDescent="0.25">
      <c r="B46" s="1883" t="s">
        <v>539</v>
      </c>
      <c r="C46" s="1883"/>
      <c r="D46" s="1883"/>
      <c r="E46" s="225" t="s">
        <v>538</v>
      </c>
      <c r="F46" s="413" t="e">
        <f>VLOOKUP('10 kg &lt;'!$E$6,'DATOS &lt;'!N7:AC135,3,FALSE)</f>
        <v>#N/A</v>
      </c>
      <c r="G46" s="1016" t="e">
        <f>VLOOKUP('10 kg &lt;'!$E$6,'DATOS &lt;'!N7:AC135,16,FALSE)</f>
        <v>#N/A</v>
      </c>
      <c r="H46" s="1876" t="e">
        <f>VLOOKUP('10 kg &lt;'!$E$6,'DATOS &lt;'!N7:AC135,6,FALSE)</f>
        <v>#N/A</v>
      </c>
      <c r="I46" s="1845"/>
      <c r="J46" s="1846" t="e">
        <f>VLOOKUP('10 kg &lt;'!$E$6,'DATOS &lt;'!N7:AC135,7,FALSE)</f>
        <v>#N/A</v>
      </c>
      <c r="K46" s="1846"/>
    </row>
    <row r="47" spans="1:13" ht="27" customHeight="1" x14ac:dyDescent="0.2">
      <c r="A47" s="409"/>
      <c r="B47" s="409"/>
      <c r="C47" s="409"/>
      <c r="D47" s="226"/>
      <c r="E47" s="409"/>
      <c r="F47" s="409"/>
      <c r="G47" s="409"/>
      <c r="H47" s="409"/>
      <c r="I47" s="227"/>
      <c r="J47" s="227"/>
    </row>
    <row r="48" spans="1:13" ht="33" customHeight="1" x14ac:dyDescent="0.2">
      <c r="A48" s="1815" t="s">
        <v>183</v>
      </c>
      <c r="B48" s="1815"/>
      <c r="C48" s="1815"/>
      <c r="D48" s="1815"/>
      <c r="E48" s="1815"/>
      <c r="F48" s="1815"/>
      <c r="G48" s="1815"/>
      <c r="H48" s="1815"/>
      <c r="I48" s="1815"/>
      <c r="J48" s="1815"/>
    </row>
    <row r="49" spans="1:1020 1029:2040 2049:3070 3079:4090 4099:5120 5129:6140 6149:7160 7169:8190 8199:9210 9219:10240 10249:11260 11269:12280 12289:13310 13319:14330 14339:15360 15369:16380" ht="20.100000000000001" customHeight="1" x14ac:dyDescent="0.2">
      <c r="A49" s="223"/>
      <c r="B49" s="223"/>
    </row>
    <row r="50" spans="1:1020 1029:2040 2049:3070 3079:4090 4099:5120 5129:6140 6149:7160 7169:8190 8199:9210 9219:10240 10249:11260 11269:12280 12289:13310 13319:14330 14339:15360 15369:16380" ht="54.95" customHeight="1" x14ac:dyDescent="0.2">
      <c r="A50" s="1824" t="s">
        <v>597</v>
      </c>
      <c r="B50" s="1824"/>
      <c r="C50" s="1824"/>
      <c r="D50" s="1824"/>
      <c r="E50" s="1824"/>
      <c r="F50" s="1824"/>
      <c r="G50" s="1824"/>
      <c r="H50" s="1824"/>
      <c r="I50" s="1824"/>
      <c r="J50" s="1824"/>
      <c r="K50" s="1824"/>
      <c r="L50" s="1824"/>
      <c r="M50" s="1824"/>
    </row>
    <row r="51" spans="1:1020 1029:2040 2049:3070 3079:4090 4099:5120 5129:6140 6149:7160 7169:8190 8199:9210 9219:10240 10249:11260 11269:12280 12289:13310 13319:14330 14339:15360 15369:16380" ht="33" customHeight="1" x14ac:dyDescent="0.2">
      <c r="A51" s="1017"/>
      <c r="B51" s="1017"/>
      <c r="C51" s="1017"/>
      <c r="D51" s="1017"/>
      <c r="E51" s="1017"/>
      <c r="F51" s="1017"/>
      <c r="G51" s="1017"/>
      <c r="H51" s="1017"/>
      <c r="I51" s="1017"/>
      <c r="J51" s="1017"/>
    </row>
    <row r="52" spans="1:1020 1029:2040 2049:3070 3079:4090 4099:5120 5129:6140 6149:7160 7169:8190 8199:9210 9219:10240 10249:11260 11269:12280 12289:13310 13319:14330 14339:15360 15369:16380" ht="125.1" customHeight="1" x14ac:dyDescent="0.2">
      <c r="A52" s="1881"/>
      <c r="B52" s="1881"/>
      <c r="C52" s="1881"/>
      <c r="D52" s="1881"/>
      <c r="E52" s="1881"/>
      <c r="F52" s="1881"/>
      <c r="G52" s="1881"/>
      <c r="H52" s="1881"/>
      <c r="I52" s="1881"/>
      <c r="J52" s="1881"/>
      <c r="K52" s="1881"/>
      <c r="L52" s="1881"/>
      <c r="M52" s="1881"/>
    </row>
    <row r="53" spans="1:1020 1029:2040 2049:3070 3079:4090 4099:5120 5129:6140 6149:7160 7169:8190 8199:9210 9219:10240 10249:11260 11269:12280 12289:13310 13319:14330 14339:15360 15369:16380" ht="35.1" customHeight="1" x14ac:dyDescent="0.2">
      <c r="A53" s="1017"/>
      <c r="B53" s="1017"/>
      <c r="C53" s="1017"/>
      <c r="D53" s="1017"/>
      <c r="E53" s="1017"/>
      <c r="F53" s="1017"/>
    </row>
    <row r="54" spans="1:1020 1029:2040 2049:3070 3079:4090 4099:5120 5129:6140 6149:7160 7169:8190 8199:9210 9219:10240 10249:11260 11269:12280 12289:13310 13319:14330 14339:15360 15369:16380" ht="65.099999999999994" customHeight="1" x14ac:dyDescent="0.2">
      <c r="A54" s="1017"/>
      <c r="B54" s="1017"/>
      <c r="C54" s="1017"/>
      <c r="D54" s="1017"/>
      <c r="E54" s="1017"/>
      <c r="F54" s="1017"/>
      <c r="J54" s="1814" t="s">
        <v>8</v>
      </c>
      <c r="K54" s="1814"/>
      <c r="L54" s="1815">
        <f>L3</f>
        <v>0</v>
      </c>
      <c r="M54" s="1815"/>
    </row>
    <row r="55" spans="1:1020 1029:2040 2049:3070 3079:4090 4099:5120 5129:6140 6149:7160 7169:8190 8199:9210 9219:10240 10249:11260 11269:12280 12289:13310 13319:14330 14339:15360 15369:16380" ht="23.1" customHeight="1" x14ac:dyDescent="0.2">
      <c r="A55" s="1815" t="s">
        <v>184</v>
      </c>
      <c r="B55" s="1815"/>
      <c r="C55" s="1815"/>
      <c r="D55" s="1815"/>
      <c r="E55" s="1815"/>
      <c r="F55" s="1815"/>
      <c r="G55" s="1815"/>
      <c r="H55" s="1815"/>
      <c r="I55" s="1815"/>
      <c r="J55" s="1815"/>
    </row>
    <row r="56" spans="1:1020 1029:2040 2049:3070 3079:4090 4099:5120 5129:6140 6149:7160 7169:8190 8199:9210 9219:10240 10249:11260 11269:12280 12289:13310 13319:14330 14339:15360 15369:16380" ht="20.100000000000001" customHeight="1" thickBot="1" x14ac:dyDescent="0.25">
      <c r="A56" s="223"/>
      <c r="B56" s="223"/>
      <c r="S56" s="223"/>
      <c r="T56" s="223"/>
      <c r="AC56" s="223"/>
      <c r="AD56" s="223"/>
      <c r="AM56" s="223"/>
      <c r="AN56" s="223"/>
      <c r="AW56" s="223"/>
      <c r="AX56" s="223"/>
      <c r="BG56" s="223"/>
      <c r="BH56" s="223"/>
      <c r="BQ56" s="223"/>
      <c r="BR56" s="223"/>
      <c r="CA56" s="223"/>
      <c r="CB56" s="223"/>
      <c r="CK56" s="223"/>
      <c r="CL56" s="223"/>
      <c r="CU56" s="223"/>
      <c r="CV56" s="223"/>
      <c r="DE56" s="223"/>
      <c r="DF56" s="223"/>
      <c r="DO56" s="223"/>
      <c r="DP56" s="223"/>
      <c r="DY56" s="223"/>
      <c r="DZ56" s="223"/>
      <c r="EI56" s="223"/>
      <c r="EJ56" s="223"/>
      <c r="ES56" s="223"/>
      <c r="ET56" s="223"/>
      <c r="FC56" s="223"/>
      <c r="FD56" s="223"/>
      <c r="FM56" s="223"/>
      <c r="FN56" s="223"/>
      <c r="FW56" s="223"/>
      <c r="FX56" s="223"/>
      <c r="GG56" s="223"/>
      <c r="GH56" s="223"/>
      <c r="GQ56" s="223"/>
      <c r="GR56" s="223"/>
      <c r="HA56" s="223"/>
      <c r="HB56" s="223"/>
      <c r="HK56" s="223"/>
      <c r="HL56" s="223"/>
      <c r="HU56" s="223"/>
      <c r="HV56" s="223"/>
      <c r="IE56" s="223"/>
      <c r="IF56" s="223"/>
      <c r="IO56" s="223"/>
      <c r="IP56" s="223"/>
      <c r="IY56" s="223"/>
      <c r="IZ56" s="223"/>
      <c r="JI56" s="223"/>
      <c r="JJ56" s="223"/>
      <c r="JS56" s="223"/>
      <c r="JT56" s="223"/>
      <c r="KC56" s="223"/>
      <c r="KD56" s="223"/>
      <c r="KM56" s="223"/>
      <c r="KN56" s="223"/>
      <c r="KW56" s="223"/>
      <c r="KX56" s="223"/>
      <c r="LG56" s="223"/>
      <c r="LH56" s="223"/>
      <c r="LQ56" s="223"/>
      <c r="LR56" s="223"/>
      <c r="MA56" s="223"/>
      <c r="MB56" s="223"/>
      <c r="MK56" s="223"/>
      <c r="ML56" s="223"/>
      <c r="MU56" s="223"/>
      <c r="MV56" s="223"/>
      <c r="NE56" s="223"/>
      <c r="NF56" s="223"/>
      <c r="NO56" s="223"/>
      <c r="NP56" s="223"/>
      <c r="NY56" s="223"/>
      <c r="NZ56" s="223"/>
      <c r="OI56" s="223"/>
      <c r="OJ56" s="223"/>
      <c r="OS56" s="223"/>
      <c r="OT56" s="223"/>
      <c r="PC56" s="223"/>
      <c r="PD56" s="223"/>
      <c r="PM56" s="223"/>
      <c r="PN56" s="223"/>
      <c r="PW56" s="223"/>
      <c r="PX56" s="223"/>
      <c r="QG56" s="223"/>
      <c r="QH56" s="223"/>
      <c r="QQ56" s="223"/>
      <c r="QR56" s="223"/>
      <c r="RA56" s="223"/>
      <c r="RB56" s="223"/>
      <c r="RK56" s="223"/>
      <c r="RL56" s="223"/>
      <c r="RU56" s="223"/>
      <c r="RV56" s="223"/>
      <c r="SE56" s="223"/>
      <c r="SF56" s="223"/>
      <c r="SO56" s="223"/>
      <c r="SP56" s="223"/>
      <c r="SY56" s="223"/>
      <c r="SZ56" s="223"/>
      <c r="TI56" s="223"/>
      <c r="TJ56" s="223"/>
      <c r="TS56" s="223"/>
      <c r="TT56" s="223"/>
      <c r="UC56" s="223"/>
      <c r="UD56" s="223"/>
      <c r="UM56" s="223"/>
      <c r="UN56" s="223"/>
      <c r="UW56" s="223"/>
      <c r="UX56" s="223"/>
      <c r="VG56" s="223"/>
      <c r="VH56" s="223"/>
      <c r="VQ56" s="223"/>
      <c r="VR56" s="223"/>
      <c r="WA56" s="223"/>
      <c r="WB56" s="223"/>
      <c r="WK56" s="223"/>
      <c r="WL56" s="223"/>
      <c r="WU56" s="223"/>
      <c r="WV56" s="223"/>
      <c r="XE56" s="223"/>
      <c r="XF56" s="223"/>
      <c r="XO56" s="223"/>
      <c r="XP56" s="223"/>
      <c r="XY56" s="223"/>
      <c r="XZ56" s="223"/>
      <c r="YI56" s="223"/>
      <c r="YJ56" s="223"/>
      <c r="YS56" s="223"/>
      <c r="YT56" s="223"/>
      <c r="ZC56" s="223"/>
      <c r="ZD56" s="223"/>
      <c r="ZM56" s="223"/>
      <c r="ZN56" s="223"/>
      <c r="ZW56" s="223"/>
      <c r="ZX56" s="223"/>
      <c r="AAG56" s="223"/>
      <c r="AAH56" s="223"/>
      <c r="AAQ56" s="223"/>
      <c r="AAR56" s="223"/>
      <c r="ABA56" s="223"/>
      <c r="ABB56" s="223"/>
      <c r="ABK56" s="223"/>
      <c r="ABL56" s="223"/>
      <c r="ABU56" s="223"/>
      <c r="ABV56" s="223"/>
      <c r="ACE56" s="223"/>
      <c r="ACF56" s="223"/>
      <c r="ACO56" s="223"/>
      <c r="ACP56" s="223"/>
      <c r="ACY56" s="223"/>
      <c r="ACZ56" s="223"/>
      <c r="ADI56" s="223"/>
      <c r="ADJ56" s="223"/>
      <c r="ADS56" s="223"/>
      <c r="ADT56" s="223"/>
      <c r="AEC56" s="223"/>
      <c r="AED56" s="223"/>
      <c r="AEM56" s="223"/>
      <c r="AEN56" s="223"/>
      <c r="AEW56" s="223"/>
      <c r="AEX56" s="223"/>
      <c r="AFG56" s="223"/>
      <c r="AFH56" s="223"/>
      <c r="AFQ56" s="223"/>
      <c r="AFR56" s="223"/>
      <c r="AGA56" s="223"/>
      <c r="AGB56" s="223"/>
      <c r="AGK56" s="223"/>
      <c r="AGL56" s="223"/>
      <c r="AGU56" s="223"/>
      <c r="AGV56" s="223"/>
      <c r="AHE56" s="223"/>
      <c r="AHF56" s="223"/>
      <c r="AHO56" s="223"/>
      <c r="AHP56" s="223"/>
      <c r="AHY56" s="223"/>
      <c r="AHZ56" s="223"/>
      <c r="AII56" s="223"/>
      <c r="AIJ56" s="223"/>
      <c r="AIS56" s="223"/>
      <c r="AIT56" s="223"/>
      <c r="AJC56" s="223"/>
      <c r="AJD56" s="223"/>
      <c r="AJM56" s="223"/>
      <c r="AJN56" s="223"/>
      <c r="AJW56" s="223"/>
      <c r="AJX56" s="223"/>
      <c r="AKG56" s="223"/>
      <c r="AKH56" s="223"/>
      <c r="AKQ56" s="223"/>
      <c r="AKR56" s="223"/>
      <c r="ALA56" s="223"/>
      <c r="ALB56" s="223"/>
      <c r="ALK56" s="223"/>
      <c r="ALL56" s="223"/>
      <c r="ALU56" s="223"/>
      <c r="ALV56" s="223"/>
      <c r="AME56" s="223"/>
      <c r="AMF56" s="223"/>
      <c r="AMO56" s="223"/>
      <c r="AMP56" s="223"/>
      <c r="AMY56" s="223"/>
      <c r="AMZ56" s="223"/>
      <c r="ANI56" s="223"/>
      <c r="ANJ56" s="223"/>
      <c r="ANS56" s="223"/>
      <c r="ANT56" s="223"/>
      <c r="AOC56" s="223"/>
      <c r="AOD56" s="223"/>
      <c r="AOM56" s="223"/>
      <c r="AON56" s="223"/>
      <c r="AOW56" s="223"/>
      <c r="AOX56" s="223"/>
      <c r="APG56" s="223"/>
      <c r="APH56" s="223"/>
      <c r="APQ56" s="223"/>
      <c r="APR56" s="223"/>
      <c r="AQA56" s="223"/>
      <c r="AQB56" s="223"/>
      <c r="AQK56" s="223"/>
      <c r="AQL56" s="223"/>
      <c r="AQU56" s="223"/>
      <c r="AQV56" s="223"/>
      <c r="ARE56" s="223"/>
      <c r="ARF56" s="223"/>
      <c r="ARO56" s="223"/>
      <c r="ARP56" s="223"/>
      <c r="ARY56" s="223"/>
      <c r="ARZ56" s="223"/>
      <c r="ASI56" s="223"/>
      <c r="ASJ56" s="223"/>
      <c r="ASS56" s="223"/>
      <c r="AST56" s="223"/>
      <c r="ATC56" s="223"/>
      <c r="ATD56" s="223"/>
      <c r="ATM56" s="223"/>
      <c r="ATN56" s="223"/>
      <c r="ATW56" s="223"/>
      <c r="ATX56" s="223"/>
      <c r="AUG56" s="223"/>
      <c r="AUH56" s="223"/>
      <c r="AUQ56" s="223"/>
      <c r="AUR56" s="223"/>
      <c r="AVA56" s="223"/>
      <c r="AVB56" s="223"/>
      <c r="AVK56" s="223"/>
      <c r="AVL56" s="223"/>
      <c r="AVU56" s="223"/>
      <c r="AVV56" s="223"/>
      <c r="AWE56" s="223"/>
      <c r="AWF56" s="223"/>
      <c r="AWO56" s="223"/>
      <c r="AWP56" s="223"/>
      <c r="AWY56" s="223"/>
      <c r="AWZ56" s="223"/>
      <c r="AXI56" s="223"/>
      <c r="AXJ56" s="223"/>
      <c r="AXS56" s="223"/>
      <c r="AXT56" s="223"/>
      <c r="AYC56" s="223"/>
      <c r="AYD56" s="223"/>
      <c r="AYM56" s="223"/>
      <c r="AYN56" s="223"/>
      <c r="AYW56" s="223"/>
      <c r="AYX56" s="223"/>
      <c r="AZG56" s="223"/>
      <c r="AZH56" s="223"/>
      <c r="AZQ56" s="223"/>
      <c r="AZR56" s="223"/>
      <c r="BAA56" s="223"/>
      <c r="BAB56" s="223"/>
      <c r="BAK56" s="223"/>
      <c r="BAL56" s="223"/>
      <c r="BAU56" s="223"/>
      <c r="BAV56" s="223"/>
      <c r="BBE56" s="223"/>
      <c r="BBF56" s="223"/>
      <c r="BBO56" s="223"/>
      <c r="BBP56" s="223"/>
      <c r="BBY56" s="223"/>
      <c r="BBZ56" s="223"/>
      <c r="BCI56" s="223"/>
      <c r="BCJ56" s="223"/>
      <c r="BCS56" s="223"/>
      <c r="BCT56" s="223"/>
      <c r="BDC56" s="223"/>
      <c r="BDD56" s="223"/>
      <c r="BDM56" s="223"/>
      <c r="BDN56" s="223"/>
      <c r="BDW56" s="223"/>
      <c r="BDX56" s="223"/>
      <c r="BEG56" s="223"/>
      <c r="BEH56" s="223"/>
      <c r="BEQ56" s="223"/>
      <c r="BER56" s="223"/>
      <c r="BFA56" s="223"/>
      <c r="BFB56" s="223"/>
      <c r="BFK56" s="223"/>
      <c r="BFL56" s="223"/>
      <c r="BFU56" s="223"/>
      <c r="BFV56" s="223"/>
      <c r="BGE56" s="223"/>
      <c r="BGF56" s="223"/>
      <c r="BGO56" s="223"/>
      <c r="BGP56" s="223"/>
      <c r="BGY56" s="223"/>
      <c r="BGZ56" s="223"/>
      <c r="BHI56" s="223"/>
      <c r="BHJ56" s="223"/>
      <c r="BHS56" s="223"/>
      <c r="BHT56" s="223"/>
      <c r="BIC56" s="223"/>
      <c r="BID56" s="223"/>
      <c r="BIM56" s="223"/>
      <c r="BIN56" s="223"/>
      <c r="BIW56" s="223"/>
      <c r="BIX56" s="223"/>
      <c r="BJG56" s="223"/>
      <c r="BJH56" s="223"/>
      <c r="BJQ56" s="223"/>
      <c r="BJR56" s="223"/>
      <c r="BKA56" s="223"/>
      <c r="BKB56" s="223"/>
      <c r="BKK56" s="223"/>
      <c r="BKL56" s="223"/>
      <c r="BKU56" s="223"/>
      <c r="BKV56" s="223"/>
      <c r="BLE56" s="223"/>
      <c r="BLF56" s="223"/>
      <c r="BLO56" s="223"/>
      <c r="BLP56" s="223"/>
      <c r="BLY56" s="223"/>
      <c r="BLZ56" s="223"/>
      <c r="BMI56" s="223"/>
      <c r="BMJ56" s="223"/>
      <c r="BMS56" s="223"/>
      <c r="BMT56" s="223"/>
      <c r="BNC56" s="223"/>
      <c r="BND56" s="223"/>
      <c r="BNM56" s="223"/>
      <c r="BNN56" s="223"/>
      <c r="BNW56" s="223"/>
      <c r="BNX56" s="223"/>
      <c r="BOG56" s="223"/>
      <c r="BOH56" s="223"/>
      <c r="BOQ56" s="223"/>
      <c r="BOR56" s="223"/>
      <c r="BPA56" s="223"/>
      <c r="BPB56" s="223"/>
      <c r="BPK56" s="223"/>
      <c r="BPL56" s="223"/>
      <c r="BPU56" s="223"/>
      <c r="BPV56" s="223"/>
      <c r="BQE56" s="223"/>
      <c r="BQF56" s="223"/>
      <c r="BQO56" s="223"/>
      <c r="BQP56" s="223"/>
      <c r="BQY56" s="223"/>
      <c r="BQZ56" s="223"/>
      <c r="BRI56" s="223"/>
      <c r="BRJ56" s="223"/>
      <c r="BRS56" s="223"/>
      <c r="BRT56" s="223"/>
      <c r="BSC56" s="223"/>
      <c r="BSD56" s="223"/>
      <c r="BSM56" s="223"/>
      <c r="BSN56" s="223"/>
      <c r="BSW56" s="223"/>
      <c r="BSX56" s="223"/>
      <c r="BTG56" s="223"/>
      <c r="BTH56" s="223"/>
      <c r="BTQ56" s="223"/>
      <c r="BTR56" s="223"/>
      <c r="BUA56" s="223"/>
      <c r="BUB56" s="223"/>
      <c r="BUK56" s="223"/>
      <c r="BUL56" s="223"/>
      <c r="BUU56" s="223"/>
      <c r="BUV56" s="223"/>
      <c r="BVE56" s="223"/>
      <c r="BVF56" s="223"/>
      <c r="BVO56" s="223"/>
      <c r="BVP56" s="223"/>
      <c r="BVY56" s="223"/>
      <c r="BVZ56" s="223"/>
      <c r="BWI56" s="223"/>
      <c r="BWJ56" s="223"/>
      <c r="BWS56" s="223"/>
      <c r="BWT56" s="223"/>
      <c r="BXC56" s="223"/>
      <c r="BXD56" s="223"/>
      <c r="BXM56" s="223"/>
      <c r="BXN56" s="223"/>
      <c r="BXW56" s="223"/>
      <c r="BXX56" s="223"/>
      <c r="BYG56" s="223"/>
      <c r="BYH56" s="223"/>
      <c r="BYQ56" s="223"/>
      <c r="BYR56" s="223"/>
      <c r="BZA56" s="223"/>
      <c r="BZB56" s="223"/>
      <c r="BZK56" s="223"/>
      <c r="BZL56" s="223"/>
      <c r="BZU56" s="223"/>
      <c r="BZV56" s="223"/>
      <c r="CAE56" s="223"/>
      <c r="CAF56" s="223"/>
      <c r="CAO56" s="223"/>
      <c r="CAP56" s="223"/>
      <c r="CAY56" s="223"/>
      <c r="CAZ56" s="223"/>
      <c r="CBI56" s="223"/>
      <c r="CBJ56" s="223"/>
      <c r="CBS56" s="223"/>
      <c r="CBT56" s="223"/>
      <c r="CCC56" s="223"/>
      <c r="CCD56" s="223"/>
      <c r="CCM56" s="223"/>
      <c r="CCN56" s="223"/>
      <c r="CCW56" s="223"/>
      <c r="CCX56" s="223"/>
      <c r="CDG56" s="223"/>
      <c r="CDH56" s="223"/>
      <c r="CDQ56" s="223"/>
      <c r="CDR56" s="223"/>
      <c r="CEA56" s="223"/>
      <c r="CEB56" s="223"/>
      <c r="CEK56" s="223"/>
      <c r="CEL56" s="223"/>
      <c r="CEU56" s="223"/>
      <c r="CEV56" s="223"/>
      <c r="CFE56" s="223"/>
      <c r="CFF56" s="223"/>
      <c r="CFO56" s="223"/>
      <c r="CFP56" s="223"/>
      <c r="CFY56" s="223"/>
      <c r="CFZ56" s="223"/>
      <c r="CGI56" s="223"/>
      <c r="CGJ56" s="223"/>
      <c r="CGS56" s="223"/>
      <c r="CGT56" s="223"/>
      <c r="CHC56" s="223"/>
      <c r="CHD56" s="223"/>
      <c r="CHM56" s="223"/>
      <c r="CHN56" s="223"/>
      <c r="CHW56" s="223"/>
      <c r="CHX56" s="223"/>
      <c r="CIG56" s="223"/>
      <c r="CIH56" s="223"/>
      <c r="CIQ56" s="223"/>
      <c r="CIR56" s="223"/>
      <c r="CJA56" s="223"/>
      <c r="CJB56" s="223"/>
      <c r="CJK56" s="223"/>
      <c r="CJL56" s="223"/>
      <c r="CJU56" s="223"/>
      <c r="CJV56" s="223"/>
      <c r="CKE56" s="223"/>
      <c r="CKF56" s="223"/>
      <c r="CKO56" s="223"/>
      <c r="CKP56" s="223"/>
      <c r="CKY56" s="223"/>
      <c r="CKZ56" s="223"/>
      <c r="CLI56" s="223"/>
      <c r="CLJ56" s="223"/>
      <c r="CLS56" s="223"/>
      <c r="CLT56" s="223"/>
      <c r="CMC56" s="223"/>
      <c r="CMD56" s="223"/>
      <c r="CMM56" s="223"/>
      <c r="CMN56" s="223"/>
      <c r="CMW56" s="223"/>
      <c r="CMX56" s="223"/>
      <c r="CNG56" s="223"/>
      <c r="CNH56" s="223"/>
      <c r="CNQ56" s="223"/>
      <c r="CNR56" s="223"/>
      <c r="COA56" s="223"/>
      <c r="COB56" s="223"/>
      <c r="COK56" s="223"/>
      <c r="COL56" s="223"/>
      <c r="COU56" s="223"/>
      <c r="COV56" s="223"/>
      <c r="CPE56" s="223"/>
      <c r="CPF56" s="223"/>
      <c r="CPO56" s="223"/>
      <c r="CPP56" s="223"/>
      <c r="CPY56" s="223"/>
      <c r="CPZ56" s="223"/>
      <c r="CQI56" s="223"/>
      <c r="CQJ56" s="223"/>
      <c r="CQS56" s="223"/>
      <c r="CQT56" s="223"/>
      <c r="CRC56" s="223"/>
      <c r="CRD56" s="223"/>
      <c r="CRM56" s="223"/>
      <c r="CRN56" s="223"/>
      <c r="CRW56" s="223"/>
      <c r="CRX56" s="223"/>
      <c r="CSG56" s="223"/>
      <c r="CSH56" s="223"/>
      <c r="CSQ56" s="223"/>
      <c r="CSR56" s="223"/>
      <c r="CTA56" s="223"/>
      <c r="CTB56" s="223"/>
      <c r="CTK56" s="223"/>
      <c r="CTL56" s="223"/>
      <c r="CTU56" s="223"/>
      <c r="CTV56" s="223"/>
      <c r="CUE56" s="223"/>
      <c r="CUF56" s="223"/>
      <c r="CUO56" s="223"/>
      <c r="CUP56" s="223"/>
      <c r="CUY56" s="223"/>
      <c r="CUZ56" s="223"/>
      <c r="CVI56" s="223"/>
      <c r="CVJ56" s="223"/>
      <c r="CVS56" s="223"/>
      <c r="CVT56" s="223"/>
      <c r="CWC56" s="223"/>
      <c r="CWD56" s="223"/>
      <c r="CWM56" s="223"/>
      <c r="CWN56" s="223"/>
      <c r="CWW56" s="223"/>
      <c r="CWX56" s="223"/>
      <c r="CXG56" s="223"/>
      <c r="CXH56" s="223"/>
      <c r="CXQ56" s="223"/>
      <c r="CXR56" s="223"/>
      <c r="CYA56" s="223"/>
      <c r="CYB56" s="223"/>
      <c r="CYK56" s="223"/>
      <c r="CYL56" s="223"/>
      <c r="CYU56" s="223"/>
      <c r="CYV56" s="223"/>
      <c r="CZE56" s="223"/>
      <c r="CZF56" s="223"/>
      <c r="CZO56" s="223"/>
      <c r="CZP56" s="223"/>
      <c r="CZY56" s="223"/>
      <c r="CZZ56" s="223"/>
      <c r="DAI56" s="223"/>
      <c r="DAJ56" s="223"/>
      <c r="DAS56" s="223"/>
      <c r="DAT56" s="223"/>
      <c r="DBC56" s="223"/>
      <c r="DBD56" s="223"/>
      <c r="DBM56" s="223"/>
      <c r="DBN56" s="223"/>
      <c r="DBW56" s="223"/>
      <c r="DBX56" s="223"/>
      <c r="DCG56" s="223"/>
      <c r="DCH56" s="223"/>
      <c r="DCQ56" s="223"/>
      <c r="DCR56" s="223"/>
      <c r="DDA56" s="223"/>
      <c r="DDB56" s="223"/>
      <c r="DDK56" s="223"/>
      <c r="DDL56" s="223"/>
      <c r="DDU56" s="223"/>
      <c r="DDV56" s="223"/>
      <c r="DEE56" s="223"/>
      <c r="DEF56" s="223"/>
      <c r="DEO56" s="223"/>
      <c r="DEP56" s="223"/>
      <c r="DEY56" s="223"/>
      <c r="DEZ56" s="223"/>
      <c r="DFI56" s="223"/>
      <c r="DFJ56" s="223"/>
      <c r="DFS56" s="223"/>
      <c r="DFT56" s="223"/>
      <c r="DGC56" s="223"/>
      <c r="DGD56" s="223"/>
      <c r="DGM56" s="223"/>
      <c r="DGN56" s="223"/>
      <c r="DGW56" s="223"/>
      <c r="DGX56" s="223"/>
      <c r="DHG56" s="223"/>
      <c r="DHH56" s="223"/>
      <c r="DHQ56" s="223"/>
      <c r="DHR56" s="223"/>
      <c r="DIA56" s="223"/>
      <c r="DIB56" s="223"/>
      <c r="DIK56" s="223"/>
      <c r="DIL56" s="223"/>
      <c r="DIU56" s="223"/>
      <c r="DIV56" s="223"/>
      <c r="DJE56" s="223"/>
      <c r="DJF56" s="223"/>
      <c r="DJO56" s="223"/>
      <c r="DJP56" s="223"/>
      <c r="DJY56" s="223"/>
      <c r="DJZ56" s="223"/>
      <c r="DKI56" s="223"/>
      <c r="DKJ56" s="223"/>
      <c r="DKS56" s="223"/>
      <c r="DKT56" s="223"/>
      <c r="DLC56" s="223"/>
      <c r="DLD56" s="223"/>
      <c r="DLM56" s="223"/>
      <c r="DLN56" s="223"/>
      <c r="DLW56" s="223"/>
      <c r="DLX56" s="223"/>
      <c r="DMG56" s="223"/>
      <c r="DMH56" s="223"/>
      <c r="DMQ56" s="223"/>
      <c r="DMR56" s="223"/>
      <c r="DNA56" s="223"/>
      <c r="DNB56" s="223"/>
      <c r="DNK56" s="223"/>
      <c r="DNL56" s="223"/>
      <c r="DNU56" s="223"/>
      <c r="DNV56" s="223"/>
      <c r="DOE56" s="223"/>
      <c r="DOF56" s="223"/>
      <c r="DOO56" s="223"/>
      <c r="DOP56" s="223"/>
      <c r="DOY56" s="223"/>
      <c r="DOZ56" s="223"/>
      <c r="DPI56" s="223"/>
      <c r="DPJ56" s="223"/>
      <c r="DPS56" s="223"/>
      <c r="DPT56" s="223"/>
      <c r="DQC56" s="223"/>
      <c r="DQD56" s="223"/>
      <c r="DQM56" s="223"/>
      <c r="DQN56" s="223"/>
      <c r="DQW56" s="223"/>
      <c r="DQX56" s="223"/>
      <c r="DRG56" s="223"/>
      <c r="DRH56" s="223"/>
      <c r="DRQ56" s="223"/>
      <c r="DRR56" s="223"/>
      <c r="DSA56" s="223"/>
      <c r="DSB56" s="223"/>
      <c r="DSK56" s="223"/>
      <c r="DSL56" s="223"/>
      <c r="DSU56" s="223"/>
      <c r="DSV56" s="223"/>
      <c r="DTE56" s="223"/>
      <c r="DTF56" s="223"/>
      <c r="DTO56" s="223"/>
      <c r="DTP56" s="223"/>
      <c r="DTY56" s="223"/>
      <c r="DTZ56" s="223"/>
      <c r="DUI56" s="223"/>
      <c r="DUJ56" s="223"/>
      <c r="DUS56" s="223"/>
      <c r="DUT56" s="223"/>
      <c r="DVC56" s="223"/>
      <c r="DVD56" s="223"/>
      <c r="DVM56" s="223"/>
      <c r="DVN56" s="223"/>
      <c r="DVW56" s="223"/>
      <c r="DVX56" s="223"/>
      <c r="DWG56" s="223"/>
      <c r="DWH56" s="223"/>
      <c r="DWQ56" s="223"/>
      <c r="DWR56" s="223"/>
      <c r="DXA56" s="223"/>
      <c r="DXB56" s="223"/>
      <c r="DXK56" s="223"/>
      <c r="DXL56" s="223"/>
      <c r="DXU56" s="223"/>
      <c r="DXV56" s="223"/>
      <c r="DYE56" s="223"/>
      <c r="DYF56" s="223"/>
      <c r="DYO56" s="223"/>
      <c r="DYP56" s="223"/>
      <c r="DYY56" s="223"/>
      <c r="DYZ56" s="223"/>
      <c r="DZI56" s="223"/>
      <c r="DZJ56" s="223"/>
      <c r="DZS56" s="223"/>
      <c r="DZT56" s="223"/>
      <c r="EAC56" s="223"/>
      <c r="EAD56" s="223"/>
      <c r="EAM56" s="223"/>
      <c r="EAN56" s="223"/>
      <c r="EAW56" s="223"/>
      <c r="EAX56" s="223"/>
      <c r="EBG56" s="223"/>
      <c r="EBH56" s="223"/>
      <c r="EBQ56" s="223"/>
      <c r="EBR56" s="223"/>
      <c r="ECA56" s="223"/>
      <c r="ECB56" s="223"/>
      <c r="ECK56" s="223"/>
      <c r="ECL56" s="223"/>
      <c r="ECU56" s="223"/>
      <c r="ECV56" s="223"/>
      <c r="EDE56" s="223"/>
      <c r="EDF56" s="223"/>
      <c r="EDO56" s="223"/>
      <c r="EDP56" s="223"/>
      <c r="EDY56" s="223"/>
      <c r="EDZ56" s="223"/>
      <c r="EEI56" s="223"/>
      <c r="EEJ56" s="223"/>
      <c r="EES56" s="223"/>
      <c r="EET56" s="223"/>
      <c r="EFC56" s="223"/>
      <c r="EFD56" s="223"/>
      <c r="EFM56" s="223"/>
      <c r="EFN56" s="223"/>
      <c r="EFW56" s="223"/>
      <c r="EFX56" s="223"/>
      <c r="EGG56" s="223"/>
      <c r="EGH56" s="223"/>
      <c r="EGQ56" s="223"/>
      <c r="EGR56" s="223"/>
      <c r="EHA56" s="223"/>
      <c r="EHB56" s="223"/>
      <c r="EHK56" s="223"/>
      <c r="EHL56" s="223"/>
      <c r="EHU56" s="223"/>
      <c r="EHV56" s="223"/>
      <c r="EIE56" s="223"/>
      <c r="EIF56" s="223"/>
      <c r="EIO56" s="223"/>
      <c r="EIP56" s="223"/>
      <c r="EIY56" s="223"/>
      <c r="EIZ56" s="223"/>
      <c r="EJI56" s="223"/>
      <c r="EJJ56" s="223"/>
      <c r="EJS56" s="223"/>
      <c r="EJT56" s="223"/>
      <c r="EKC56" s="223"/>
      <c r="EKD56" s="223"/>
      <c r="EKM56" s="223"/>
      <c r="EKN56" s="223"/>
      <c r="EKW56" s="223"/>
      <c r="EKX56" s="223"/>
      <c r="ELG56" s="223"/>
      <c r="ELH56" s="223"/>
      <c r="ELQ56" s="223"/>
      <c r="ELR56" s="223"/>
      <c r="EMA56" s="223"/>
      <c r="EMB56" s="223"/>
      <c r="EMK56" s="223"/>
      <c r="EML56" s="223"/>
      <c r="EMU56" s="223"/>
      <c r="EMV56" s="223"/>
      <c r="ENE56" s="223"/>
      <c r="ENF56" s="223"/>
      <c r="ENO56" s="223"/>
      <c r="ENP56" s="223"/>
      <c r="ENY56" s="223"/>
      <c r="ENZ56" s="223"/>
      <c r="EOI56" s="223"/>
      <c r="EOJ56" s="223"/>
      <c r="EOS56" s="223"/>
      <c r="EOT56" s="223"/>
      <c r="EPC56" s="223"/>
      <c r="EPD56" s="223"/>
      <c r="EPM56" s="223"/>
      <c r="EPN56" s="223"/>
      <c r="EPW56" s="223"/>
      <c r="EPX56" s="223"/>
      <c r="EQG56" s="223"/>
      <c r="EQH56" s="223"/>
      <c r="EQQ56" s="223"/>
      <c r="EQR56" s="223"/>
      <c r="ERA56" s="223"/>
      <c r="ERB56" s="223"/>
      <c r="ERK56" s="223"/>
      <c r="ERL56" s="223"/>
      <c r="ERU56" s="223"/>
      <c r="ERV56" s="223"/>
      <c r="ESE56" s="223"/>
      <c r="ESF56" s="223"/>
      <c r="ESO56" s="223"/>
      <c r="ESP56" s="223"/>
      <c r="ESY56" s="223"/>
      <c r="ESZ56" s="223"/>
      <c r="ETI56" s="223"/>
      <c r="ETJ56" s="223"/>
      <c r="ETS56" s="223"/>
      <c r="ETT56" s="223"/>
      <c r="EUC56" s="223"/>
      <c r="EUD56" s="223"/>
      <c r="EUM56" s="223"/>
      <c r="EUN56" s="223"/>
      <c r="EUW56" s="223"/>
      <c r="EUX56" s="223"/>
      <c r="EVG56" s="223"/>
      <c r="EVH56" s="223"/>
      <c r="EVQ56" s="223"/>
      <c r="EVR56" s="223"/>
      <c r="EWA56" s="223"/>
      <c r="EWB56" s="223"/>
      <c r="EWK56" s="223"/>
      <c r="EWL56" s="223"/>
      <c r="EWU56" s="223"/>
      <c r="EWV56" s="223"/>
      <c r="EXE56" s="223"/>
      <c r="EXF56" s="223"/>
      <c r="EXO56" s="223"/>
      <c r="EXP56" s="223"/>
      <c r="EXY56" s="223"/>
      <c r="EXZ56" s="223"/>
      <c r="EYI56" s="223"/>
      <c r="EYJ56" s="223"/>
      <c r="EYS56" s="223"/>
      <c r="EYT56" s="223"/>
      <c r="EZC56" s="223"/>
      <c r="EZD56" s="223"/>
      <c r="EZM56" s="223"/>
      <c r="EZN56" s="223"/>
      <c r="EZW56" s="223"/>
      <c r="EZX56" s="223"/>
      <c r="FAG56" s="223"/>
      <c r="FAH56" s="223"/>
      <c r="FAQ56" s="223"/>
      <c r="FAR56" s="223"/>
      <c r="FBA56" s="223"/>
      <c r="FBB56" s="223"/>
      <c r="FBK56" s="223"/>
      <c r="FBL56" s="223"/>
      <c r="FBU56" s="223"/>
      <c r="FBV56" s="223"/>
      <c r="FCE56" s="223"/>
      <c r="FCF56" s="223"/>
      <c r="FCO56" s="223"/>
      <c r="FCP56" s="223"/>
      <c r="FCY56" s="223"/>
      <c r="FCZ56" s="223"/>
      <c r="FDI56" s="223"/>
      <c r="FDJ56" s="223"/>
      <c r="FDS56" s="223"/>
      <c r="FDT56" s="223"/>
      <c r="FEC56" s="223"/>
      <c r="FED56" s="223"/>
      <c r="FEM56" s="223"/>
      <c r="FEN56" s="223"/>
      <c r="FEW56" s="223"/>
      <c r="FEX56" s="223"/>
      <c r="FFG56" s="223"/>
      <c r="FFH56" s="223"/>
      <c r="FFQ56" s="223"/>
      <c r="FFR56" s="223"/>
      <c r="FGA56" s="223"/>
      <c r="FGB56" s="223"/>
      <c r="FGK56" s="223"/>
      <c r="FGL56" s="223"/>
      <c r="FGU56" s="223"/>
      <c r="FGV56" s="223"/>
      <c r="FHE56" s="223"/>
      <c r="FHF56" s="223"/>
      <c r="FHO56" s="223"/>
      <c r="FHP56" s="223"/>
      <c r="FHY56" s="223"/>
      <c r="FHZ56" s="223"/>
      <c r="FII56" s="223"/>
      <c r="FIJ56" s="223"/>
      <c r="FIS56" s="223"/>
      <c r="FIT56" s="223"/>
      <c r="FJC56" s="223"/>
      <c r="FJD56" s="223"/>
      <c r="FJM56" s="223"/>
      <c r="FJN56" s="223"/>
      <c r="FJW56" s="223"/>
      <c r="FJX56" s="223"/>
      <c r="FKG56" s="223"/>
      <c r="FKH56" s="223"/>
      <c r="FKQ56" s="223"/>
      <c r="FKR56" s="223"/>
      <c r="FLA56" s="223"/>
      <c r="FLB56" s="223"/>
      <c r="FLK56" s="223"/>
      <c r="FLL56" s="223"/>
      <c r="FLU56" s="223"/>
      <c r="FLV56" s="223"/>
      <c r="FME56" s="223"/>
      <c r="FMF56" s="223"/>
      <c r="FMO56" s="223"/>
      <c r="FMP56" s="223"/>
      <c r="FMY56" s="223"/>
      <c r="FMZ56" s="223"/>
      <c r="FNI56" s="223"/>
      <c r="FNJ56" s="223"/>
      <c r="FNS56" s="223"/>
      <c r="FNT56" s="223"/>
      <c r="FOC56" s="223"/>
      <c r="FOD56" s="223"/>
      <c r="FOM56" s="223"/>
      <c r="FON56" s="223"/>
      <c r="FOW56" s="223"/>
      <c r="FOX56" s="223"/>
      <c r="FPG56" s="223"/>
      <c r="FPH56" s="223"/>
      <c r="FPQ56" s="223"/>
      <c r="FPR56" s="223"/>
      <c r="FQA56" s="223"/>
      <c r="FQB56" s="223"/>
      <c r="FQK56" s="223"/>
      <c r="FQL56" s="223"/>
      <c r="FQU56" s="223"/>
      <c r="FQV56" s="223"/>
      <c r="FRE56" s="223"/>
      <c r="FRF56" s="223"/>
      <c r="FRO56" s="223"/>
      <c r="FRP56" s="223"/>
      <c r="FRY56" s="223"/>
      <c r="FRZ56" s="223"/>
      <c r="FSI56" s="223"/>
      <c r="FSJ56" s="223"/>
      <c r="FSS56" s="223"/>
      <c r="FST56" s="223"/>
      <c r="FTC56" s="223"/>
      <c r="FTD56" s="223"/>
      <c r="FTM56" s="223"/>
      <c r="FTN56" s="223"/>
      <c r="FTW56" s="223"/>
      <c r="FTX56" s="223"/>
      <c r="FUG56" s="223"/>
      <c r="FUH56" s="223"/>
      <c r="FUQ56" s="223"/>
      <c r="FUR56" s="223"/>
      <c r="FVA56" s="223"/>
      <c r="FVB56" s="223"/>
      <c r="FVK56" s="223"/>
      <c r="FVL56" s="223"/>
      <c r="FVU56" s="223"/>
      <c r="FVV56" s="223"/>
      <c r="FWE56" s="223"/>
      <c r="FWF56" s="223"/>
      <c r="FWO56" s="223"/>
      <c r="FWP56" s="223"/>
      <c r="FWY56" s="223"/>
      <c r="FWZ56" s="223"/>
      <c r="FXI56" s="223"/>
      <c r="FXJ56" s="223"/>
      <c r="FXS56" s="223"/>
      <c r="FXT56" s="223"/>
      <c r="FYC56" s="223"/>
      <c r="FYD56" s="223"/>
      <c r="FYM56" s="223"/>
      <c r="FYN56" s="223"/>
      <c r="FYW56" s="223"/>
      <c r="FYX56" s="223"/>
      <c r="FZG56" s="223"/>
      <c r="FZH56" s="223"/>
      <c r="FZQ56" s="223"/>
      <c r="FZR56" s="223"/>
      <c r="GAA56" s="223"/>
      <c r="GAB56" s="223"/>
      <c r="GAK56" s="223"/>
      <c r="GAL56" s="223"/>
      <c r="GAU56" s="223"/>
      <c r="GAV56" s="223"/>
      <c r="GBE56" s="223"/>
      <c r="GBF56" s="223"/>
      <c r="GBO56" s="223"/>
      <c r="GBP56" s="223"/>
      <c r="GBY56" s="223"/>
      <c r="GBZ56" s="223"/>
      <c r="GCI56" s="223"/>
      <c r="GCJ56" s="223"/>
      <c r="GCS56" s="223"/>
      <c r="GCT56" s="223"/>
      <c r="GDC56" s="223"/>
      <c r="GDD56" s="223"/>
      <c r="GDM56" s="223"/>
      <c r="GDN56" s="223"/>
      <c r="GDW56" s="223"/>
      <c r="GDX56" s="223"/>
      <c r="GEG56" s="223"/>
      <c r="GEH56" s="223"/>
      <c r="GEQ56" s="223"/>
      <c r="GER56" s="223"/>
      <c r="GFA56" s="223"/>
      <c r="GFB56" s="223"/>
      <c r="GFK56" s="223"/>
      <c r="GFL56" s="223"/>
      <c r="GFU56" s="223"/>
      <c r="GFV56" s="223"/>
      <c r="GGE56" s="223"/>
      <c r="GGF56" s="223"/>
      <c r="GGO56" s="223"/>
      <c r="GGP56" s="223"/>
      <c r="GGY56" s="223"/>
      <c r="GGZ56" s="223"/>
      <c r="GHI56" s="223"/>
      <c r="GHJ56" s="223"/>
      <c r="GHS56" s="223"/>
      <c r="GHT56" s="223"/>
      <c r="GIC56" s="223"/>
      <c r="GID56" s="223"/>
      <c r="GIM56" s="223"/>
      <c r="GIN56" s="223"/>
      <c r="GIW56" s="223"/>
      <c r="GIX56" s="223"/>
      <c r="GJG56" s="223"/>
      <c r="GJH56" s="223"/>
      <c r="GJQ56" s="223"/>
      <c r="GJR56" s="223"/>
      <c r="GKA56" s="223"/>
      <c r="GKB56" s="223"/>
      <c r="GKK56" s="223"/>
      <c r="GKL56" s="223"/>
      <c r="GKU56" s="223"/>
      <c r="GKV56" s="223"/>
      <c r="GLE56" s="223"/>
      <c r="GLF56" s="223"/>
      <c r="GLO56" s="223"/>
      <c r="GLP56" s="223"/>
      <c r="GLY56" s="223"/>
      <c r="GLZ56" s="223"/>
      <c r="GMI56" s="223"/>
      <c r="GMJ56" s="223"/>
      <c r="GMS56" s="223"/>
      <c r="GMT56" s="223"/>
      <c r="GNC56" s="223"/>
      <c r="GND56" s="223"/>
      <c r="GNM56" s="223"/>
      <c r="GNN56" s="223"/>
      <c r="GNW56" s="223"/>
      <c r="GNX56" s="223"/>
      <c r="GOG56" s="223"/>
      <c r="GOH56" s="223"/>
      <c r="GOQ56" s="223"/>
      <c r="GOR56" s="223"/>
      <c r="GPA56" s="223"/>
      <c r="GPB56" s="223"/>
      <c r="GPK56" s="223"/>
      <c r="GPL56" s="223"/>
      <c r="GPU56" s="223"/>
      <c r="GPV56" s="223"/>
      <c r="GQE56" s="223"/>
      <c r="GQF56" s="223"/>
      <c r="GQO56" s="223"/>
      <c r="GQP56" s="223"/>
      <c r="GQY56" s="223"/>
      <c r="GQZ56" s="223"/>
      <c r="GRI56" s="223"/>
      <c r="GRJ56" s="223"/>
      <c r="GRS56" s="223"/>
      <c r="GRT56" s="223"/>
      <c r="GSC56" s="223"/>
      <c r="GSD56" s="223"/>
      <c r="GSM56" s="223"/>
      <c r="GSN56" s="223"/>
      <c r="GSW56" s="223"/>
      <c r="GSX56" s="223"/>
      <c r="GTG56" s="223"/>
      <c r="GTH56" s="223"/>
      <c r="GTQ56" s="223"/>
      <c r="GTR56" s="223"/>
      <c r="GUA56" s="223"/>
      <c r="GUB56" s="223"/>
      <c r="GUK56" s="223"/>
      <c r="GUL56" s="223"/>
      <c r="GUU56" s="223"/>
      <c r="GUV56" s="223"/>
      <c r="GVE56" s="223"/>
      <c r="GVF56" s="223"/>
      <c r="GVO56" s="223"/>
      <c r="GVP56" s="223"/>
      <c r="GVY56" s="223"/>
      <c r="GVZ56" s="223"/>
      <c r="GWI56" s="223"/>
      <c r="GWJ56" s="223"/>
      <c r="GWS56" s="223"/>
      <c r="GWT56" s="223"/>
      <c r="GXC56" s="223"/>
      <c r="GXD56" s="223"/>
      <c r="GXM56" s="223"/>
      <c r="GXN56" s="223"/>
      <c r="GXW56" s="223"/>
      <c r="GXX56" s="223"/>
      <c r="GYG56" s="223"/>
      <c r="GYH56" s="223"/>
      <c r="GYQ56" s="223"/>
      <c r="GYR56" s="223"/>
      <c r="GZA56" s="223"/>
      <c r="GZB56" s="223"/>
      <c r="GZK56" s="223"/>
      <c r="GZL56" s="223"/>
      <c r="GZU56" s="223"/>
      <c r="GZV56" s="223"/>
      <c r="HAE56" s="223"/>
      <c r="HAF56" s="223"/>
      <c r="HAO56" s="223"/>
      <c r="HAP56" s="223"/>
      <c r="HAY56" s="223"/>
      <c r="HAZ56" s="223"/>
      <c r="HBI56" s="223"/>
      <c r="HBJ56" s="223"/>
      <c r="HBS56" s="223"/>
      <c r="HBT56" s="223"/>
      <c r="HCC56" s="223"/>
      <c r="HCD56" s="223"/>
      <c r="HCM56" s="223"/>
      <c r="HCN56" s="223"/>
      <c r="HCW56" s="223"/>
      <c r="HCX56" s="223"/>
      <c r="HDG56" s="223"/>
      <c r="HDH56" s="223"/>
      <c r="HDQ56" s="223"/>
      <c r="HDR56" s="223"/>
      <c r="HEA56" s="223"/>
      <c r="HEB56" s="223"/>
      <c r="HEK56" s="223"/>
      <c r="HEL56" s="223"/>
      <c r="HEU56" s="223"/>
      <c r="HEV56" s="223"/>
      <c r="HFE56" s="223"/>
      <c r="HFF56" s="223"/>
      <c r="HFO56" s="223"/>
      <c r="HFP56" s="223"/>
      <c r="HFY56" s="223"/>
      <c r="HFZ56" s="223"/>
      <c r="HGI56" s="223"/>
      <c r="HGJ56" s="223"/>
      <c r="HGS56" s="223"/>
      <c r="HGT56" s="223"/>
      <c r="HHC56" s="223"/>
      <c r="HHD56" s="223"/>
      <c r="HHM56" s="223"/>
      <c r="HHN56" s="223"/>
      <c r="HHW56" s="223"/>
      <c r="HHX56" s="223"/>
      <c r="HIG56" s="223"/>
      <c r="HIH56" s="223"/>
      <c r="HIQ56" s="223"/>
      <c r="HIR56" s="223"/>
      <c r="HJA56" s="223"/>
      <c r="HJB56" s="223"/>
      <c r="HJK56" s="223"/>
      <c r="HJL56" s="223"/>
      <c r="HJU56" s="223"/>
      <c r="HJV56" s="223"/>
      <c r="HKE56" s="223"/>
      <c r="HKF56" s="223"/>
      <c r="HKO56" s="223"/>
      <c r="HKP56" s="223"/>
      <c r="HKY56" s="223"/>
      <c r="HKZ56" s="223"/>
      <c r="HLI56" s="223"/>
      <c r="HLJ56" s="223"/>
      <c r="HLS56" s="223"/>
      <c r="HLT56" s="223"/>
      <c r="HMC56" s="223"/>
      <c r="HMD56" s="223"/>
      <c r="HMM56" s="223"/>
      <c r="HMN56" s="223"/>
      <c r="HMW56" s="223"/>
      <c r="HMX56" s="223"/>
      <c r="HNG56" s="223"/>
      <c r="HNH56" s="223"/>
      <c r="HNQ56" s="223"/>
      <c r="HNR56" s="223"/>
      <c r="HOA56" s="223"/>
      <c r="HOB56" s="223"/>
      <c r="HOK56" s="223"/>
      <c r="HOL56" s="223"/>
      <c r="HOU56" s="223"/>
      <c r="HOV56" s="223"/>
      <c r="HPE56" s="223"/>
      <c r="HPF56" s="223"/>
      <c r="HPO56" s="223"/>
      <c r="HPP56" s="223"/>
      <c r="HPY56" s="223"/>
      <c r="HPZ56" s="223"/>
      <c r="HQI56" s="223"/>
      <c r="HQJ56" s="223"/>
      <c r="HQS56" s="223"/>
      <c r="HQT56" s="223"/>
      <c r="HRC56" s="223"/>
      <c r="HRD56" s="223"/>
      <c r="HRM56" s="223"/>
      <c r="HRN56" s="223"/>
      <c r="HRW56" s="223"/>
      <c r="HRX56" s="223"/>
      <c r="HSG56" s="223"/>
      <c r="HSH56" s="223"/>
      <c r="HSQ56" s="223"/>
      <c r="HSR56" s="223"/>
      <c r="HTA56" s="223"/>
      <c r="HTB56" s="223"/>
      <c r="HTK56" s="223"/>
      <c r="HTL56" s="223"/>
      <c r="HTU56" s="223"/>
      <c r="HTV56" s="223"/>
      <c r="HUE56" s="223"/>
      <c r="HUF56" s="223"/>
      <c r="HUO56" s="223"/>
      <c r="HUP56" s="223"/>
      <c r="HUY56" s="223"/>
      <c r="HUZ56" s="223"/>
      <c r="HVI56" s="223"/>
      <c r="HVJ56" s="223"/>
      <c r="HVS56" s="223"/>
      <c r="HVT56" s="223"/>
      <c r="HWC56" s="223"/>
      <c r="HWD56" s="223"/>
      <c r="HWM56" s="223"/>
      <c r="HWN56" s="223"/>
      <c r="HWW56" s="223"/>
      <c r="HWX56" s="223"/>
      <c r="HXG56" s="223"/>
      <c r="HXH56" s="223"/>
      <c r="HXQ56" s="223"/>
      <c r="HXR56" s="223"/>
      <c r="HYA56" s="223"/>
      <c r="HYB56" s="223"/>
      <c r="HYK56" s="223"/>
      <c r="HYL56" s="223"/>
      <c r="HYU56" s="223"/>
      <c r="HYV56" s="223"/>
      <c r="HZE56" s="223"/>
      <c r="HZF56" s="223"/>
      <c r="HZO56" s="223"/>
      <c r="HZP56" s="223"/>
      <c r="HZY56" s="223"/>
      <c r="HZZ56" s="223"/>
      <c r="IAI56" s="223"/>
      <c r="IAJ56" s="223"/>
      <c r="IAS56" s="223"/>
      <c r="IAT56" s="223"/>
      <c r="IBC56" s="223"/>
      <c r="IBD56" s="223"/>
      <c r="IBM56" s="223"/>
      <c r="IBN56" s="223"/>
      <c r="IBW56" s="223"/>
      <c r="IBX56" s="223"/>
      <c r="ICG56" s="223"/>
      <c r="ICH56" s="223"/>
      <c r="ICQ56" s="223"/>
      <c r="ICR56" s="223"/>
      <c r="IDA56" s="223"/>
      <c r="IDB56" s="223"/>
      <c r="IDK56" s="223"/>
      <c r="IDL56" s="223"/>
      <c r="IDU56" s="223"/>
      <c r="IDV56" s="223"/>
      <c r="IEE56" s="223"/>
      <c r="IEF56" s="223"/>
      <c r="IEO56" s="223"/>
      <c r="IEP56" s="223"/>
      <c r="IEY56" s="223"/>
      <c r="IEZ56" s="223"/>
      <c r="IFI56" s="223"/>
      <c r="IFJ56" s="223"/>
      <c r="IFS56" s="223"/>
      <c r="IFT56" s="223"/>
      <c r="IGC56" s="223"/>
      <c r="IGD56" s="223"/>
      <c r="IGM56" s="223"/>
      <c r="IGN56" s="223"/>
      <c r="IGW56" s="223"/>
      <c r="IGX56" s="223"/>
      <c r="IHG56" s="223"/>
      <c r="IHH56" s="223"/>
      <c r="IHQ56" s="223"/>
      <c r="IHR56" s="223"/>
      <c r="IIA56" s="223"/>
      <c r="IIB56" s="223"/>
      <c r="IIK56" s="223"/>
      <c r="IIL56" s="223"/>
      <c r="IIU56" s="223"/>
      <c r="IIV56" s="223"/>
      <c r="IJE56" s="223"/>
      <c r="IJF56" s="223"/>
      <c r="IJO56" s="223"/>
      <c r="IJP56" s="223"/>
      <c r="IJY56" s="223"/>
      <c r="IJZ56" s="223"/>
      <c r="IKI56" s="223"/>
      <c r="IKJ56" s="223"/>
      <c r="IKS56" s="223"/>
      <c r="IKT56" s="223"/>
      <c r="ILC56" s="223"/>
      <c r="ILD56" s="223"/>
      <c r="ILM56" s="223"/>
      <c r="ILN56" s="223"/>
      <c r="ILW56" s="223"/>
      <c r="ILX56" s="223"/>
      <c r="IMG56" s="223"/>
      <c r="IMH56" s="223"/>
      <c r="IMQ56" s="223"/>
      <c r="IMR56" s="223"/>
      <c r="INA56" s="223"/>
      <c r="INB56" s="223"/>
      <c r="INK56" s="223"/>
      <c r="INL56" s="223"/>
      <c r="INU56" s="223"/>
      <c r="INV56" s="223"/>
      <c r="IOE56" s="223"/>
      <c r="IOF56" s="223"/>
      <c r="IOO56" s="223"/>
      <c r="IOP56" s="223"/>
      <c r="IOY56" s="223"/>
      <c r="IOZ56" s="223"/>
      <c r="IPI56" s="223"/>
      <c r="IPJ56" s="223"/>
      <c r="IPS56" s="223"/>
      <c r="IPT56" s="223"/>
      <c r="IQC56" s="223"/>
      <c r="IQD56" s="223"/>
      <c r="IQM56" s="223"/>
      <c r="IQN56" s="223"/>
      <c r="IQW56" s="223"/>
      <c r="IQX56" s="223"/>
      <c r="IRG56" s="223"/>
      <c r="IRH56" s="223"/>
      <c r="IRQ56" s="223"/>
      <c r="IRR56" s="223"/>
      <c r="ISA56" s="223"/>
      <c r="ISB56" s="223"/>
      <c r="ISK56" s="223"/>
      <c r="ISL56" s="223"/>
      <c r="ISU56" s="223"/>
      <c r="ISV56" s="223"/>
      <c r="ITE56" s="223"/>
      <c r="ITF56" s="223"/>
      <c r="ITO56" s="223"/>
      <c r="ITP56" s="223"/>
      <c r="ITY56" s="223"/>
      <c r="ITZ56" s="223"/>
      <c r="IUI56" s="223"/>
      <c r="IUJ56" s="223"/>
      <c r="IUS56" s="223"/>
      <c r="IUT56" s="223"/>
      <c r="IVC56" s="223"/>
      <c r="IVD56" s="223"/>
      <c r="IVM56" s="223"/>
      <c r="IVN56" s="223"/>
      <c r="IVW56" s="223"/>
      <c r="IVX56" s="223"/>
      <c r="IWG56" s="223"/>
      <c r="IWH56" s="223"/>
      <c r="IWQ56" s="223"/>
      <c r="IWR56" s="223"/>
      <c r="IXA56" s="223"/>
      <c r="IXB56" s="223"/>
      <c r="IXK56" s="223"/>
      <c r="IXL56" s="223"/>
      <c r="IXU56" s="223"/>
      <c r="IXV56" s="223"/>
      <c r="IYE56" s="223"/>
      <c r="IYF56" s="223"/>
      <c r="IYO56" s="223"/>
      <c r="IYP56" s="223"/>
      <c r="IYY56" s="223"/>
      <c r="IYZ56" s="223"/>
      <c r="IZI56" s="223"/>
      <c r="IZJ56" s="223"/>
      <c r="IZS56" s="223"/>
      <c r="IZT56" s="223"/>
      <c r="JAC56" s="223"/>
      <c r="JAD56" s="223"/>
      <c r="JAM56" s="223"/>
      <c r="JAN56" s="223"/>
      <c r="JAW56" s="223"/>
      <c r="JAX56" s="223"/>
      <c r="JBG56" s="223"/>
      <c r="JBH56" s="223"/>
      <c r="JBQ56" s="223"/>
      <c r="JBR56" s="223"/>
      <c r="JCA56" s="223"/>
      <c r="JCB56" s="223"/>
      <c r="JCK56" s="223"/>
      <c r="JCL56" s="223"/>
      <c r="JCU56" s="223"/>
      <c r="JCV56" s="223"/>
      <c r="JDE56" s="223"/>
      <c r="JDF56" s="223"/>
      <c r="JDO56" s="223"/>
      <c r="JDP56" s="223"/>
      <c r="JDY56" s="223"/>
      <c r="JDZ56" s="223"/>
      <c r="JEI56" s="223"/>
      <c r="JEJ56" s="223"/>
      <c r="JES56" s="223"/>
      <c r="JET56" s="223"/>
      <c r="JFC56" s="223"/>
      <c r="JFD56" s="223"/>
      <c r="JFM56" s="223"/>
      <c r="JFN56" s="223"/>
      <c r="JFW56" s="223"/>
      <c r="JFX56" s="223"/>
      <c r="JGG56" s="223"/>
      <c r="JGH56" s="223"/>
      <c r="JGQ56" s="223"/>
      <c r="JGR56" s="223"/>
      <c r="JHA56" s="223"/>
      <c r="JHB56" s="223"/>
      <c r="JHK56" s="223"/>
      <c r="JHL56" s="223"/>
      <c r="JHU56" s="223"/>
      <c r="JHV56" s="223"/>
      <c r="JIE56" s="223"/>
      <c r="JIF56" s="223"/>
      <c r="JIO56" s="223"/>
      <c r="JIP56" s="223"/>
      <c r="JIY56" s="223"/>
      <c r="JIZ56" s="223"/>
      <c r="JJI56" s="223"/>
      <c r="JJJ56" s="223"/>
      <c r="JJS56" s="223"/>
      <c r="JJT56" s="223"/>
      <c r="JKC56" s="223"/>
      <c r="JKD56" s="223"/>
      <c r="JKM56" s="223"/>
      <c r="JKN56" s="223"/>
      <c r="JKW56" s="223"/>
      <c r="JKX56" s="223"/>
      <c r="JLG56" s="223"/>
      <c r="JLH56" s="223"/>
      <c r="JLQ56" s="223"/>
      <c r="JLR56" s="223"/>
      <c r="JMA56" s="223"/>
      <c r="JMB56" s="223"/>
      <c r="JMK56" s="223"/>
      <c r="JML56" s="223"/>
      <c r="JMU56" s="223"/>
      <c r="JMV56" s="223"/>
      <c r="JNE56" s="223"/>
      <c r="JNF56" s="223"/>
      <c r="JNO56" s="223"/>
      <c r="JNP56" s="223"/>
      <c r="JNY56" s="223"/>
      <c r="JNZ56" s="223"/>
      <c r="JOI56" s="223"/>
      <c r="JOJ56" s="223"/>
      <c r="JOS56" s="223"/>
      <c r="JOT56" s="223"/>
      <c r="JPC56" s="223"/>
      <c r="JPD56" s="223"/>
      <c r="JPM56" s="223"/>
      <c r="JPN56" s="223"/>
      <c r="JPW56" s="223"/>
      <c r="JPX56" s="223"/>
      <c r="JQG56" s="223"/>
      <c r="JQH56" s="223"/>
      <c r="JQQ56" s="223"/>
      <c r="JQR56" s="223"/>
      <c r="JRA56" s="223"/>
      <c r="JRB56" s="223"/>
      <c r="JRK56" s="223"/>
      <c r="JRL56" s="223"/>
      <c r="JRU56" s="223"/>
      <c r="JRV56" s="223"/>
      <c r="JSE56" s="223"/>
      <c r="JSF56" s="223"/>
      <c r="JSO56" s="223"/>
      <c r="JSP56" s="223"/>
      <c r="JSY56" s="223"/>
      <c r="JSZ56" s="223"/>
      <c r="JTI56" s="223"/>
      <c r="JTJ56" s="223"/>
      <c r="JTS56" s="223"/>
      <c r="JTT56" s="223"/>
      <c r="JUC56" s="223"/>
      <c r="JUD56" s="223"/>
      <c r="JUM56" s="223"/>
      <c r="JUN56" s="223"/>
      <c r="JUW56" s="223"/>
      <c r="JUX56" s="223"/>
      <c r="JVG56" s="223"/>
      <c r="JVH56" s="223"/>
      <c r="JVQ56" s="223"/>
      <c r="JVR56" s="223"/>
      <c r="JWA56" s="223"/>
      <c r="JWB56" s="223"/>
      <c r="JWK56" s="223"/>
      <c r="JWL56" s="223"/>
      <c r="JWU56" s="223"/>
      <c r="JWV56" s="223"/>
      <c r="JXE56" s="223"/>
      <c r="JXF56" s="223"/>
      <c r="JXO56" s="223"/>
      <c r="JXP56" s="223"/>
      <c r="JXY56" s="223"/>
      <c r="JXZ56" s="223"/>
      <c r="JYI56" s="223"/>
      <c r="JYJ56" s="223"/>
      <c r="JYS56" s="223"/>
      <c r="JYT56" s="223"/>
      <c r="JZC56" s="223"/>
      <c r="JZD56" s="223"/>
      <c r="JZM56" s="223"/>
      <c r="JZN56" s="223"/>
      <c r="JZW56" s="223"/>
      <c r="JZX56" s="223"/>
      <c r="KAG56" s="223"/>
      <c r="KAH56" s="223"/>
      <c r="KAQ56" s="223"/>
      <c r="KAR56" s="223"/>
      <c r="KBA56" s="223"/>
      <c r="KBB56" s="223"/>
      <c r="KBK56" s="223"/>
      <c r="KBL56" s="223"/>
      <c r="KBU56" s="223"/>
      <c r="KBV56" s="223"/>
      <c r="KCE56" s="223"/>
      <c r="KCF56" s="223"/>
      <c r="KCO56" s="223"/>
      <c r="KCP56" s="223"/>
      <c r="KCY56" s="223"/>
      <c r="KCZ56" s="223"/>
      <c r="KDI56" s="223"/>
      <c r="KDJ56" s="223"/>
      <c r="KDS56" s="223"/>
      <c r="KDT56" s="223"/>
      <c r="KEC56" s="223"/>
      <c r="KED56" s="223"/>
      <c r="KEM56" s="223"/>
      <c r="KEN56" s="223"/>
      <c r="KEW56" s="223"/>
      <c r="KEX56" s="223"/>
      <c r="KFG56" s="223"/>
      <c r="KFH56" s="223"/>
      <c r="KFQ56" s="223"/>
      <c r="KFR56" s="223"/>
      <c r="KGA56" s="223"/>
      <c r="KGB56" s="223"/>
      <c r="KGK56" s="223"/>
      <c r="KGL56" s="223"/>
      <c r="KGU56" s="223"/>
      <c r="KGV56" s="223"/>
      <c r="KHE56" s="223"/>
      <c r="KHF56" s="223"/>
      <c r="KHO56" s="223"/>
      <c r="KHP56" s="223"/>
      <c r="KHY56" s="223"/>
      <c r="KHZ56" s="223"/>
      <c r="KII56" s="223"/>
      <c r="KIJ56" s="223"/>
      <c r="KIS56" s="223"/>
      <c r="KIT56" s="223"/>
      <c r="KJC56" s="223"/>
      <c r="KJD56" s="223"/>
      <c r="KJM56" s="223"/>
      <c r="KJN56" s="223"/>
      <c r="KJW56" s="223"/>
      <c r="KJX56" s="223"/>
      <c r="KKG56" s="223"/>
      <c r="KKH56" s="223"/>
      <c r="KKQ56" s="223"/>
      <c r="KKR56" s="223"/>
      <c r="KLA56" s="223"/>
      <c r="KLB56" s="223"/>
      <c r="KLK56" s="223"/>
      <c r="KLL56" s="223"/>
      <c r="KLU56" s="223"/>
      <c r="KLV56" s="223"/>
      <c r="KME56" s="223"/>
      <c r="KMF56" s="223"/>
      <c r="KMO56" s="223"/>
      <c r="KMP56" s="223"/>
      <c r="KMY56" s="223"/>
      <c r="KMZ56" s="223"/>
      <c r="KNI56" s="223"/>
      <c r="KNJ56" s="223"/>
      <c r="KNS56" s="223"/>
      <c r="KNT56" s="223"/>
      <c r="KOC56" s="223"/>
      <c r="KOD56" s="223"/>
      <c r="KOM56" s="223"/>
      <c r="KON56" s="223"/>
      <c r="KOW56" s="223"/>
      <c r="KOX56" s="223"/>
      <c r="KPG56" s="223"/>
      <c r="KPH56" s="223"/>
      <c r="KPQ56" s="223"/>
      <c r="KPR56" s="223"/>
      <c r="KQA56" s="223"/>
      <c r="KQB56" s="223"/>
      <c r="KQK56" s="223"/>
      <c r="KQL56" s="223"/>
      <c r="KQU56" s="223"/>
      <c r="KQV56" s="223"/>
      <c r="KRE56" s="223"/>
      <c r="KRF56" s="223"/>
      <c r="KRO56" s="223"/>
      <c r="KRP56" s="223"/>
      <c r="KRY56" s="223"/>
      <c r="KRZ56" s="223"/>
      <c r="KSI56" s="223"/>
      <c r="KSJ56" s="223"/>
      <c r="KSS56" s="223"/>
      <c r="KST56" s="223"/>
      <c r="KTC56" s="223"/>
      <c r="KTD56" s="223"/>
      <c r="KTM56" s="223"/>
      <c r="KTN56" s="223"/>
      <c r="KTW56" s="223"/>
      <c r="KTX56" s="223"/>
      <c r="KUG56" s="223"/>
      <c r="KUH56" s="223"/>
      <c r="KUQ56" s="223"/>
      <c r="KUR56" s="223"/>
      <c r="KVA56" s="223"/>
      <c r="KVB56" s="223"/>
      <c r="KVK56" s="223"/>
      <c r="KVL56" s="223"/>
      <c r="KVU56" s="223"/>
      <c r="KVV56" s="223"/>
      <c r="KWE56" s="223"/>
      <c r="KWF56" s="223"/>
      <c r="KWO56" s="223"/>
      <c r="KWP56" s="223"/>
      <c r="KWY56" s="223"/>
      <c r="KWZ56" s="223"/>
      <c r="KXI56" s="223"/>
      <c r="KXJ56" s="223"/>
      <c r="KXS56" s="223"/>
      <c r="KXT56" s="223"/>
      <c r="KYC56" s="223"/>
      <c r="KYD56" s="223"/>
      <c r="KYM56" s="223"/>
      <c r="KYN56" s="223"/>
      <c r="KYW56" s="223"/>
      <c r="KYX56" s="223"/>
      <c r="KZG56" s="223"/>
      <c r="KZH56" s="223"/>
      <c r="KZQ56" s="223"/>
      <c r="KZR56" s="223"/>
      <c r="LAA56" s="223"/>
      <c r="LAB56" s="223"/>
      <c r="LAK56" s="223"/>
      <c r="LAL56" s="223"/>
      <c r="LAU56" s="223"/>
      <c r="LAV56" s="223"/>
      <c r="LBE56" s="223"/>
      <c r="LBF56" s="223"/>
      <c r="LBO56" s="223"/>
      <c r="LBP56" s="223"/>
      <c r="LBY56" s="223"/>
      <c r="LBZ56" s="223"/>
      <c r="LCI56" s="223"/>
      <c r="LCJ56" s="223"/>
      <c r="LCS56" s="223"/>
      <c r="LCT56" s="223"/>
      <c r="LDC56" s="223"/>
      <c r="LDD56" s="223"/>
      <c r="LDM56" s="223"/>
      <c r="LDN56" s="223"/>
      <c r="LDW56" s="223"/>
      <c r="LDX56" s="223"/>
      <c r="LEG56" s="223"/>
      <c r="LEH56" s="223"/>
      <c r="LEQ56" s="223"/>
      <c r="LER56" s="223"/>
      <c r="LFA56" s="223"/>
      <c r="LFB56" s="223"/>
      <c r="LFK56" s="223"/>
      <c r="LFL56" s="223"/>
      <c r="LFU56" s="223"/>
      <c r="LFV56" s="223"/>
      <c r="LGE56" s="223"/>
      <c r="LGF56" s="223"/>
      <c r="LGO56" s="223"/>
      <c r="LGP56" s="223"/>
      <c r="LGY56" s="223"/>
      <c r="LGZ56" s="223"/>
      <c r="LHI56" s="223"/>
      <c r="LHJ56" s="223"/>
      <c r="LHS56" s="223"/>
      <c r="LHT56" s="223"/>
      <c r="LIC56" s="223"/>
      <c r="LID56" s="223"/>
      <c r="LIM56" s="223"/>
      <c r="LIN56" s="223"/>
      <c r="LIW56" s="223"/>
      <c r="LIX56" s="223"/>
      <c r="LJG56" s="223"/>
      <c r="LJH56" s="223"/>
      <c r="LJQ56" s="223"/>
      <c r="LJR56" s="223"/>
      <c r="LKA56" s="223"/>
      <c r="LKB56" s="223"/>
      <c r="LKK56" s="223"/>
      <c r="LKL56" s="223"/>
      <c r="LKU56" s="223"/>
      <c r="LKV56" s="223"/>
      <c r="LLE56" s="223"/>
      <c r="LLF56" s="223"/>
      <c r="LLO56" s="223"/>
      <c r="LLP56" s="223"/>
      <c r="LLY56" s="223"/>
      <c r="LLZ56" s="223"/>
      <c r="LMI56" s="223"/>
      <c r="LMJ56" s="223"/>
      <c r="LMS56" s="223"/>
      <c r="LMT56" s="223"/>
      <c r="LNC56" s="223"/>
      <c r="LND56" s="223"/>
      <c r="LNM56" s="223"/>
      <c r="LNN56" s="223"/>
      <c r="LNW56" s="223"/>
      <c r="LNX56" s="223"/>
      <c r="LOG56" s="223"/>
      <c r="LOH56" s="223"/>
      <c r="LOQ56" s="223"/>
      <c r="LOR56" s="223"/>
      <c r="LPA56" s="223"/>
      <c r="LPB56" s="223"/>
      <c r="LPK56" s="223"/>
      <c r="LPL56" s="223"/>
      <c r="LPU56" s="223"/>
      <c r="LPV56" s="223"/>
      <c r="LQE56" s="223"/>
      <c r="LQF56" s="223"/>
      <c r="LQO56" s="223"/>
      <c r="LQP56" s="223"/>
      <c r="LQY56" s="223"/>
      <c r="LQZ56" s="223"/>
      <c r="LRI56" s="223"/>
      <c r="LRJ56" s="223"/>
      <c r="LRS56" s="223"/>
      <c r="LRT56" s="223"/>
      <c r="LSC56" s="223"/>
      <c r="LSD56" s="223"/>
      <c r="LSM56" s="223"/>
      <c r="LSN56" s="223"/>
      <c r="LSW56" s="223"/>
      <c r="LSX56" s="223"/>
      <c r="LTG56" s="223"/>
      <c r="LTH56" s="223"/>
      <c r="LTQ56" s="223"/>
      <c r="LTR56" s="223"/>
      <c r="LUA56" s="223"/>
      <c r="LUB56" s="223"/>
      <c r="LUK56" s="223"/>
      <c r="LUL56" s="223"/>
      <c r="LUU56" s="223"/>
      <c r="LUV56" s="223"/>
      <c r="LVE56" s="223"/>
      <c r="LVF56" s="223"/>
      <c r="LVO56" s="223"/>
      <c r="LVP56" s="223"/>
      <c r="LVY56" s="223"/>
      <c r="LVZ56" s="223"/>
      <c r="LWI56" s="223"/>
      <c r="LWJ56" s="223"/>
      <c r="LWS56" s="223"/>
      <c r="LWT56" s="223"/>
      <c r="LXC56" s="223"/>
      <c r="LXD56" s="223"/>
      <c r="LXM56" s="223"/>
      <c r="LXN56" s="223"/>
      <c r="LXW56" s="223"/>
      <c r="LXX56" s="223"/>
      <c r="LYG56" s="223"/>
      <c r="LYH56" s="223"/>
      <c r="LYQ56" s="223"/>
      <c r="LYR56" s="223"/>
      <c r="LZA56" s="223"/>
      <c r="LZB56" s="223"/>
      <c r="LZK56" s="223"/>
      <c r="LZL56" s="223"/>
      <c r="LZU56" s="223"/>
      <c r="LZV56" s="223"/>
      <c r="MAE56" s="223"/>
      <c r="MAF56" s="223"/>
      <c r="MAO56" s="223"/>
      <c r="MAP56" s="223"/>
      <c r="MAY56" s="223"/>
      <c r="MAZ56" s="223"/>
      <c r="MBI56" s="223"/>
      <c r="MBJ56" s="223"/>
      <c r="MBS56" s="223"/>
      <c r="MBT56" s="223"/>
      <c r="MCC56" s="223"/>
      <c r="MCD56" s="223"/>
      <c r="MCM56" s="223"/>
      <c r="MCN56" s="223"/>
      <c r="MCW56" s="223"/>
      <c r="MCX56" s="223"/>
      <c r="MDG56" s="223"/>
      <c r="MDH56" s="223"/>
      <c r="MDQ56" s="223"/>
      <c r="MDR56" s="223"/>
      <c r="MEA56" s="223"/>
      <c r="MEB56" s="223"/>
      <c r="MEK56" s="223"/>
      <c r="MEL56" s="223"/>
      <c r="MEU56" s="223"/>
      <c r="MEV56" s="223"/>
      <c r="MFE56" s="223"/>
      <c r="MFF56" s="223"/>
      <c r="MFO56" s="223"/>
      <c r="MFP56" s="223"/>
      <c r="MFY56" s="223"/>
      <c r="MFZ56" s="223"/>
      <c r="MGI56" s="223"/>
      <c r="MGJ56" s="223"/>
      <c r="MGS56" s="223"/>
      <c r="MGT56" s="223"/>
      <c r="MHC56" s="223"/>
      <c r="MHD56" s="223"/>
      <c r="MHM56" s="223"/>
      <c r="MHN56" s="223"/>
      <c r="MHW56" s="223"/>
      <c r="MHX56" s="223"/>
      <c r="MIG56" s="223"/>
      <c r="MIH56" s="223"/>
      <c r="MIQ56" s="223"/>
      <c r="MIR56" s="223"/>
      <c r="MJA56" s="223"/>
      <c r="MJB56" s="223"/>
      <c r="MJK56" s="223"/>
      <c r="MJL56" s="223"/>
      <c r="MJU56" s="223"/>
      <c r="MJV56" s="223"/>
      <c r="MKE56" s="223"/>
      <c r="MKF56" s="223"/>
      <c r="MKO56" s="223"/>
      <c r="MKP56" s="223"/>
      <c r="MKY56" s="223"/>
      <c r="MKZ56" s="223"/>
      <c r="MLI56" s="223"/>
      <c r="MLJ56" s="223"/>
      <c r="MLS56" s="223"/>
      <c r="MLT56" s="223"/>
      <c r="MMC56" s="223"/>
      <c r="MMD56" s="223"/>
      <c r="MMM56" s="223"/>
      <c r="MMN56" s="223"/>
      <c r="MMW56" s="223"/>
      <c r="MMX56" s="223"/>
      <c r="MNG56" s="223"/>
      <c r="MNH56" s="223"/>
      <c r="MNQ56" s="223"/>
      <c r="MNR56" s="223"/>
      <c r="MOA56" s="223"/>
      <c r="MOB56" s="223"/>
      <c r="MOK56" s="223"/>
      <c r="MOL56" s="223"/>
      <c r="MOU56" s="223"/>
      <c r="MOV56" s="223"/>
      <c r="MPE56" s="223"/>
      <c r="MPF56" s="223"/>
      <c r="MPO56" s="223"/>
      <c r="MPP56" s="223"/>
      <c r="MPY56" s="223"/>
      <c r="MPZ56" s="223"/>
      <c r="MQI56" s="223"/>
      <c r="MQJ56" s="223"/>
      <c r="MQS56" s="223"/>
      <c r="MQT56" s="223"/>
      <c r="MRC56" s="223"/>
      <c r="MRD56" s="223"/>
      <c r="MRM56" s="223"/>
      <c r="MRN56" s="223"/>
      <c r="MRW56" s="223"/>
      <c r="MRX56" s="223"/>
      <c r="MSG56" s="223"/>
      <c r="MSH56" s="223"/>
      <c r="MSQ56" s="223"/>
      <c r="MSR56" s="223"/>
      <c r="MTA56" s="223"/>
      <c r="MTB56" s="223"/>
      <c r="MTK56" s="223"/>
      <c r="MTL56" s="223"/>
      <c r="MTU56" s="223"/>
      <c r="MTV56" s="223"/>
      <c r="MUE56" s="223"/>
      <c r="MUF56" s="223"/>
      <c r="MUO56" s="223"/>
      <c r="MUP56" s="223"/>
      <c r="MUY56" s="223"/>
      <c r="MUZ56" s="223"/>
      <c r="MVI56" s="223"/>
      <c r="MVJ56" s="223"/>
      <c r="MVS56" s="223"/>
      <c r="MVT56" s="223"/>
      <c r="MWC56" s="223"/>
      <c r="MWD56" s="223"/>
      <c r="MWM56" s="223"/>
      <c r="MWN56" s="223"/>
      <c r="MWW56" s="223"/>
      <c r="MWX56" s="223"/>
      <c r="MXG56" s="223"/>
      <c r="MXH56" s="223"/>
      <c r="MXQ56" s="223"/>
      <c r="MXR56" s="223"/>
      <c r="MYA56" s="223"/>
      <c r="MYB56" s="223"/>
      <c r="MYK56" s="223"/>
      <c r="MYL56" s="223"/>
      <c r="MYU56" s="223"/>
      <c r="MYV56" s="223"/>
      <c r="MZE56" s="223"/>
      <c r="MZF56" s="223"/>
      <c r="MZO56" s="223"/>
      <c r="MZP56" s="223"/>
      <c r="MZY56" s="223"/>
      <c r="MZZ56" s="223"/>
      <c r="NAI56" s="223"/>
      <c r="NAJ56" s="223"/>
      <c r="NAS56" s="223"/>
      <c r="NAT56" s="223"/>
      <c r="NBC56" s="223"/>
      <c r="NBD56" s="223"/>
      <c r="NBM56" s="223"/>
      <c r="NBN56" s="223"/>
      <c r="NBW56" s="223"/>
      <c r="NBX56" s="223"/>
      <c r="NCG56" s="223"/>
      <c r="NCH56" s="223"/>
      <c r="NCQ56" s="223"/>
      <c r="NCR56" s="223"/>
      <c r="NDA56" s="223"/>
      <c r="NDB56" s="223"/>
      <c r="NDK56" s="223"/>
      <c r="NDL56" s="223"/>
      <c r="NDU56" s="223"/>
      <c r="NDV56" s="223"/>
      <c r="NEE56" s="223"/>
      <c r="NEF56" s="223"/>
      <c r="NEO56" s="223"/>
      <c r="NEP56" s="223"/>
      <c r="NEY56" s="223"/>
      <c r="NEZ56" s="223"/>
      <c r="NFI56" s="223"/>
      <c r="NFJ56" s="223"/>
      <c r="NFS56" s="223"/>
      <c r="NFT56" s="223"/>
      <c r="NGC56" s="223"/>
      <c r="NGD56" s="223"/>
      <c r="NGM56" s="223"/>
      <c r="NGN56" s="223"/>
      <c r="NGW56" s="223"/>
      <c r="NGX56" s="223"/>
      <c r="NHG56" s="223"/>
      <c r="NHH56" s="223"/>
      <c r="NHQ56" s="223"/>
      <c r="NHR56" s="223"/>
      <c r="NIA56" s="223"/>
      <c r="NIB56" s="223"/>
      <c r="NIK56" s="223"/>
      <c r="NIL56" s="223"/>
      <c r="NIU56" s="223"/>
      <c r="NIV56" s="223"/>
      <c r="NJE56" s="223"/>
      <c r="NJF56" s="223"/>
      <c r="NJO56" s="223"/>
      <c r="NJP56" s="223"/>
      <c r="NJY56" s="223"/>
      <c r="NJZ56" s="223"/>
      <c r="NKI56" s="223"/>
      <c r="NKJ56" s="223"/>
      <c r="NKS56" s="223"/>
      <c r="NKT56" s="223"/>
      <c r="NLC56" s="223"/>
      <c r="NLD56" s="223"/>
      <c r="NLM56" s="223"/>
      <c r="NLN56" s="223"/>
      <c r="NLW56" s="223"/>
      <c r="NLX56" s="223"/>
      <c r="NMG56" s="223"/>
      <c r="NMH56" s="223"/>
      <c r="NMQ56" s="223"/>
      <c r="NMR56" s="223"/>
      <c r="NNA56" s="223"/>
      <c r="NNB56" s="223"/>
      <c r="NNK56" s="223"/>
      <c r="NNL56" s="223"/>
      <c r="NNU56" s="223"/>
      <c r="NNV56" s="223"/>
      <c r="NOE56" s="223"/>
      <c r="NOF56" s="223"/>
      <c r="NOO56" s="223"/>
      <c r="NOP56" s="223"/>
      <c r="NOY56" s="223"/>
      <c r="NOZ56" s="223"/>
      <c r="NPI56" s="223"/>
      <c r="NPJ56" s="223"/>
      <c r="NPS56" s="223"/>
      <c r="NPT56" s="223"/>
      <c r="NQC56" s="223"/>
      <c r="NQD56" s="223"/>
      <c r="NQM56" s="223"/>
      <c r="NQN56" s="223"/>
      <c r="NQW56" s="223"/>
      <c r="NQX56" s="223"/>
      <c r="NRG56" s="223"/>
      <c r="NRH56" s="223"/>
      <c r="NRQ56" s="223"/>
      <c r="NRR56" s="223"/>
      <c r="NSA56" s="223"/>
      <c r="NSB56" s="223"/>
      <c r="NSK56" s="223"/>
      <c r="NSL56" s="223"/>
      <c r="NSU56" s="223"/>
      <c r="NSV56" s="223"/>
      <c r="NTE56" s="223"/>
      <c r="NTF56" s="223"/>
      <c r="NTO56" s="223"/>
      <c r="NTP56" s="223"/>
      <c r="NTY56" s="223"/>
      <c r="NTZ56" s="223"/>
      <c r="NUI56" s="223"/>
      <c r="NUJ56" s="223"/>
      <c r="NUS56" s="223"/>
      <c r="NUT56" s="223"/>
      <c r="NVC56" s="223"/>
      <c r="NVD56" s="223"/>
      <c r="NVM56" s="223"/>
      <c r="NVN56" s="223"/>
      <c r="NVW56" s="223"/>
      <c r="NVX56" s="223"/>
      <c r="NWG56" s="223"/>
      <c r="NWH56" s="223"/>
      <c r="NWQ56" s="223"/>
      <c r="NWR56" s="223"/>
      <c r="NXA56" s="223"/>
      <c r="NXB56" s="223"/>
      <c r="NXK56" s="223"/>
      <c r="NXL56" s="223"/>
      <c r="NXU56" s="223"/>
      <c r="NXV56" s="223"/>
      <c r="NYE56" s="223"/>
      <c r="NYF56" s="223"/>
      <c r="NYO56" s="223"/>
      <c r="NYP56" s="223"/>
      <c r="NYY56" s="223"/>
      <c r="NYZ56" s="223"/>
      <c r="NZI56" s="223"/>
      <c r="NZJ56" s="223"/>
      <c r="NZS56" s="223"/>
      <c r="NZT56" s="223"/>
      <c r="OAC56" s="223"/>
      <c r="OAD56" s="223"/>
      <c r="OAM56" s="223"/>
      <c r="OAN56" s="223"/>
      <c r="OAW56" s="223"/>
      <c r="OAX56" s="223"/>
      <c r="OBG56" s="223"/>
      <c r="OBH56" s="223"/>
      <c r="OBQ56" s="223"/>
      <c r="OBR56" s="223"/>
      <c r="OCA56" s="223"/>
      <c r="OCB56" s="223"/>
      <c r="OCK56" s="223"/>
      <c r="OCL56" s="223"/>
      <c r="OCU56" s="223"/>
      <c r="OCV56" s="223"/>
      <c r="ODE56" s="223"/>
      <c r="ODF56" s="223"/>
      <c r="ODO56" s="223"/>
      <c r="ODP56" s="223"/>
      <c r="ODY56" s="223"/>
      <c r="ODZ56" s="223"/>
      <c r="OEI56" s="223"/>
      <c r="OEJ56" s="223"/>
      <c r="OES56" s="223"/>
      <c r="OET56" s="223"/>
      <c r="OFC56" s="223"/>
      <c r="OFD56" s="223"/>
      <c r="OFM56" s="223"/>
      <c r="OFN56" s="223"/>
      <c r="OFW56" s="223"/>
      <c r="OFX56" s="223"/>
      <c r="OGG56" s="223"/>
      <c r="OGH56" s="223"/>
      <c r="OGQ56" s="223"/>
      <c r="OGR56" s="223"/>
      <c r="OHA56" s="223"/>
      <c r="OHB56" s="223"/>
      <c r="OHK56" s="223"/>
      <c r="OHL56" s="223"/>
      <c r="OHU56" s="223"/>
      <c r="OHV56" s="223"/>
      <c r="OIE56" s="223"/>
      <c r="OIF56" s="223"/>
      <c r="OIO56" s="223"/>
      <c r="OIP56" s="223"/>
      <c r="OIY56" s="223"/>
      <c r="OIZ56" s="223"/>
      <c r="OJI56" s="223"/>
      <c r="OJJ56" s="223"/>
      <c r="OJS56" s="223"/>
      <c r="OJT56" s="223"/>
      <c r="OKC56" s="223"/>
      <c r="OKD56" s="223"/>
      <c r="OKM56" s="223"/>
      <c r="OKN56" s="223"/>
      <c r="OKW56" s="223"/>
      <c r="OKX56" s="223"/>
      <c r="OLG56" s="223"/>
      <c r="OLH56" s="223"/>
      <c r="OLQ56" s="223"/>
      <c r="OLR56" s="223"/>
      <c r="OMA56" s="223"/>
      <c r="OMB56" s="223"/>
      <c r="OMK56" s="223"/>
      <c r="OML56" s="223"/>
      <c r="OMU56" s="223"/>
      <c r="OMV56" s="223"/>
      <c r="ONE56" s="223"/>
      <c r="ONF56" s="223"/>
      <c r="ONO56" s="223"/>
      <c r="ONP56" s="223"/>
      <c r="ONY56" s="223"/>
      <c r="ONZ56" s="223"/>
      <c r="OOI56" s="223"/>
      <c r="OOJ56" s="223"/>
      <c r="OOS56" s="223"/>
      <c r="OOT56" s="223"/>
      <c r="OPC56" s="223"/>
      <c r="OPD56" s="223"/>
      <c r="OPM56" s="223"/>
      <c r="OPN56" s="223"/>
      <c r="OPW56" s="223"/>
      <c r="OPX56" s="223"/>
      <c r="OQG56" s="223"/>
      <c r="OQH56" s="223"/>
      <c r="OQQ56" s="223"/>
      <c r="OQR56" s="223"/>
      <c r="ORA56" s="223"/>
      <c r="ORB56" s="223"/>
      <c r="ORK56" s="223"/>
      <c r="ORL56" s="223"/>
      <c r="ORU56" s="223"/>
      <c r="ORV56" s="223"/>
      <c r="OSE56" s="223"/>
      <c r="OSF56" s="223"/>
      <c r="OSO56" s="223"/>
      <c r="OSP56" s="223"/>
      <c r="OSY56" s="223"/>
      <c r="OSZ56" s="223"/>
      <c r="OTI56" s="223"/>
      <c r="OTJ56" s="223"/>
      <c r="OTS56" s="223"/>
      <c r="OTT56" s="223"/>
      <c r="OUC56" s="223"/>
      <c r="OUD56" s="223"/>
      <c r="OUM56" s="223"/>
      <c r="OUN56" s="223"/>
      <c r="OUW56" s="223"/>
      <c r="OUX56" s="223"/>
      <c r="OVG56" s="223"/>
      <c r="OVH56" s="223"/>
      <c r="OVQ56" s="223"/>
      <c r="OVR56" s="223"/>
      <c r="OWA56" s="223"/>
      <c r="OWB56" s="223"/>
      <c r="OWK56" s="223"/>
      <c r="OWL56" s="223"/>
      <c r="OWU56" s="223"/>
      <c r="OWV56" s="223"/>
      <c r="OXE56" s="223"/>
      <c r="OXF56" s="223"/>
      <c r="OXO56" s="223"/>
      <c r="OXP56" s="223"/>
      <c r="OXY56" s="223"/>
      <c r="OXZ56" s="223"/>
      <c r="OYI56" s="223"/>
      <c r="OYJ56" s="223"/>
      <c r="OYS56" s="223"/>
      <c r="OYT56" s="223"/>
      <c r="OZC56" s="223"/>
      <c r="OZD56" s="223"/>
      <c r="OZM56" s="223"/>
      <c r="OZN56" s="223"/>
      <c r="OZW56" s="223"/>
      <c r="OZX56" s="223"/>
      <c r="PAG56" s="223"/>
      <c r="PAH56" s="223"/>
      <c r="PAQ56" s="223"/>
      <c r="PAR56" s="223"/>
      <c r="PBA56" s="223"/>
      <c r="PBB56" s="223"/>
      <c r="PBK56" s="223"/>
      <c r="PBL56" s="223"/>
      <c r="PBU56" s="223"/>
      <c r="PBV56" s="223"/>
      <c r="PCE56" s="223"/>
      <c r="PCF56" s="223"/>
      <c r="PCO56" s="223"/>
      <c r="PCP56" s="223"/>
      <c r="PCY56" s="223"/>
      <c r="PCZ56" s="223"/>
      <c r="PDI56" s="223"/>
      <c r="PDJ56" s="223"/>
      <c r="PDS56" s="223"/>
      <c r="PDT56" s="223"/>
      <c r="PEC56" s="223"/>
      <c r="PED56" s="223"/>
      <c r="PEM56" s="223"/>
      <c r="PEN56" s="223"/>
      <c r="PEW56" s="223"/>
      <c r="PEX56" s="223"/>
      <c r="PFG56" s="223"/>
      <c r="PFH56" s="223"/>
      <c r="PFQ56" s="223"/>
      <c r="PFR56" s="223"/>
      <c r="PGA56" s="223"/>
      <c r="PGB56" s="223"/>
      <c r="PGK56" s="223"/>
      <c r="PGL56" s="223"/>
      <c r="PGU56" s="223"/>
      <c r="PGV56" s="223"/>
      <c r="PHE56" s="223"/>
      <c r="PHF56" s="223"/>
      <c r="PHO56" s="223"/>
      <c r="PHP56" s="223"/>
      <c r="PHY56" s="223"/>
      <c r="PHZ56" s="223"/>
      <c r="PII56" s="223"/>
      <c r="PIJ56" s="223"/>
      <c r="PIS56" s="223"/>
      <c r="PIT56" s="223"/>
      <c r="PJC56" s="223"/>
      <c r="PJD56" s="223"/>
      <c r="PJM56" s="223"/>
      <c r="PJN56" s="223"/>
      <c r="PJW56" s="223"/>
      <c r="PJX56" s="223"/>
      <c r="PKG56" s="223"/>
      <c r="PKH56" s="223"/>
      <c r="PKQ56" s="223"/>
      <c r="PKR56" s="223"/>
      <c r="PLA56" s="223"/>
      <c r="PLB56" s="223"/>
      <c r="PLK56" s="223"/>
      <c r="PLL56" s="223"/>
      <c r="PLU56" s="223"/>
      <c r="PLV56" s="223"/>
      <c r="PME56" s="223"/>
      <c r="PMF56" s="223"/>
      <c r="PMO56" s="223"/>
      <c r="PMP56" s="223"/>
      <c r="PMY56" s="223"/>
      <c r="PMZ56" s="223"/>
      <c r="PNI56" s="223"/>
      <c r="PNJ56" s="223"/>
      <c r="PNS56" s="223"/>
      <c r="PNT56" s="223"/>
      <c r="POC56" s="223"/>
      <c r="POD56" s="223"/>
      <c r="POM56" s="223"/>
      <c r="PON56" s="223"/>
      <c r="POW56" s="223"/>
      <c r="POX56" s="223"/>
      <c r="PPG56" s="223"/>
      <c r="PPH56" s="223"/>
      <c r="PPQ56" s="223"/>
      <c r="PPR56" s="223"/>
      <c r="PQA56" s="223"/>
      <c r="PQB56" s="223"/>
      <c r="PQK56" s="223"/>
      <c r="PQL56" s="223"/>
      <c r="PQU56" s="223"/>
      <c r="PQV56" s="223"/>
      <c r="PRE56" s="223"/>
      <c r="PRF56" s="223"/>
      <c r="PRO56" s="223"/>
      <c r="PRP56" s="223"/>
      <c r="PRY56" s="223"/>
      <c r="PRZ56" s="223"/>
      <c r="PSI56" s="223"/>
      <c r="PSJ56" s="223"/>
      <c r="PSS56" s="223"/>
      <c r="PST56" s="223"/>
      <c r="PTC56" s="223"/>
      <c r="PTD56" s="223"/>
      <c r="PTM56" s="223"/>
      <c r="PTN56" s="223"/>
      <c r="PTW56" s="223"/>
      <c r="PTX56" s="223"/>
      <c r="PUG56" s="223"/>
      <c r="PUH56" s="223"/>
      <c r="PUQ56" s="223"/>
      <c r="PUR56" s="223"/>
      <c r="PVA56" s="223"/>
      <c r="PVB56" s="223"/>
      <c r="PVK56" s="223"/>
      <c r="PVL56" s="223"/>
      <c r="PVU56" s="223"/>
      <c r="PVV56" s="223"/>
      <c r="PWE56" s="223"/>
      <c r="PWF56" s="223"/>
      <c r="PWO56" s="223"/>
      <c r="PWP56" s="223"/>
      <c r="PWY56" s="223"/>
      <c r="PWZ56" s="223"/>
      <c r="PXI56" s="223"/>
      <c r="PXJ56" s="223"/>
      <c r="PXS56" s="223"/>
      <c r="PXT56" s="223"/>
      <c r="PYC56" s="223"/>
      <c r="PYD56" s="223"/>
      <c r="PYM56" s="223"/>
      <c r="PYN56" s="223"/>
      <c r="PYW56" s="223"/>
      <c r="PYX56" s="223"/>
      <c r="PZG56" s="223"/>
      <c r="PZH56" s="223"/>
      <c r="PZQ56" s="223"/>
      <c r="PZR56" s="223"/>
      <c r="QAA56" s="223"/>
      <c r="QAB56" s="223"/>
      <c r="QAK56" s="223"/>
      <c r="QAL56" s="223"/>
      <c r="QAU56" s="223"/>
      <c r="QAV56" s="223"/>
      <c r="QBE56" s="223"/>
      <c r="QBF56" s="223"/>
      <c r="QBO56" s="223"/>
      <c r="QBP56" s="223"/>
      <c r="QBY56" s="223"/>
      <c r="QBZ56" s="223"/>
      <c r="QCI56" s="223"/>
      <c r="QCJ56" s="223"/>
      <c r="QCS56" s="223"/>
      <c r="QCT56" s="223"/>
      <c r="QDC56" s="223"/>
      <c r="QDD56" s="223"/>
      <c r="QDM56" s="223"/>
      <c r="QDN56" s="223"/>
      <c r="QDW56" s="223"/>
      <c r="QDX56" s="223"/>
      <c r="QEG56" s="223"/>
      <c r="QEH56" s="223"/>
      <c r="QEQ56" s="223"/>
      <c r="QER56" s="223"/>
      <c r="QFA56" s="223"/>
      <c r="QFB56" s="223"/>
      <c r="QFK56" s="223"/>
      <c r="QFL56" s="223"/>
      <c r="QFU56" s="223"/>
      <c r="QFV56" s="223"/>
      <c r="QGE56" s="223"/>
      <c r="QGF56" s="223"/>
      <c r="QGO56" s="223"/>
      <c r="QGP56" s="223"/>
      <c r="QGY56" s="223"/>
      <c r="QGZ56" s="223"/>
      <c r="QHI56" s="223"/>
      <c r="QHJ56" s="223"/>
      <c r="QHS56" s="223"/>
      <c r="QHT56" s="223"/>
      <c r="QIC56" s="223"/>
      <c r="QID56" s="223"/>
      <c r="QIM56" s="223"/>
      <c r="QIN56" s="223"/>
      <c r="QIW56" s="223"/>
      <c r="QIX56" s="223"/>
      <c r="QJG56" s="223"/>
      <c r="QJH56" s="223"/>
      <c r="QJQ56" s="223"/>
      <c r="QJR56" s="223"/>
      <c r="QKA56" s="223"/>
      <c r="QKB56" s="223"/>
      <c r="QKK56" s="223"/>
      <c r="QKL56" s="223"/>
      <c r="QKU56" s="223"/>
      <c r="QKV56" s="223"/>
      <c r="QLE56" s="223"/>
      <c r="QLF56" s="223"/>
      <c r="QLO56" s="223"/>
      <c r="QLP56" s="223"/>
      <c r="QLY56" s="223"/>
      <c r="QLZ56" s="223"/>
      <c r="QMI56" s="223"/>
      <c r="QMJ56" s="223"/>
      <c r="QMS56" s="223"/>
      <c r="QMT56" s="223"/>
      <c r="QNC56" s="223"/>
      <c r="QND56" s="223"/>
      <c r="QNM56" s="223"/>
      <c r="QNN56" s="223"/>
      <c r="QNW56" s="223"/>
      <c r="QNX56" s="223"/>
      <c r="QOG56" s="223"/>
      <c r="QOH56" s="223"/>
      <c r="QOQ56" s="223"/>
      <c r="QOR56" s="223"/>
      <c r="QPA56" s="223"/>
      <c r="QPB56" s="223"/>
      <c r="QPK56" s="223"/>
      <c r="QPL56" s="223"/>
      <c r="QPU56" s="223"/>
      <c r="QPV56" s="223"/>
      <c r="QQE56" s="223"/>
      <c r="QQF56" s="223"/>
      <c r="QQO56" s="223"/>
      <c r="QQP56" s="223"/>
      <c r="QQY56" s="223"/>
      <c r="QQZ56" s="223"/>
      <c r="QRI56" s="223"/>
      <c r="QRJ56" s="223"/>
      <c r="QRS56" s="223"/>
      <c r="QRT56" s="223"/>
      <c r="QSC56" s="223"/>
      <c r="QSD56" s="223"/>
      <c r="QSM56" s="223"/>
      <c r="QSN56" s="223"/>
      <c r="QSW56" s="223"/>
      <c r="QSX56" s="223"/>
      <c r="QTG56" s="223"/>
      <c r="QTH56" s="223"/>
      <c r="QTQ56" s="223"/>
      <c r="QTR56" s="223"/>
      <c r="QUA56" s="223"/>
      <c r="QUB56" s="223"/>
      <c r="QUK56" s="223"/>
      <c r="QUL56" s="223"/>
      <c r="QUU56" s="223"/>
      <c r="QUV56" s="223"/>
      <c r="QVE56" s="223"/>
      <c r="QVF56" s="223"/>
      <c r="QVO56" s="223"/>
      <c r="QVP56" s="223"/>
      <c r="QVY56" s="223"/>
      <c r="QVZ56" s="223"/>
      <c r="QWI56" s="223"/>
      <c r="QWJ56" s="223"/>
      <c r="QWS56" s="223"/>
      <c r="QWT56" s="223"/>
      <c r="QXC56" s="223"/>
      <c r="QXD56" s="223"/>
      <c r="QXM56" s="223"/>
      <c r="QXN56" s="223"/>
      <c r="QXW56" s="223"/>
      <c r="QXX56" s="223"/>
      <c r="QYG56" s="223"/>
      <c r="QYH56" s="223"/>
      <c r="QYQ56" s="223"/>
      <c r="QYR56" s="223"/>
      <c r="QZA56" s="223"/>
      <c r="QZB56" s="223"/>
      <c r="QZK56" s="223"/>
      <c r="QZL56" s="223"/>
      <c r="QZU56" s="223"/>
      <c r="QZV56" s="223"/>
      <c r="RAE56" s="223"/>
      <c r="RAF56" s="223"/>
      <c r="RAO56" s="223"/>
      <c r="RAP56" s="223"/>
      <c r="RAY56" s="223"/>
      <c r="RAZ56" s="223"/>
      <c r="RBI56" s="223"/>
      <c r="RBJ56" s="223"/>
      <c r="RBS56" s="223"/>
      <c r="RBT56" s="223"/>
      <c r="RCC56" s="223"/>
      <c r="RCD56" s="223"/>
      <c r="RCM56" s="223"/>
      <c r="RCN56" s="223"/>
      <c r="RCW56" s="223"/>
      <c r="RCX56" s="223"/>
      <c r="RDG56" s="223"/>
      <c r="RDH56" s="223"/>
      <c r="RDQ56" s="223"/>
      <c r="RDR56" s="223"/>
      <c r="REA56" s="223"/>
      <c r="REB56" s="223"/>
      <c r="REK56" s="223"/>
      <c r="REL56" s="223"/>
      <c r="REU56" s="223"/>
      <c r="REV56" s="223"/>
      <c r="RFE56" s="223"/>
      <c r="RFF56" s="223"/>
      <c r="RFO56" s="223"/>
      <c r="RFP56" s="223"/>
      <c r="RFY56" s="223"/>
      <c r="RFZ56" s="223"/>
      <c r="RGI56" s="223"/>
      <c r="RGJ56" s="223"/>
      <c r="RGS56" s="223"/>
      <c r="RGT56" s="223"/>
      <c r="RHC56" s="223"/>
      <c r="RHD56" s="223"/>
      <c r="RHM56" s="223"/>
      <c r="RHN56" s="223"/>
      <c r="RHW56" s="223"/>
      <c r="RHX56" s="223"/>
      <c r="RIG56" s="223"/>
      <c r="RIH56" s="223"/>
      <c r="RIQ56" s="223"/>
      <c r="RIR56" s="223"/>
      <c r="RJA56" s="223"/>
      <c r="RJB56" s="223"/>
      <c r="RJK56" s="223"/>
      <c r="RJL56" s="223"/>
      <c r="RJU56" s="223"/>
      <c r="RJV56" s="223"/>
      <c r="RKE56" s="223"/>
      <c r="RKF56" s="223"/>
      <c r="RKO56" s="223"/>
      <c r="RKP56" s="223"/>
      <c r="RKY56" s="223"/>
      <c r="RKZ56" s="223"/>
      <c r="RLI56" s="223"/>
      <c r="RLJ56" s="223"/>
      <c r="RLS56" s="223"/>
      <c r="RLT56" s="223"/>
      <c r="RMC56" s="223"/>
      <c r="RMD56" s="223"/>
      <c r="RMM56" s="223"/>
      <c r="RMN56" s="223"/>
      <c r="RMW56" s="223"/>
      <c r="RMX56" s="223"/>
      <c r="RNG56" s="223"/>
      <c r="RNH56" s="223"/>
      <c r="RNQ56" s="223"/>
      <c r="RNR56" s="223"/>
      <c r="ROA56" s="223"/>
      <c r="ROB56" s="223"/>
      <c r="ROK56" s="223"/>
      <c r="ROL56" s="223"/>
      <c r="ROU56" s="223"/>
      <c r="ROV56" s="223"/>
      <c r="RPE56" s="223"/>
      <c r="RPF56" s="223"/>
      <c r="RPO56" s="223"/>
      <c r="RPP56" s="223"/>
      <c r="RPY56" s="223"/>
      <c r="RPZ56" s="223"/>
      <c r="RQI56" s="223"/>
      <c r="RQJ56" s="223"/>
      <c r="RQS56" s="223"/>
      <c r="RQT56" s="223"/>
      <c r="RRC56" s="223"/>
      <c r="RRD56" s="223"/>
      <c r="RRM56" s="223"/>
      <c r="RRN56" s="223"/>
      <c r="RRW56" s="223"/>
      <c r="RRX56" s="223"/>
      <c r="RSG56" s="223"/>
      <c r="RSH56" s="223"/>
      <c r="RSQ56" s="223"/>
      <c r="RSR56" s="223"/>
      <c r="RTA56" s="223"/>
      <c r="RTB56" s="223"/>
      <c r="RTK56" s="223"/>
      <c r="RTL56" s="223"/>
      <c r="RTU56" s="223"/>
      <c r="RTV56" s="223"/>
      <c r="RUE56" s="223"/>
      <c r="RUF56" s="223"/>
      <c r="RUO56" s="223"/>
      <c r="RUP56" s="223"/>
      <c r="RUY56" s="223"/>
      <c r="RUZ56" s="223"/>
      <c r="RVI56" s="223"/>
      <c r="RVJ56" s="223"/>
      <c r="RVS56" s="223"/>
      <c r="RVT56" s="223"/>
      <c r="RWC56" s="223"/>
      <c r="RWD56" s="223"/>
      <c r="RWM56" s="223"/>
      <c r="RWN56" s="223"/>
      <c r="RWW56" s="223"/>
      <c r="RWX56" s="223"/>
      <c r="RXG56" s="223"/>
      <c r="RXH56" s="223"/>
      <c r="RXQ56" s="223"/>
      <c r="RXR56" s="223"/>
      <c r="RYA56" s="223"/>
      <c r="RYB56" s="223"/>
      <c r="RYK56" s="223"/>
      <c r="RYL56" s="223"/>
      <c r="RYU56" s="223"/>
      <c r="RYV56" s="223"/>
      <c r="RZE56" s="223"/>
      <c r="RZF56" s="223"/>
      <c r="RZO56" s="223"/>
      <c r="RZP56" s="223"/>
      <c r="RZY56" s="223"/>
      <c r="RZZ56" s="223"/>
      <c r="SAI56" s="223"/>
      <c r="SAJ56" s="223"/>
      <c r="SAS56" s="223"/>
      <c r="SAT56" s="223"/>
      <c r="SBC56" s="223"/>
      <c r="SBD56" s="223"/>
      <c r="SBM56" s="223"/>
      <c r="SBN56" s="223"/>
      <c r="SBW56" s="223"/>
      <c r="SBX56" s="223"/>
      <c r="SCG56" s="223"/>
      <c r="SCH56" s="223"/>
      <c r="SCQ56" s="223"/>
      <c r="SCR56" s="223"/>
      <c r="SDA56" s="223"/>
      <c r="SDB56" s="223"/>
      <c r="SDK56" s="223"/>
      <c r="SDL56" s="223"/>
      <c r="SDU56" s="223"/>
      <c r="SDV56" s="223"/>
      <c r="SEE56" s="223"/>
      <c r="SEF56" s="223"/>
      <c r="SEO56" s="223"/>
      <c r="SEP56" s="223"/>
      <c r="SEY56" s="223"/>
      <c r="SEZ56" s="223"/>
      <c r="SFI56" s="223"/>
      <c r="SFJ56" s="223"/>
      <c r="SFS56" s="223"/>
      <c r="SFT56" s="223"/>
      <c r="SGC56" s="223"/>
      <c r="SGD56" s="223"/>
      <c r="SGM56" s="223"/>
      <c r="SGN56" s="223"/>
      <c r="SGW56" s="223"/>
      <c r="SGX56" s="223"/>
      <c r="SHG56" s="223"/>
      <c r="SHH56" s="223"/>
      <c r="SHQ56" s="223"/>
      <c r="SHR56" s="223"/>
      <c r="SIA56" s="223"/>
      <c r="SIB56" s="223"/>
      <c r="SIK56" s="223"/>
      <c r="SIL56" s="223"/>
      <c r="SIU56" s="223"/>
      <c r="SIV56" s="223"/>
      <c r="SJE56" s="223"/>
      <c r="SJF56" s="223"/>
      <c r="SJO56" s="223"/>
      <c r="SJP56" s="223"/>
      <c r="SJY56" s="223"/>
      <c r="SJZ56" s="223"/>
      <c r="SKI56" s="223"/>
      <c r="SKJ56" s="223"/>
      <c r="SKS56" s="223"/>
      <c r="SKT56" s="223"/>
      <c r="SLC56" s="223"/>
      <c r="SLD56" s="223"/>
      <c r="SLM56" s="223"/>
      <c r="SLN56" s="223"/>
      <c r="SLW56" s="223"/>
      <c r="SLX56" s="223"/>
      <c r="SMG56" s="223"/>
      <c r="SMH56" s="223"/>
      <c r="SMQ56" s="223"/>
      <c r="SMR56" s="223"/>
      <c r="SNA56" s="223"/>
      <c r="SNB56" s="223"/>
      <c r="SNK56" s="223"/>
      <c r="SNL56" s="223"/>
      <c r="SNU56" s="223"/>
      <c r="SNV56" s="223"/>
      <c r="SOE56" s="223"/>
      <c r="SOF56" s="223"/>
      <c r="SOO56" s="223"/>
      <c r="SOP56" s="223"/>
      <c r="SOY56" s="223"/>
      <c r="SOZ56" s="223"/>
      <c r="SPI56" s="223"/>
      <c r="SPJ56" s="223"/>
      <c r="SPS56" s="223"/>
      <c r="SPT56" s="223"/>
      <c r="SQC56" s="223"/>
      <c r="SQD56" s="223"/>
      <c r="SQM56" s="223"/>
      <c r="SQN56" s="223"/>
      <c r="SQW56" s="223"/>
      <c r="SQX56" s="223"/>
      <c r="SRG56" s="223"/>
      <c r="SRH56" s="223"/>
      <c r="SRQ56" s="223"/>
      <c r="SRR56" s="223"/>
      <c r="SSA56" s="223"/>
      <c r="SSB56" s="223"/>
      <c r="SSK56" s="223"/>
      <c r="SSL56" s="223"/>
      <c r="SSU56" s="223"/>
      <c r="SSV56" s="223"/>
      <c r="STE56" s="223"/>
      <c r="STF56" s="223"/>
      <c r="STO56" s="223"/>
      <c r="STP56" s="223"/>
      <c r="STY56" s="223"/>
      <c r="STZ56" s="223"/>
      <c r="SUI56" s="223"/>
      <c r="SUJ56" s="223"/>
      <c r="SUS56" s="223"/>
      <c r="SUT56" s="223"/>
      <c r="SVC56" s="223"/>
      <c r="SVD56" s="223"/>
      <c r="SVM56" s="223"/>
      <c r="SVN56" s="223"/>
      <c r="SVW56" s="223"/>
      <c r="SVX56" s="223"/>
      <c r="SWG56" s="223"/>
      <c r="SWH56" s="223"/>
      <c r="SWQ56" s="223"/>
      <c r="SWR56" s="223"/>
      <c r="SXA56" s="223"/>
      <c r="SXB56" s="223"/>
      <c r="SXK56" s="223"/>
      <c r="SXL56" s="223"/>
      <c r="SXU56" s="223"/>
      <c r="SXV56" s="223"/>
      <c r="SYE56" s="223"/>
      <c r="SYF56" s="223"/>
      <c r="SYO56" s="223"/>
      <c r="SYP56" s="223"/>
      <c r="SYY56" s="223"/>
      <c r="SYZ56" s="223"/>
      <c r="SZI56" s="223"/>
      <c r="SZJ56" s="223"/>
      <c r="SZS56" s="223"/>
      <c r="SZT56" s="223"/>
      <c r="TAC56" s="223"/>
      <c r="TAD56" s="223"/>
      <c r="TAM56" s="223"/>
      <c r="TAN56" s="223"/>
      <c r="TAW56" s="223"/>
      <c r="TAX56" s="223"/>
      <c r="TBG56" s="223"/>
      <c r="TBH56" s="223"/>
      <c r="TBQ56" s="223"/>
      <c r="TBR56" s="223"/>
      <c r="TCA56" s="223"/>
      <c r="TCB56" s="223"/>
      <c r="TCK56" s="223"/>
      <c r="TCL56" s="223"/>
      <c r="TCU56" s="223"/>
      <c r="TCV56" s="223"/>
      <c r="TDE56" s="223"/>
      <c r="TDF56" s="223"/>
      <c r="TDO56" s="223"/>
      <c r="TDP56" s="223"/>
      <c r="TDY56" s="223"/>
      <c r="TDZ56" s="223"/>
      <c r="TEI56" s="223"/>
      <c r="TEJ56" s="223"/>
      <c r="TES56" s="223"/>
      <c r="TET56" s="223"/>
      <c r="TFC56" s="223"/>
      <c r="TFD56" s="223"/>
      <c r="TFM56" s="223"/>
      <c r="TFN56" s="223"/>
      <c r="TFW56" s="223"/>
      <c r="TFX56" s="223"/>
      <c r="TGG56" s="223"/>
      <c r="TGH56" s="223"/>
      <c r="TGQ56" s="223"/>
      <c r="TGR56" s="223"/>
      <c r="THA56" s="223"/>
      <c r="THB56" s="223"/>
      <c r="THK56" s="223"/>
      <c r="THL56" s="223"/>
      <c r="THU56" s="223"/>
      <c r="THV56" s="223"/>
      <c r="TIE56" s="223"/>
      <c r="TIF56" s="223"/>
      <c r="TIO56" s="223"/>
      <c r="TIP56" s="223"/>
      <c r="TIY56" s="223"/>
      <c r="TIZ56" s="223"/>
      <c r="TJI56" s="223"/>
      <c r="TJJ56" s="223"/>
      <c r="TJS56" s="223"/>
      <c r="TJT56" s="223"/>
      <c r="TKC56" s="223"/>
      <c r="TKD56" s="223"/>
      <c r="TKM56" s="223"/>
      <c r="TKN56" s="223"/>
      <c r="TKW56" s="223"/>
      <c r="TKX56" s="223"/>
      <c r="TLG56" s="223"/>
      <c r="TLH56" s="223"/>
      <c r="TLQ56" s="223"/>
      <c r="TLR56" s="223"/>
      <c r="TMA56" s="223"/>
      <c r="TMB56" s="223"/>
      <c r="TMK56" s="223"/>
      <c r="TML56" s="223"/>
      <c r="TMU56" s="223"/>
      <c r="TMV56" s="223"/>
      <c r="TNE56" s="223"/>
      <c r="TNF56" s="223"/>
      <c r="TNO56" s="223"/>
      <c r="TNP56" s="223"/>
      <c r="TNY56" s="223"/>
      <c r="TNZ56" s="223"/>
      <c r="TOI56" s="223"/>
      <c r="TOJ56" s="223"/>
      <c r="TOS56" s="223"/>
      <c r="TOT56" s="223"/>
      <c r="TPC56" s="223"/>
      <c r="TPD56" s="223"/>
      <c r="TPM56" s="223"/>
      <c r="TPN56" s="223"/>
      <c r="TPW56" s="223"/>
      <c r="TPX56" s="223"/>
      <c r="TQG56" s="223"/>
      <c r="TQH56" s="223"/>
      <c r="TQQ56" s="223"/>
      <c r="TQR56" s="223"/>
      <c r="TRA56" s="223"/>
      <c r="TRB56" s="223"/>
      <c r="TRK56" s="223"/>
      <c r="TRL56" s="223"/>
      <c r="TRU56" s="223"/>
      <c r="TRV56" s="223"/>
      <c r="TSE56" s="223"/>
      <c r="TSF56" s="223"/>
      <c r="TSO56" s="223"/>
      <c r="TSP56" s="223"/>
      <c r="TSY56" s="223"/>
      <c r="TSZ56" s="223"/>
      <c r="TTI56" s="223"/>
      <c r="TTJ56" s="223"/>
      <c r="TTS56" s="223"/>
      <c r="TTT56" s="223"/>
      <c r="TUC56" s="223"/>
      <c r="TUD56" s="223"/>
      <c r="TUM56" s="223"/>
      <c r="TUN56" s="223"/>
      <c r="TUW56" s="223"/>
      <c r="TUX56" s="223"/>
      <c r="TVG56" s="223"/>
      <c r="TVH56" s="223"/>
      <c r="TVQ56" s="223"/>
      <c r="TVR56" s="223"/>
      <c r="TWA56" s="223"/>
      <c r="TWB56" s="223"/>
      <c r="TWK56" s="223"/>
      <c r="TWL56" s="223"/>
      <c r="TWU56" s="223"/>
      <c r="TWV56" s="223"/>
      <c r="TXE56" s="223"/>
      <c r="TXF56" s="223"/>
      <c r="TXO56" s="223"/>
      <c r="TXP56" s="223"/>
      <c r="TXY56" s="223"/>
      <c r="TXZ56" s="223"/>
      <c r="TYI56" s="223"/>
      <c r="TYJ56" s="223"/>
      <c r="TYS56" s="223"/>
      <c r="TYT56" s="223"/>
      <c r="TZC56" s="223"/>
      <c r="TZD56" s="223"/>
      <c r="TZM56" s="223"/>
      <c r="TZN56" s="223"/>
      <c r="TZW56" s="223"/>
      <c r="TZX56" s="223"/>
      <c r="UAG56" s="223"/>
      <c r="UAH56" s="223"/>
      <c r="UAQ56" s="223"/>
      <c r="UAR56" s="223"/>
      <c r="UBA56" s="223"/>
      <c r="UBB56" s="223"/>
      <c r="UBK56" s="223"/>
      <c r="UBL56" s="223"/>
      <c r="UBU56" s="223"/>
      <c r="UBV56" s="223"/>
      <c r="UCE56" s="223"/>
      <c r="UCF56" s="223"/>
      <c r="UCO56" s="223"/>
      <c r="UCP56" s="223"/>
      <c r="UCY56" s="223"/>
      <c r="UCZ56" s="223"/>
      <c r="UDI56" s="223"/>
      <c r="UDJ56" s="223"/>
      <c r="UDS56" s="223"/>
      <c r="UDT56" s="223"/>
      <c r="UEC56" s="223"/>
      <c r="UED56" s="223"/>
      <c r="UEM56" s="223"/>
      <c r="UEN56" s="223"/>
      <c r="UEW56" s="223"/>
      <c r="UEX56" s="223"/>
      <c r="UFG56" s="223"/>
      <c r="UFH56" s="223"/>
      <c r="UFQ56" s="223"/>
      <c r="UFR56" s="223"/>
      <c r="UGA56" s="223"/>
      <c r="UGB56" s="223"/>
      <c r="UGK56" s="223"/>
      <c r="UGL56" s="223"/>
      <c r="UGU56" s="223"/>
      <c r="UGV56" s="223"/>
      <c r="UHE56" s="223"/>
      <c r="UHF56" s="223"/>
      <c r="UHO56" s="223"/>
      <c r="UHP56" s="223"/>
      <c r="UHY56" s="223"/>
      <c r="UHZ56" s="223"/>
      <c r="UII56" s="223"/>
      <c r="UIJ56" s="223"/>
      <c r="UIS56" s="223"/>
      <c r="UIT56" s="223"/>
      <c r="UJC56" s="223"/>
      <c r="UJD56" s="223"/>
      <c r="UJM56" s="223"/>
      <c r="UJN56" s="223"/>
      <c r="UJW56" s="223"/>
      <c r="UJX56" s="223"/>
      <c r="UKG56" s="223"/>
      <c r="UKH56" s="223"/>
      <c r="UKQ56" s="223"/>
      <c r="UKR56" s="223"/>
      <c r="ULA56" s="223"/>
      <c r="ULB56" s="223"/>
      <c r="ULK56" s="223"/>
      <c r="ULL56" s="223"/>
      <c r="ULU56" s="223"/>
      <c r="ULV56" s="223"/>
      <c r="UME56" s="223"/>
      <c r="UMF56" s="223"/>
      <c r="UMO56" s="223"/>
      <c r="UMP56" s="223"/>
      <c r="UMY56" s="223"/>
      <c r="UMZ56" s="223"/>
      <c r="UNI56" s="223"/>
      <c r="UNJ56" s="223"/>
      <c r="UNS56" s="223"/>
      <c r="UNT56" s="223"/>
      <c r="UOC56" s="223"/>
      <c r="UOD56" s="223"/>
      <c r="UOM56" s="223"/>
      <c r="UON56" s="223"/>
      <c r="UOW56" s="223"/>
      <c r="UOX56" s="223"/>
      <c r="UPG56" s="223"/>
      <c r="UPH56" s="223"/>
      <c r="UPQ56" s="223"/>
      <c r="UPR56" s="223"/>
      <c r="UQA56" s="223"/>
      <c r="UQB56" s="223"/>
      <c r="UQK56" s="223"/>
      <c r="UQL56" s="223"/>
      <c r="UQU56" s="223"/>
      <c r="UQV56" s="223"/>
      <c r="URE56" s="223"/>
      <c r="URF56" s="223"/>
      <c r="URO56" s="223"/>
      <c r="URP56" s="223"/>
      <c r="URY56" s="223"/>
      <c r="URZ56" s="223"/>
      <c r="USI56" s="223"/>
      <c r="USJ56" s="223"/>
      <c r="USS56" s="223"/>
      <c r="UST56" s="223"/>
      <c r="UTC56" s="223"/>
      <c r="UTD56" s="223"/>
      <c r="UTM56" s="223"/>
      <c r="UTN56" s="223"/>
      <c r="UTW56" s="223"/>
      <c r="UTX56" s="223"/>
      <c r="UUG56" s="223"/>
      <c r="UUH56" s="223"/>
      <c r="UUQ56" s="223"/>
      <c r="UUR56" s="223"/>
      <c r="UVA56" s="223"/>
      <c r="UVB56" s="223"/>
      <c r="UVK56" s="223"/>
      <c r="UVL56" s="223"/>
      <c r="UVU56" s="223"/>
      <c r="UVV56" s="223"/>
      <c r="UWE56" s="223"/>
      <c r="UWF56" s="223"/>
      <c r="UWO56" s="223"/>
      <c r="UWP56" s="223"/>
      <c r="UWY56" s="223"/>
      <c r="UWZ56" s="223"/>
      <c r="UXI56" s="223"/>
      <c r="UXJ56" s="223"/>
      <c r="UXS56" s="223"/>
      <c r="UXT56" s="223"/>
      <c r="UYC56" s="223"/>
      <c r="UYD56" s="223"/>
      <c r="UYM56" s="223"/>
      <c r="UYN56" s="223"/>
      <c r="UYW56" s="223"/>
      <c r="UYX56" s="223"/>
      <c r="UZG56" s="223"/>
      <c r="UZH56" s="223"/>
      <c r="UZQ56" s="223"/>
      <c r="UZR56" s="223"/>
      <c r="VAA56" s="223"/>
      <c r="VAB56" s="223"/>
      <c r="VAK56" s="223"/>
      <c r="VAL56" s="223"/>
      <c r="VAU56" s="223"/>
      <c r="VAV56" s="223"/>
      <c r="VBE56" s="223"/>
      <c r="VBF56" s="223"/>
      <c r="VBO56" s="223"/>
      <c r="VBP56" s="223"/>
      <c r="VBY56" s="223"/>
      <c r="VBZ56" s="223"/>
      <c r="VCI56" s="223"/>
      <c r="VCJ56" s="223"/>
      <c r="VCS56" s="223"/>
      <c r="VCT56" s="223"/>
      <c r="VDC56" s="223"/>
      <c r="VDD56" s="223"/>
      <c r="VDM56" s="223"/>
      <c r="VDN56" s="223"/>
      <c r="VDW56" s="223"/>
      <c r="VDX56" s="223"/>
      <c r="VEG56" s="223"/>
      <c r="VEH56" s="223"/>
      <c r="VEQ56" s="223"/>
      <c r="VER56" s="223"/>
      <c r="VFA56" s="223"/>
      <c r="VFB56" s="223"/>
      <c r="VFK56" s="223"/>
      <c r="VFL56" s="223"/>
      <c r="VFU56" s="223"/>
      <c r="VFV56" s="223"/>
      <c r="VGE56" s="223"/>
      <c r="VGF56" s="223"/>
      <c r="VGO56" s="223"/>
      <c r="VGP56" s="223"/>
      <c r="VGY56" s="223"/>
      <c r="VGZ56" s="223"/>
      <c r="VHI56" s="223"/>
      <c r="VHJ56" s="223"/>
      <c r="VHS56" s="223"/>
      <c r="VHT56" s="223"/>
      <c r="VIC56" s="223"/>
      <c r="VID56" s="223"/>
      <c r="VIM56" s="223"/>
      <c r="VIN56" s="223"/>
      <c r="VIW56" s="223"/>
      <c r="VIX56" s="223"/>
      <c r="VJG56" s="223"/>
      <c r="VJH56" s="223"/>
      <c r="VJQ56" s="223"/>
      <c r="VJR56" s="223"/>
      <c r="VKA56" s="223"/>
      <c r="VKB56" s="223"/>
      <c r="VKK56" s="223"/>
      <c r="VKL56" s="223"/>
      <c r="VKU56" s="223"/>
      <c r="VKV56" s="223"/>
      <c r="VLE56" s="223"/>
      <c r="VLF56" s="223"/>
      <c r="VLO56" s="223"/>
      <c r="VLP56" s="223"/>
      <c r="VLY56" s="223"/>
      <c r="VLZ56" s="223"/>
      <c r="VMI56" s="223"/>
      <c r="VMJ56" s="223"/>
      <c r="VMS56" s="223"/>
      <c r="VMT56" s="223"/>
      <c r="VNC56" s="223"/>
      <c r="VND56" s="223"/>
      <c r="VNM56" s="223"/>
      <c r="VNN56" s="223"/>
      <c r="VNW56" s="223"/>
      <c r="VNX56" s="223"/>
      <c r="VOG56" s="223"/>
      <c r="VOH56" s="223"/>
      <c r="VOQ56" s="223"/>
      <c r="VOR56" s="223"/>
      <c r="VPA56" s="223"/>
      <c r="VPB56" s="223"/>
      <c r="VPK56" s="223"/>
      <c r="VPL56" s="223"/>
      <c r="VPU56" s="223"/>
      <c r="VPV56" s="223"/>
      <c r="VQE56" s="223"/>
      <c r="VQF56" s="223"/>
      <c r="VQO56" s="223"/>
      <c r="VQP56" s="223"/>
      <c r="VQY56" s="223"/>
      <c r="VQZ56" s="223"/>
      <c r="VRI56" s="223"/>
      <c r="VRJ56" s="223"/>
      <c r="VRS56" s="223"/>
      <c r="VRT56" s="223"/>
      <c r="VSC56" s="223"/>
      <c r="VSD56" s="223"/>
      <c r="VSM56" s="223"/>
      <c r="VSN56" s="223"/>
      <c r="VSW56" s="223"/>
      <c r="VSX56" s="223"/>
      <c r="VTG56" s="223"/>
      <c r="VTH56" s="223"/>
      <c r="VTQ56" s="223"/>
      <c r="VTR56" s="223"/>
      <c r="VUA56" s="223"/>
      <c r="VUB56" s="223"/>
      <c r="VUK56" s="223"/>
      <c r="VUL56" s="223"/>
      <c r="VUU56" s="223"/>
      <c r="VUV56" s="223"/>
      <c r="VVE56" s="223"/>
      <c r="VVF56" s="223"/>
      <c r="VVO56" s="223"/>
      <c r="VVP56" s="223"/>
      <c r="VVY56" s="223"/>
      <c r="VVZ56" s="223"/>
      <c r="VWI56" s="223"/>
      <c r="VWJ56" s="223"/>
      <c r="VWS56" s="223"/>
      <c r="VWT56" s="223"/>
      <c r="VXC56" s="223"/>
      <c r="VXD56" s="223"/>
      <c r="VXM56" s="223"/>
      <c r="VXN56" s="223"/>
      <c r="VXW56" s="223"/>
      <c r="VXX56" s="223"/>
      <c r="VYG56" s="223"/>
      <c r="VYH56" s="223"/>
      <c r="VYQ56" s="223"/>
      <c r="VYR56" s="223"/>
      <c r="VZA56" s="223"/>
      <c r="VZB56" s="223"/>
      <c r="VZK56" s="223"/>
      <c r="VZL56" s="223"/>
      <c r="VZU56" s="223"/>
      <c r="VZV56" s="223"/>
      <c r="WAE56" s="223"/>
      <c r="WAF56" s="223"/>
      <c r="WAO56" s="223"/>
      <c r="WAP56" s="223"/>
      <c r="WAY56" s="223"/>
      <c r="WAZ56" s="223"/>
      <c r="WBI56" s="223"/>
      <c r="WBJ56" s="223"/>
      <c r="WBS56" s="223"/>
      <c r="WBT56" s="223"/>
      <c r="WCC56" s="223"/>
      <c r="WCD56" s="223"/>
      <c r="WCM56" s="223"/>
      <c r="WCN56" s="223"/>
      <c r="WCW56" s="223"/>
      <c r="WCX56" s="223"/>
      <c r="WDG56" s="223"/>
      <c r="WDH56" s="223"/>
      <c r="WDQ56" s="223"/>
      <c r="WDR56" s="223"/>
      <c r="WEA56" s="223"/>
      <c r="WEB56" s="223"/>
      <c r="WEK56" s="223"/>
      <c r="WEL56" s="223"/>
      <c r="WEU56" s="223"/>
      <c r="WEV56" s="223"/>
      <c r="WFE56" s="223"/>
      <c r="WFF56" s="223"/>
      <c r="WFO56" s="223"/>
      <c r="WFP56" s="223"/>
      <c r="WFY56" s="223"/>
      <c r="WFZ56" s="223"/>
      <c r="WGI56" s="223"/>
      <c r="WGJ56" s="223"/>
      <c r="WGS56" s="223"/>
      <c r="WGT56" s="223"/>
      <c r="WHC56" s="223"/>
      <c r="WHD56" s="223"/>
      <c r="WHM56" s="223"/>
      <c r="WHN56" s="223"/>
      <c r="WHW56" s="223"/>
      <c r="WHX56" s="223"/>
      <c r="WIG56" s="223"/>
      <c r="WIH56" s="223"/>
      <c r="WIQ56" s="223"/>
      <c r="WIR56" s="223"/>
      <c r="WJA56" s="223"/>
      <c r="WJB56" s="223"/>
      <c r="WJK56" s="223"/>
      <c r="WJL56" s="223"/>
      <c r="WJU56" s="223"/>
      <c r="WJV56" s="223"/>
      <c r="WKE56" s="223"/>
      <c r="WKF56" s="223"/>
      <c r="WKO56" s="223"/>
      <c r="WKP56" s="223"/>
      <c r="WKY56" s="223"/>
      <c r="WKZ56" s="223"/>
      <c r="WLI56" s="223"/>
      <c r="WLJ56" s="223"/>
      <c r="WLS56" s="223"/>
      <c r="WLT56" s="223"/>
      <c r="WMC56" s="223"/>
      <c r="WMD56" s="223"/>
      <c r="WMM56" s="223"/>
      <c r="WMN56" s="223"/>
      <c r="WMW56" s="223"/>
      <c r="WMX56" s="223"/>
      <c r="WNG56" s="223"/>
      <c r="WNH56" s="223"/>
      <c r="WNQ56" s="223"/>
      <c r="WNR56" s="223"/>
      <c r="WOA56" s="223"/>
      <c r="WOB56" s="223"/>
      <c r="WOK56" s="223"/>
      <c r="WOL56" s="223"/>
      <c r="WOU56" s="223"/>
      <c r="WOV56" s="223"/>
      <c r="WPE56" s="223"/>
      <c r="WPF56" s="223"/>
      <c r="WPO56" s="223"/>
      <c r="WPP56" s="223"/>
      <c r="WPY56" s="223"/>
      <c r="WPZ56" s="223"/>
      <c r="WQI56" s="223"/>
      <c r="WQJ56" s="223"/>
      <c r="WQS56" s="223"/>
      <c r="WQT56" s="223"/>
      <c r="WRC56" s="223"/>
      <c r="WRD56" s="223"/>
      <c r="WRM56" s="223"/>
      <c r="WRN56" s="223"/>
      <c r="WRW56" s="223"/>
      <c r="WRX56" s="223"/>
      <c r="WSG56" s="223"/>
      <c r="WSH56" s="223"/>
      <c r="WSQ56" s="223"/>
      <c r="WSR56" s="223"/>
      <c r="WTA56" s="223"/>
      <c r="WTB56" s="223"/>
      <c r="WTK56" s="223"/>
      <c r="WTL56" s="223"/>
      <c r="WTU56" s="223"/>
      <c r="WTV56" s="223"/>
      <c r="WUE56" s="223"/>
      <c r="WUF56" s="223"/>
      <c r="WUO56" s="223"/>
      <c r="WUP56" s="223"/>
      <c r="WUY56" s="223"/>
      <c r="WUZ56" s="223"/>
      <c r="WVI56" s="223"/>
      <c r="WVJ56" s="223"/>
      <c r="WVS56" s="223"/>
      <c r="WVT56" s="223"/>
      <c r="WWC56" s="223"/>
      <c r="WWD56" s="223"/>
      <c r="WWM56" s="223"/>
      <c r="WWN56" s="223"/>
      <c r="WWW56" s="223"/>
      <c r="WWX56" s="223"/>
      <c r="WXG56" s="223"/>
      <c r="WXH56" s="223"/>
      <c r="WXQ56" s="223"/>
      <c r="WXR56" s="223"/>
      <c r="WYA56" s="223"/>
      <c r="WYB56" s="223"/>
      <c r="WYK56" s="223"/>
      <c r="WYL56" s="223"/>
      <c r="WYU56" s="223"/>
      <c r="WYV56" s="223"/>
      <c r="WZE56" s="223"/>
      <c r="WZF56" s="223"/>
      <c r="WZO56" s="223"/>
      <c r="WZP56" s="223"/>
      <c r="WZY56" s="223"/>
      <c r="WZZ56" s="223"/>
      <c r="XAI56" s="223"/>
      <c r="XAJ56" s="223"/>
      <c r="XAS56" s="223"/>
      <c r="XAT56" s="223"/>
      <c r="XBC56" s="223"/>
      <c r="XBD56" s="223"/>
      <c r="XBM56" s="223"/>
      <c r="XBN56" s="223"/>
      <c r="XBW56" s="223"/>
      <c r="XBX56" s="223"/>
      <c r="XCG56" s="223"/>
      <c r="XCH56" s="223"/>
      <c r="XCQ56" s="223"/>
      <c r="XCR56" s="223"/>
      <c r="XDA56" s="223"/>
      <c r="XDB56" s="223"/>
      <c r="XDK56" s="223"/>
      <c r="XDL56" s="223"/>
      <c r="XDU56" s="223"/>
      <c r="XDV56" s="223"/>
      <c r="XEE56" s="223"/>
      <c r="XEF56" s="223"/>
      <c r="XEO56" s="223"/>
      <c r="XEP56" s="223"/>
      <c r="XEY56" s="223"/>
      <c r="XEZ56" s="223"/>
    </row>
    <row r="57" spans="1:1020 1029:2040 2049:3070 3079:4090 4099:5120 5129:6140 6149:7160 7169:8190 8199:9210 9219:10240 10249:11260 11269:12280 12289:13310 13319:14330 14339:15360 15369:16380" ht="48" customHeight="1" thickBot="1" x14ac:dyDescent="0.25">
      <c r="A57" s="1817" t="s">
        <v>185</v>
      </c>
      <c r="B57" s="1806" t="s">
        <v>140</v>
      </c>
      <c r="C57" s="1808" t="s">
        <v>186</v>
      </c>
      <c r="D57" s="1809"/>
      <c r="E57" s="1878" t="s">
        <v>600</v>
      </c>
      <c r="F57" s="1817" t="s">
        <v>540</v>
      </c>
      <c r="G57" s="1803" t="s">
        <v>189</v>
      </c>
      <c r="H57" s="1804"/>
      <c r="I57" s="1803" t="s">
        <v>190</v>
      </c>
      <c r="J57" s="1804"/>
      <c r="K57" s="1803" t="s">
        <v>191</v>
      </c>
      <c r="L57" s="1804"/>
      <c r="M57" s="1256" t="s">
        <v>192</v>
      </c>
    </row>
    <row r="58" spans="1:1020 1029:2040 2049:3070 3079:4090 4099:5120 5129:6140 6149:7160 7169:8190 8199:9210 9219:10240 10249:11260 11269:12280 12289:13310 13319:14330 14339:15360 15369:16380" ht="33" customHeight="1" thickBot="1" x14ac:dyDescent="0.25">
      <c r="A58" s="1818"/>
      <c r="B58" s="1807"/>
      <c r="C58" s="410" t="s">
        <v>193</v>
      </c>
      <c r="D58" s="410" t="s">
        <v>194</v>
      </c>
      <c r="E58" s="1879"/>
      <c r="F58" s="1818"/>
      <c r="G58" s="1018" t="s">
        <v>195</v>
      </c>
      <c r="H58" s="1018" t="s">
        <v>196</v>
      </c>
      <c r="I58" s="1018" t="s">
        <v>195</v>
      </c>
      <c r="J58" s="1018" t="s">
        <v>196</v>
      </c>
      <c r="K58" s="1018" t="s">
        <v>195</v>
      </c>
      <c r="L58" s="1018" t="s">
        <v>196</v>
      </c>
      <c r="M58" s="1257" t="s">
        <v>197</v>
      </c>
    </row>
    <row r="59" spans="1:1020 1029:2040 2049:3070 3079:4090 4099:5120 5129:6140 6149:7160 7169:8190 8199:9210 9219:10240 10249:11260 11269:12280 12289:13310 13319:14330 14339:15360 15369:16380" ht="27" customHeight="1" x14ac:dyDescent="0.2">
      <c r="A59" s="1019">
        <v>1</v>
      </c>
      <c r="B59" s="1020" t="str">
        <f>'DATOS &lt;'!F60</f>
        <v>1</v>
      </c>
      <c r="C59" s="1021" t="str">
        <f>'DATOS &lt;'!B60</f>
        <v>1 g</v>
      </c>
      <c r="D59" s="1059" t="e">
        <f>'1 g &lt;'!$F$75</f>
        <v>#N/A</v>
      </c>
      <c r="E59" s="1059">
        <f>'DATOS &lt;'!C93</f>
        <v>0.33</v>
      </c>
      <c r="F59" s="1022">
        <f>'DATOS &lt;'!D93</f>
        <v>1</v>
      </c>
      <c r="G59" s="1023" t="e">
        <f>'gramo Max-Min &lt; '!C12</f>
        <v>#N/A</v>
      </c>
      <c r="H59" s="1023" t="e">
        <f>'gramo Max-Min &lt; '!C12</f>
        <v>#N/A</v>
      </c>
      <c r="I59" s="1023" t="e">
        <f>'gramo Max-Min &lt; '!D12</f>
        <v>#N/A</v>
      </c>
      <c r="J59" s="1023" t="e">
        <f>'gramo Max-Min &lt; '!D11</f>
        <v>#N/A</v>
      </c>
      <c r="K59" s="1023" t="e">
        <f>'gramo Max-Min &lt; '!E12</f>
        <v>#N/A</v>
      </c>
      <c r="L59" s="1023" t="e">
        <f>'gramo Max-Min &lt; '!E11</f>
        <v>#N/A</v>
      </c>
      <c r="M59" s="1024" t="e">
        <f t="shared" ref="M59:M78" si="0">IF(ABS(D59)+E59&lt;=F59,"SI","NO")</f>
        <v>#N/A</v>
      </c>
    </row>
    <row r="60" spans="1:1020 1029:2040 2049:3070 3079:4090 4099:5120 5129:6140 6149:7160 7169:8190 8199:9210 9219:10240 10249:11260 11269:12280 12289:13310 13319:14330 14339:15360 15369:16380" ht="27" customHeight="1" x14ac:dyDescent="0.2">
      <c r="A60" s="1025">
        <v>2</v>
      </c>
      <c r="B60" s="1026" t="str">
        <f>'DATOS &lt;'!F61</f>
        <v>2</v>
      </c>
      <c r="C60" s="1027" t="str">
        <f>'DATOS &lt;'!B61</f>
        <v>2 g</v>
      </c>
      <c r="D60" s="1060" t="e">
        <f>'2 g &lt;'!$F$75</f>
        <v>#N/A</v>
      </c>
      <c r="E60" s="1060">
        <f>'DATOS &lt;'!C94</f>
        <v>0.4</v>
      </c>
      <c r="F60" s="1028">
        <f>'DATOS &lt;'!D94</f>
        <v>1.2</v>
      </c>
      <c r="G60" s="1029" t="e">
        <f>'gramo Max-Min &lt; '!C21</f>
        <v>#N/A</v>
      </c>
      <c r="H60" s="1029" t="e">
        <f>'gramo Max-Min &lt; '!C20</f>
        <v>#N/A</v>
      </c>
      <c r="I60" s="1029" t="e">
        <f>'gramo Max-Min &lt; '!D21</f>
        <v>#N/A</v>
      </c>
      <c r="J60" s="1029" t="e">
        <f>'gramo Max-Min &lt; '!D20</f>
        <v>#N/A</v>
      </c>
      <c r="K60" s="1029" t="e">
        <f>'gramo Max-Min &lt; '!E21</f>
        <v>#N/A</v>
      </c>
      <c r="L60" s="1029" t="e">
        <f>'gramo Max-Min &lt; '!E20</f>
        <v>#N/A</v>
      </c>
      <c r="M60" s="1030" t="e">
        <f t="shared" si="0"/>
        <v>#N/A</v>
      </c>
    </row>
    <row r="61" spans="1:1020 1029:2040 2049:3070 3079:4090 4099:5120 5129:6140 6149:7160 7169:8190 8199:9210 9219:10240 10249:11260 11269:12280 12289:13310 13319:14330 14339:15360 15369:16380" ht="27" customHeight="1" x14ac:dyDescent="0.2">
      <c r="A61" s="1025">
        <v>3</v>
      </c>
      <c r="B61" s="1026" t="str">
        <f>'DATOS &lt;'!F62</f>
        <v>2*</v>
      </c>
      <c r="C61" s="1027" t="str">
        <f>'DATOS &lt;'!B61</f>
        <v>2 g</v>
      </c>
      <c r="D61" s="1060" t="e">
        <f>'2 g + &lt;'!$F$75</f>
        <v>#N/A</v>
      </c>
      <c r="E61" s="1060">
        <f>'DATOS &lt;'!C95</f>
        <v>0.4</v>
      </c>
      <c r="F61" s="1028">
        <f>'DATOS &lt;'!D95</f>
        <v>1.2</v>
      </c>
      <c r="G61" s="1029" t="e">
        <f>'gramo Max-Min &lt; '!C30</f>
        <v>#N/A</v>
      </c>
      <c r="H61" s="1029" t="e">
        <f>'gramo Max-Min &lt; '!C29</f>
        <v>#N/A</v>
      </c>
      <c r="I61" s="1029" t="e">
        <f>'gramo Max-Min &lt; '!D30</f>
        <v>#N/A</v>
      </c>
      <c r="J61" s="1029" t="e">
        <f>'gramo Max-Min &lt; '!D29</f>
        <v>#N/A</v>
      </c>
      <c r="K61" s="1029" t="e">
        <f>'gramo Max-Min &lt; '!E30</f>
        <v>#N/A</v>
      </c>
      <c r="L61" s="1029" t="e">
        <f>'gramo Max-Min &lt; '!E29</f>
        <v>#N/A</v>
      </c>
      <c r="M61" s="1058" t="e">
        <f t="shared" si="0"/>
        <v>#N/A</v>
      </c>
    </row>
    <row r="62" spans="1:1020 1029:2040 2049:3070 3079:4090 4099:5120 5129:6140 6149:7160 7169:8190 8199:9210 9219:10240 10249:11260 11269:12280 12289:13310 13319:14330 14339:15360 15369:16380" ht="27" customHeight="1" x14ac:dyDescent="0.2">
      <c r="A62" s="1025">
        <v>4</v>
      </c>
      <c r="B62" s="1026" t="str">
        <f>'DATOS &lt;'!F63</f>
        <v>5 g</v>
      </c>
      <c r="C62" s="1027" t="str">
        <f>'DATOS &lt;'!B63</f>
        <v xml:space="preserve">5 g </v>
      </c>
      <c r="D62" s="1060" t="e">
        <f>'5 g &lt;'!$F$75</f>
        <v>#N/A</v>
      </c>
      <c r="E62" s="1060">
        <f>'DATOS &lt;'!C96</f>
        <v>0.53</v>
      </c>
      <c r="F62" s="1028">
        <f>'DATOS &lt;'!D96</f>
        <v>1.6</v>
      </c>
      <c r="G62" s="1029" t="e">
        <f>'gramo Max-Min &lt; '!C39</f>
        <v>#N/A</v>
      </c>
      <c r="H62" s="1029" t="e">
        <f>'gramo Max-Min &lt; '!C38</f>
        <v>#N/A</v>
      </c>
      <c r="I62" s="1029" t="e">
        <f>'gramo Max-Min &lt; '!D39</f>
        <v>#N/A</v>
      </c>
      <c r="J62" s="1029" t="e">
        <f>'gramo Max-Min &lt; '!D38</f>
        <v>#N/A</v>
      </c>
      <c r="K62" s="1029" t="e">
        <f>'gramo Max-Min &lt; '!E39</f>
        <v>#N/A</v>
      </c>
      <c r="L62" s="1029" t="e">
        <f>'gramo Max-Min &lt; '!E38</f>
        <v>#N/A</v>
      </c>
      <c r="M62" s="1058" t="e">
        <f t="shared" si="0"/>
        <v>#N/A</v>
      </c>
    </row>
    <row r="63" spans="1:1020 1029:2040 2049:3070 3079:4090 4099:5120 5129:6140 6149:7160 7169:8190 8199:9210 9219:10240 10249:11260 11269:12280 12289:13310 13319:14330 14339:15360 15369:16380" s="1031" customFormat="1" ht="27" customHeight="1" x14ac:dyDescent="0.2">
      <c r="A63" s="1025">
        <v>5</v>
      </c>
      <c r="B63" s="1026" t="str">
        <f>'DATOS &lt;'!F64</f>
        <v>10 g</v>
      </c>
      <c r="C63" s="1027" t="str">
        <f>'DATOS &lt;'!B64</f>
        <v>10 g</v>
      </c>
      <c r="D63" s="1060" t="e">
        <f>'10 g &lt;'!$F$75</f>
        <v>#N/A</v>
      </c>
      <c r="E63" s="1060">
        <f>'DATOS &lt;'!C97</f>
        <v>0.67</v>
      </c>
      <c r="F63" s="1028">
        <f>'DATOS &lt;'!D97</f>
        <v>2</v>
      </c>
      <c r="G63" s="1029" t="e">
        <f>'gramo Max-Min &lt; '!I12</f>
        <v>#N/A</v>
      </c>
      <c r="H63" s="1029" t="e">
        <f>'gramo Max-Min &lt; '!I11</f>
        <v>#N/A</v>
      </c>
      <c r="I63" s="1029" t="e">
        <f>'gramo Max-Min &lt; '!J12</f>
        <v>#N/A</v>
      </c>
      <c r="J63" s="1029" t="e">
        <f>'gramo Max-Min &lt; '!J11</f>
        <v>#N/A</v>
      </c>
      <c r="K63" s="1029" t="e">
        <f>'gramo Max-Min &lt; '!K12</f>
        <v>#N/A</v>
      </c>
      <c r="L63" s="1029" t="e">
        <f>'gramo Max-Min &lt; '!K11</f>
        <v>#N/A</v>
      </c>
      <c r="M63" s="1058" t="e">
        <f t="shared" si="0"/>
        <v>#N/A</v>
      </c>
      <c r="P63" s="969"/>
      <c r="Q63" s="969"/>
      <c r="R63" s="969"/>
      <c r="S63" s="969"/>
      <c r="T63" s="969"/>
    </row>
    <row r="64" spans="1:1020 1029:2040 2049:3070 3079:4090 4099:5120 5129:6140 6149:7160 7169:8190 8199:9210 9219:10240 10249:11260 11269:12280 12289:13310 13319:14330 14339:15360 15369:16380" ht="27" customHeight="1" x14ac:dyDescent="0.2">
      <c r="A64" s="1025">
        <v>6</v>
      </c>
      <c r="B64" s="1026" t="str">
        <f>'DATOS &lt;'!F65</f>
        <v>20 g</v>
      </c>
      <c r="C64" s="1027" t="str">
        <f>'DATOS &lt;'!B65</f>
        <v>20 g</v>
      </c>
      <c r="D64" s="1028" t="e">
        <f>'20 g &lt;'!$F$75</f>
        <v>#N/A</v>
      </c>
      <c r="E64" s="1060">
        <f>'DATOS &lt;'!C98</f>
        <v>0.83</v>
      </c>
      <c r="F64" s="1028">
        <f>'DATOS &lt;'!D98</f>
        <v>2.5</v>
      </c>
      <c r="G64" s="1029" t="e">
        <f>'gramo Max-Min &lt; '!I21</f>
        <v>#N/A</v>
      </c>
      <c r="H64" s="1029" t="e">
        <f>'gramo Max-Min &lt; '!I20</f>
        <v>#N/A</v>
      </c>
      <c r="I64" s="1029" t="e">
        <f>'gramo Max-Min &lt; '!J21</f>
        <v>#N/A</v>
      </c>
      <c r="J64" s="1029" t="e">
        <f>'gramo Max-Min &lt; '!J20</f>
        <v>#N/A</v>
      </c>
      <c r="K64" s="1029" t="e">
        <f>'gramo Max-Min &lt; '!K21</f>
        <v>#N/A</v>
      </c>
      <c r="L64" s="1029" t="e">
        <f>'gramo Max-Min &lt; '!K20</f>
        <v>#N/A</v>
      </c>
      <c r="M64" s="1058" t="e">
        <f t="shared" si="0"/>
        <v>#N/A</v>
      </c>
    </row>
    <row r="65" spans="1:13" ht="27" customHeight="1" x14ac:dyDescent="0.2">
      <c r="A65" s="1025">
        <v>7</v>
      </c>
      <c r="B65" s="1026" t="str">
        <f>'DATOS &lt;'!F66</f>
        <v xml:space="preserve">20 g* </v>
      </c>
      <c r="C65" s="1027" t="str">
        <f>'DATOS &lt;'!B65</f>
        <v>20 g</v>
      </c>
      <c r="D65" s="1028" t="e">
        <f>'20 g + &lt;'!F75</f>
        <v>#N/A</v>
      </c>
      <c r="E65" s="1060">
        <f>'DATOS &lt;'!C99</f>
        <v>0.83</v>
      </c>
      <c r="F65" s="1028">
        <f>'DATOS &lt;'!D99</f>
        <v>2.5</v>
      </c>
      <c r="G65" s="1029" t="e">
        <f>'gramo Max-Min &lt; '!I30</f>
        <v>#N/A</v>
      </c>
      <c r="H65" s="1029" t="e">
        <f>'gramo Max-Min &lt; '!I29</f>
        <v>#N/A</v>
      </c>
      <c r="I65" s="1029" t="e">
        <f>'gramo Max-Min &lt; '!J30</f>
        <v>#N/A</v>
      </c>
      <c r="J65" s="1029" t="e">
        <f>'gramo Max-Min &lt; '!J29</f>
        <v>#N/A</v>
      </c>
      <c r="K65" s="1029" t="e">
        <f>'gramo Max-Min &lt; '!K30</f>
        <v>#N/A</v>
      </c>
      <c r="L65" s="1029" t="e">
        <f>'gramo Max-Min &lt; '!K29</f>
        <v>#N/A</v>
      </c>
      <c r="M65" s="1058" t="e">
        <f t="shared" si="0"/>
        <v>#N/A</v>
      </c>
    </row>
    <row r="66" spans="1:13" ht="27" customHeight="1" x14ac:dyDescent="0.2">
      <c r="A66" s="1025">
        <v>8</v>
      </c>
      <c r="B66" s="1026" t="str">
        <f>'DATOS &lt;'!F67</f>
        <v>50 g</v>
      </c>
      <c r="C66" s="1027" t="str">
        <f>'DATOS &lt;'!B67</f>
        <v>50 g</v>
      </c>
      <c r="D66" s="1028" t="e">
        <f>'50 g &lt;'!$F$75</f>
        <v>#N/A</v>
      </c>
      <c r="E66" s="1028">
        <f>'DATOS &lt;'!C100</f>
        <v>1</v>
      </c>
      <c r="F66" s="1028">
        <f>'DATOS &lt;'!D100</f>
        <v>3</v>
      </c>
      <c r="G66" s="1029" t="e">
        <f>'gramo Max-Min &lt; '!I39</f>
        <v>#N/A</v>
      </c>
      <c r="H66" s="1029" t="e">
        <f>'gramo Max-Min &lt; '!I38</f>
        <v>#N/A</v>
      </c>
      <c r="I66" s="1029" t="e">
        <f>'gramo Max-Min &lt; '!J39</f>
        <v>#N/A</v>
      </c>
      <c r="J66" s="1029" t="e">
        <f>'gramo Max-Min &lt; '!J38</f>
        <v>#N/A</v>
      </c>
      <c r="K66" s="1029" t="e">
        <f>'gramo Max-Min &lt; '!K39</f>
        <v>#N/A</v>
      </c>
      <c r="L66" s="1029" t="e">
        <f>'gramo Max-Min &lt; '!K38</f>
        <v>#N/A</v>
      </c>
      <c r="M66" s="1058" t="e">
        <f t="shared" si="0"/>
        <v>#N/A</v>
      </c>
    </row>
    <row r="67" spans="1:13" ht="30" customHeight="1" x14ac:dyDescent="0.2">
      <c r="A67" s="1025">
        <v>9</v>
      </c>
      <c r="B67" s="1026" t="str">
        <f>'DATOS &lt;'!F68</f>
        <v>100 g M LMS R</v>
      </c>
      <c r="C67" s="1027" t="str">
        <f>'DATOS &lt;'!B68</f>
        <v>100 g</v>
      </c>
      <c r="D67" s="1028" t="e">
        <f>'100 g &lt;'!$F$75</f>
        <v>#N/A</v>
      </c>
      <c r="E67" s="1032">
        <f>'DATOS &lt;'!C101</f>
        <v>1.7</v>
      </c>
      <c r="F67" s="1028">
        <f>'DATOS &lt;'!D101</f>
        <v>5</v>
      </c>
      <c r="G67" s="1029" t="e">
        <f>'gramo Max-Min &lt; '!O12</f>
        <v>#N/A</v>
      </c>
      <c r="H67" s="1029" t="e">
        <f>'gramo Max-Min &lt; '!O11</f>
        <v>#N/A</v>
      </c>
      <c r="I67" s="1029" t="e">
        <f>'gramo Max-Min &lt; '!P12</f>
        <v>#N/A</v>
      </c>
      <c r="J67" s="1029" t="e">
        <f>'gramo Max-Min &lt; '!P11</f>
        <v>#N/A</v>
      </c>
      <c r="K67" s="1029" t="e">
        <f>'gramo Max-Min &lt; '!Q12</f>
        <v>#N/A</v>
      </c>
      <c r="L67" s="1029" t="e">
        <f>'gramo Max-Min &lt; '!Q11</f>
        <v>#N/A</v>
      </c>
      <c r="M67" s="1058" t="e">
        <f t="shared" si="0"/>
        <v>#N/A</v>
      </c>
    </row>
    <row r="68" spans="1:13" ht="30" customHeight="1" x14ac:dyDescent="0.2">
      <c r="A68" s="1025">
        <v>10</v>
      </c>
      <c r="B68" s="1026" t="str">
        <f>'DATOS &lt;'!F69</f>
        <v>200 g M LMS R</v>
      </c>
      <c r="C68" s="1027" t="str">
        <f>'DATOS &lt;'!B69</f>
        <v>200 g</v>
      </c>
      <c r="D68" s="1028" t="e">
        <f>'200 g &lt;'!$F$75</f>
        <v>#N/A</v>
      </c>
      <c r="E68" s="1032">
        <f>'DATOS &lt;'!C102</f>
        <v>3.3</v>
      </c>
      <c r="F68" s="1033">
        <f>'DATOS &lt;'!D102</f>
        <v>10</v>
      </c>
      <c r="G68" s="1029" t="e">
        <f>'gramo Max-Min &lt; '!O21</f>
        <v>#N/A</v>
      </c>
      <c r="H68" s="1029" t="e">
        <f>'gramo Max-Min &lt; '!O20</f>
        <v>#N/A</v>
      </c>
      <c r="I68" s="1029" t="e">
        <f>'gramo Max-Min &lt; '!P21</f>
        <v>#N/A</v>
      </c>
      <c r="J68" s="1029" t="e">
        <f>'gramo Max-Min &lt; '!P20</f>
        <v>#N/A</v>
      </c>
      <c r="K68" s="1029" t="e">
        <f>'gramo Max-Min &lt; '!Q21</f>
        <v>#N/A</v>
      </c>
      <c r="L68" s="1029" t="e">
        <f>'gramo Max-Min &lt; '!Q20</f>
        <v>#N/A</v>
      </c>
      <c r="M68" s="1058" t="e">
        <f t="shared" si="0"/>
        <v>#N/A</v>
      </c>
    </row>
    <row r="69" spans="1:13" ht="30" customHeight="1" x14ac:dyDescent="0.2">
      <c r="A69" s="1025">
        <v>11</v>
      </c>
      <c r="B69" s="1026" t="str">
        <f>'DATOS &lt;'!F70</f>
        <v>200 g* M LMS R</v>
      </c>
      <c r="C69" s="1027" t="str">
        <f>'DATOS &lt;'!B69</f>
        <v>200 g</v>
      </c>
      <c r="D69" s="1028" t="e">
        <f>'200 g + &lt;'!F75</f>
        <v>#N/A</v>
      </c>
      <c r="E69" s="1032">
        <f>'DATOS &lt;'!C103</f>
        <v>3.3</v>
      </c>
      <c r="F69" s="1033">
        <f>'DATOS &lt;'!D103</f>
        <v>10</v>
      </c>
      <c r="G69" s="1029" t="e">
        <f>'gramo Max-Min &lt; '!O30</f>
        <v>#N/A</v>
      </c>
      <c r="H69" s="1029" t="e">
        <f>'gramo Max-Min &lt; '!O29</f>
        <v>#N/A</v>
      </c>
      <c r="I69" s="1029" t="e">
        <f>'gramo Max-Min &lt; '!P30</f>
        <v>#N/A</v>
      </c>
      <c r="J69" s="1029" t="e">
        <f>'gramo Max-Min &lt; '!P29</f>
        <v>#N/A</v>
      </c>
      <c r="K69" s="1029" t="e">
        <f>'gramo Max-Min &lt; '!Q30</f>
        <v>#N/A</v>
      </c>
      <c r="L69" s="1029" t="e">
        <f>'gramo Max-Min &lt; '!Q29</f>
        <v>#N/A</v>
      </c>
      <c r="M69" s="1058" t="e">
        <f t="shared" si="0"/>
        <v>#N/A</v>
      </c>
    </row>
    <row r="70" spans="1:13" ht="30" customHeight="1" x14ac:dyDescent="0.2">
      <c r="A70" s="1025">
        <v>12</v>
      </c>
      <c r="B70" s="1026" t="str">
        <f>'DATOS &lt;'!F71</f>
        <v>500 g M LMS R</v>
      </c>
      <c r="C70" s="1027" t="str">
        <f>'DATOS &lt;'!B71</f>
        <v>500 g</v>
      </c>
      <c r="D70" s="1028" t="e">
        <f>'500 g &lt;'!$F$75</f>
        <v>#N/A</v>
      </c>
      <c r="E70" s="1032">
        <f>'DATOS &lt;'!C104</f>
        <v>8.3000000000000007</v>
      </c>
      <c r="F70" s="1033">
        <f>'DATOS &lt;'!D104</f>
        <v>25</v>
      </c>
      <c r="G70" s="1029" t="e">
        <f>'gramo Max-Min &lt; '!O39</f>
        <v>#N/A</v>
      </c>
      <c r="H70" s="1029" t="e">
        <f>'gramo Max-Min &lt; '!O38</f>
        <v>#N/A</v>
      </c>
      <c r="I70" s="1029" t="e">
        <f>'gramo Max-Min &lt; '!P39</f>
        <v>#N/A</v>
      </c>
      <c r="J70" s="1029" t="e">
        <f>'gramo Max-Min &lt; '!P38</f>
        <v>#N/A</v>
      </c>
      <c r="K70" s="1029" t="e">
        <f>'gramo Max-Min &lt; '!Q39</f>
        <v>#N/A</v>
      </c>
      <c r="L70" s="1029" t="e">
        <f>'gramo Max-Min &lt; '!Q38</f>
        <v>#N/A</v>
      </c>
      <c r="M70" s="1058" t="e">
        <f t="shared" si="0"/>
        <v>#N/A</v>
      </c>
    </row>
    <row r="71" spans="1:13" ht="30" customHeight="1" x14ac:dyDescent="0.2">
      <c r="A71" s="1025">
        <v>13</v>
      </c>
      <c r="B71" s="1026" t="str">
        <f>'DATOS &lt;'!F72</f>
        <v>1 kg M LMS R</v>
      </c>
      <c r="C71" s="1027" t="str">
        <f>'DATOS &lt;'!B72</f>
        <v>1 kg</v>
      </c>
      <c r="D71" s="1033" t="e">
        <f>'1 kg &lt;'!$F$75</f>
        <v>#N/A</v>
      </c>
      <c r="E71" s="1034">
        <f>'DATOS &lt;'!C105</f>
        <v>17</v>
      </c>
      <c r="F71" s="1033">
        <f>'DATOS &lt;'!D105</f>
        <v>50</v>
      </c>
      <c r="G71" s="1029" t="e">
        <f>'gramo Max-Min &lt; '!U12</f>
        <v>#N/A</v>
      </c>
      <c r="H71" s="1029" t="e">
        <f>'gramo Max-Min &lt; '!U11</f>
        <v>#N/A</v>
      </c>
      <c r="I71" s="1029" t="e">
        <f>'gramo Max-Min &lt; '!V12</f>
        <v>#N/A</v>
      </c>
      <c r="J71" s="1029" t="e">
        <f>'gramo Max-Min &lt; '!V11</f>
        <v>#N/A</v>
      </c>
      <c r="K71" s="1029" t="e">
        <f>'gramo Max-Min &lt; '!W12</f>
        <v>#N/A</v>
      </c>
      <c r="L71" s="1029" t="e">
        <f>'gramo Max-Min &lt; '!W11</f>
        <v>#N/A</v>
      </c>
      <c r="M71" s="1058" t="e">
        <f t="shared" si="0"/>
        <v>#N/A</v>
      </c>
    </row>
    <row r="72" spans="1:13" ht="30" customHeight="1" x14ac:dyDescent="0.2">
      <c r="A72" s="1025">
        <v>14</v>
      </c>
      <c r="B72" s="1026" t="str">
        <f>'DATOS &lt;'!F73</f>
        <v>2 kg M LMS R</v>
      </c>
      <c r="C72" s="1027" t="str">
        <f>'DATOS &lt;'!B73</f>
        <v>2 kg</v>
      </c>
      <c r="D72" s="1033" t="e">
        <f>'2 kg &lt;'!$F$75</f>
        <v>#N/A</v>
      </c>
      <c r="E72" s="1034">
        <f>'DATOS &lt;'!C106</f>
        <v>33</v>
      </c>
      <c r="F72" s="1033">
        <f>'DATOS &lt;'!D106</f>
        <v>100</v>
      </c>
      <c r="G72" s="1029" t="e">
        <f>'gramo Max-Min &lt; '!U21</f>
        <v>#N/A</v>
      </c>
      <c r="H72" s="1029" t="e">
        <f>'gramo Max-Min &lt; '!U20</f>
        <v>#N/A</v>
      </c>
      <c r="I72" s="1029" t="e">
        <f>'gramo Max-Min &lt; '!V21</f>
        <v>#N/A</v>
      </c>
      <c r="J72" s="1029" t="e">
        <f>'gramo Max-Min &lt; '!V20</f>
        <v>#N/A</v>
      </c>
      <c r="K72" s="1029" t="e">
        <f>'gramo Max-Min &lt; '!W21</f>
        <v>#N/A</v>
      </c>
      <c r="L72" s="1029" t="e">
        <f>'gramo Max-Min &lt; '!W20</f>
        <v>#N/A</v>
      </c>
      <c r="M72" s="1058" t="e">
        <f t="shared" si="0"/>
        <v>#N/A</v>
      </c>
    </row>
    <row r="73" spans="1:13" ht="30" customHeight="1" x14ac:dyDescent="0.2">
      <c r="A73" s="1025">
        <v>15</v>
      </c>
      <c r="B73" s="1026" t="str">
        <f>'DATOS &lt;'!F74</f>
        <v>2 kg* M LMS R</v>
      </c>
      <c r="C73" s="1027" t="str">
        <f>'DATOS &lt;'!B73</f>
        <v>2 kg</v>
      </c>
      <c r="D73" s="1033" t="e">
        <f>'2 kg + &lt;'!$F$75</f>
        <v>#N/A</v>
      </c>
      <c r="E73" s="1034">
        <f>'DATOS &lt;'!C107</f>
        <v>33</v>
      </c>
      <c r="F73" s="1033">
        <f>'DATOS &lt;'!D107</f>
        <v>100</v>
      </c>
      <c r="G73" s="1029" t="e">
        <f>'gramo Max-Min &lt; '!U30</f>
        <v>#N/A</v>
      </c>
      <c r="H73" s="1029" t="e">
        <f>'gramo Max-Min &lt; '!U29</f>
        <v>#N/A</v>
      </c>
      <c r="I73" s="1029" t="e">
        <f>'gramo Max-Min &lt; '!V30</f>
        <v>#N/A</v>
      </c>
      <c r="J73" s="1029" t="e">
        <f>'gramo Max-Min &lt; '!V29</f>
        <v>#N/A</v>
      </c>
      <c r="K73" s="1029" t="e">
        <f>'gramo Max-Min &lt; '!W30</f>
        <v>#N/A</v>
      </c>
      <c r="L73" s="1029" t="e">
        <f>'gramo Max-Min &lt; '!W29</f>
        <v>#N/A</v>
      </c>
      <c r="M73" s="1058" t="e">
        <f t="shared" si="0"/>
        <v>#N/A</v>
      </c>
    </row>
    <row r="74" spans="1:13" ht="30" customHeight="1" x14ac:dyDescent="0.2">
      <c r="A74" s="1025">
        <v>16</v>
      </c>
      <c r="B74" s="1026" t="str">
        <f>'DATOS &lt;'!F75</f>
        <v>5 kg M LMS R</v>
      </c>
      <c r="C74" s="1027" t="str">
        <f>'DATOS &lt;'!B75</f>
        <v>5 kg</v>
      </c>
      <c r="D74" s="1033" t="e">
        <f>'5 kg &lt;'!$F$75</f>
        <v>#N/A</v>
      </c>
      <c r="E74" s="1034">
        <f>'DATOS &lt;'!C108</f>
        <v>83</v>
      </c>
      <c r="F74" s="1033">
        <f>'DATOS &lt;'!D108</f>
        <v>250</v>
      </c>
      <c r="G74" s="1029" t="e">
        <f>'gramo Max-Min &lt; '!U39</f>
        <v>#N/A</v>
      </c>
      <c r="H74" s="1029" t="e">
        <f>'gramo Max-Min &lt; '!U38</f>
        <v>#N/A</v>
      </c>
      <c r="I74" s="1029" t="e">
        <f>'gramo Max-Min &lt; '!V39</f>
        <v>#N/A</v>
      </c>
      <c r="J74" s="1029" t="e">
        <f>'gramo Max-Min &lt; '!V38</f>
        <v>#N/A</v>
      </c>
      <c r="K74" s="1029" t="e">
        <f>'gramo Max-Min &lt; '!W39</f>
        <v>#N/A</v>
      </c>
      <c r="L74" s="1029" t="e">
        <f>'gramo Max-Min &lt; '!W38</f>
        <v>#N/A</v>
      </c>
      <c r="M74" s="1030" t="e">
        <f t="shared" si="0"/>
        <v>#N/A</v>
      </c>
    </row>
    <row r="75" spans="1:13" ht="30" customHeight="1" x14ac:dyDescent="0.2">
      <c r="A75" s="1025">
        <v>17</v>
      </c>
      <c r="B75" s="1026" t="str">
        <f>'DATOS &lt;'!F76</f>
        <v>10 kg M LMS &amp;</v>
      </c>
      <c r="C75" s="1027" t="str">
        <f>'DATOS &lt;'!B76</f>
        <v>10 kg</v>
      </c>
      <c r="D75" s="1035" t="e">
        <f>'10 kg &lt;'!$F$76</f>
        <v>#N/A</v>
      </c>
      <c r="E75" s="1036">
        <f>'DATOS &lt;'!C109</f>
        <v>0.17</v>
      </c>
      <c r="F75" s="1035">
        <f>'DATOS &lt;'!D109</f>
        <v>0.5</v>
      </c>
      <c r="G75" s="1029" t="e">
        <f>'gramo Max-Min &lt; '!AA12</f>
        <v>#N/A</v>
      </c>
      <c r="H75" s="1029" t="e">
        <f>'gramo Max-Min &lt; '!AA11</f>
        <v>#N/A</v>
      </c>
      <c r="I75" s="1029" t="e">
        <f>'gramo Max-Min &lt; '!AB12</f>
        <v>#N/A</v>
      </c>
      <c r="J75" s="1029" t="e">
        <f>'gramo Max-Min &lt; '!AB11</f>
        <v>#N/A</v>
      </c>
      <c r="K75" s="1029" t="e">
        <f>'gramo Max-Min &lt; '!AC12</f>
        <v>#N/A</v>
      </c>
      <c r="L75" s="1029" t="e">
        <f>'gramo Max-Min &lt; '!AC11</f>
        <v>#N/A</v>
      </c>
      <c r="M75" s="1030" t="e">
        <f t="shared" si="0"/>
        <v>#N/A</v>
      </c>
    </row>
    <row r="76" spans="1:13" ht="27" hidden="1" customHeight="1" x14ac:dyDescent="0.2">
      <c r="A76" s="1025">
        <v>18</v>
      </c>
      <c r="B76" s="1026" t="str">
        <f>'DATOS &lt;'!F77</f>
        <v>5 kg Pex</v>
      </c>
      <c r="C76" s="1037" t="str">
        <f>'DATOS &lt;'!B75</f>
        <v>5 kg</v>
      </c>
      <c r="D76" s="1038" t="e">
        <f>'5 kg &lt; (C)'!$F$75</f>
        <v>#N/A</v>
      </c>
      <c r="E76" s="1039">
        <f>'DATOS &lt;'!C108</f>
        <v>83</v>
      </c>
      <c r="F76" s="1038">
        <f>'DATOS &lt;'!D108</f>
        <v>250</v>
      </c>
      <c r="G76" s="1029" t="e">
        <f>'gramo Max-Min &lt; '!AA21</f>
        <v>#N/A</v>
      </c>
      <c r="H76" s="1029" t="e">
        <f>'gramo Max-Min &lt; '!AA20</f>
        <v>#N/A</v>
      </c>
      <c r="I76" s="1029" t="e">
        <f>'gramo Max-Min &lt; '!AB21</f>
        <v>#N/A</v>
      </c>
      <c r="J76" s="1029" t="e">
        <f>'gramo Max-Min &lt; '!AB20</f>
        <v>#N/A</v>
      </c>
      <c r="K76" s="1029" t="e">
        <f>'gramo Max-Min &lt; '!AC21</f>
        <v>#N/A</v>
      </c>
      <c r="L76" s="1029" t="e">
        <f>'gramo Max-Min &lt; '!AC20</f>
        <v>#N/A</v>
      </c>
      <c r="M76" s="1030" t="e">
        <f t="shared" si="0"/>
        <v>#N/A</v>
      </c>
    </row>
    <row r="77" spans="1:13" ht="27" hidden="1" customHeight="1" x14ac:dyDescent="0.2">
      <c r="A77" s="1025">
        <v>19</v>
      </c>
      <c r="B77" s="1026" t="str">
        <f>'DATOS &lt;'!F78</f>
        <v>10 kg Pex</v>
      </c>
      <c r="C77" s="1040" t="str">
        <f>'DATOS &lt;'!B76</f>
        <v>10 kg</v>
      </c>
      <c r="D77" s="1041" t="e">
        <f>'10 kg &lt; (C)'!$F$76</f>
        <v>#N/A</v>
      </c>
      <c r="E77" s="1042">
        <f>'DATOS &lt;'!C109</f>
        <v>0.17</v>
      </c>
      <c r="F77" s="1041">
        <f>'DATOS &lt;'!D109</f>
        <v>0.5</v>
      </c>
      <c r="G77" s="1029" t="e">
        <f>'gramo Max-Min &lt; '!AA30</f>
        <v>#N/A</v>
      </c>
      <c r="H77" s="1029" t="e">
        <f>'gramo Max-Min &lt; '!AA29</f>
        <v>#N/A</v>
      </c>
      <c r="I77" s="1029" t="e">
        <f>'gramo Max-Min &lt; '!AB30</f>
        <v>#N/A</v>
      </c>
      <c r="J77" s="1029" t="e">
        <f>'gramo Max-Min &lt; '!AB29</f>
        <v>#N/A</v>
      </c>
      <c r="K77" s="1029" t="e">
        <f>'gramo Max-Min &lt; '!AC30</f>
        <v>#N/A</v>
      </c>
      <c r="L77" s="1029" t="e">
        <f>'gramo Max-Min &lt; '!AC29</f>
        <v>#N/A</v>
      </c>
      <c r="M77" s="1030" t="e">
        <f t="shared" si="0"/>
        <v>#N/A</v>
      </c>
    </row>
    <row r="78" spans="1:13" ht="27" hidden="1" customHeight="1" thickBot="1" x14ac:dyDescent="0.25">
      <c r="A78" s="1043">
        <v>20</v>
      </c>
      <c r="B78" s="1044" t="str">
        <f>'DATOS &lt;'!F79</f>
        <v>20 kg Pex</v>
      </c>
      <c r="C78" s="1045" t="str">
        <f>'DATOS &lt;'!B110</f>
        <v>20 kg</v>
      </c>
      <c r="D78" s="1046" t="e">
        <f>'20 kg &lt; (C)'!$G$76</f>
        <v>#N/A</v>
      </c>
      <c r="E78" s="1047">
        <f>'DATOS &lt;'!C110</f>
        <v>0.33</v>
      </c>
      <c r="F78" s="1048">
        <f>'DATOS &lt;'!D110</f>
        <v>1</v>
      </c>
      <c r="G78" s="1049" t="e">
        <f>'gramo Max-Min &lt; '!AA39</f>
        <v>#N/A</v>
      </c>
      <c r="H78" s="1049" t="e">
        <f>'gramo Max-Min &lt; '!AA38</f>
        <v>#N/A</v>
      </c>
      <c r="I78" s="1049" t="e">
        <f>'gramo Max-Min &lt; '!AB39</f>
        <v>#N/A</v>
      </c>
      <c r="J78" s="1049" t="e">
        <f>'gramo Max-Min &lt; '!AB38</f>
        <v>#N/A</v>
      </c>
      <c r="K78" s="1049" t="e">
        <f>'gramo Max-Min &lt; '!AC39</f>
        <v>#N/A</v>
      </c>
      <c r="L78" s="1049" t="e">
        <f>'gramo Max-Min &lt; '!AC38</f>
        <v>#N/A</v>
      </c>
      <c r="M78" s="1050" t="e">
        <f t="shared" si="0"/>
        <v>#N/A</v>
      </c>
    </row>
    <row r="79" spans="1:13" ht="20.100000000000001" customHeight="1" x14ac:dyDescent="0.2">
      <c r="A79" s="1051"/>
      <c r="B79" s="1051"/>
      <c r="C79" s="1051"/>
      <c r="D79" s="1051"/>
      <c r="E79" s="1051"/>
      <c r="F79" s="1051"/>
      <c r="G79" s="1052"/>
      <c r="H79" s="1052"/>
      <c r="I79" s="1052"/>
      <c r="J79" s="1053"/>
    </row>
    <row r="80" spans="1:13" ht="47.1" customHeight="1" x14ac:dyDescent="0.2">
      <c r="A80" s="1805" t="s">
        <v>598</v>
      </c>
      <c r="B80" s="1805"/>
      <c r="C80" s="1805"/>
      <c r="D80" s="1805"/>
      <c r="E80" s="1805"/>
      <c r="F80" s="1805"/>
      <c r="G80" s="1805"/>
      <c r="H80" s="1805"/>
      <c r="I80" s="1805"/>
      <c r="J80" s="1805"/>
      <c r="K80" s="1805"/>
      <c r="L80" s="1805"/>
      <c r="M80" s="1805"/>
    </row>
    <row r="81" spans="1:20" ht="20.100000000000001" customHeight="1" x14ac:dyDescent="0.2">
      <c r="A81" s="1054"/>
      <c r="B81" s="1054"/>
      <c r="C81" s="1054"/>
      <c r="D81" s="1054"/>
      <c r="E81" s="1054"/>
      <c r="F81" s="1054"/>
      <c r="G81" s="1054"/>
      <c r="H81" s="1054"/>
      <c r="I81" s="1054"/>
      <c r="J81" s="1054"/>
    </row>
    <row r="82" spans="1:20" ht="8.25" customHeight="1" x14ac:dyDescent="0.2">
      <c r="A82" s="1054"/>
      <c r="B82" s="1054"/>
      <c r="C82" s="1054"/>
      <c r="D82" s="1054"/>
      <c r="E82" s="1054"/>
      <c r="F82" s="1054"/>
      <c r="G82" s="1054"/>
      <c r="H82" s="1054"/>
      <c r="I82" s="1054"/>
      <c r="J82" s="1054"/>
    </row>
    <row r="83" spans="1:20" ht="12.75" customHeight="1" x14ac:dyDescent="0.2">
      <c r="A83" s="1055"/>
      <c r="B83" s="1055"/>
      <c r="C83" s="1055"/>
      <c r="D83" s="1055"/>
      <c r="E83" s="1055"/>
      <c r="F83" s="1055"/>
      <c r="G83" s="1055"/>
      <c r="H83" s="1055"/>
      <c r="I83" s="1055"/>
      <c r="J83" s="1055"/>
    </row>
    <row r="84" spans="1:20" ht="125.1" customHeight="1" x14ac:dyDescent="0.2">
      <c r="A84" s="1055"/>
      <c r="B84" s="1055"/>
      <c r="C84" s="1055"/>
      <c r="D84" s="1055"/>
      <c r="E84" s="1055"/>
      <c r="F84" s="1055"/>
      <c r="G84" s="1055"/>
      <c r="H84" s="1055"/>
      <c r="I84" s="1055"/>
      <c r="J84" s="1055"/>
    </row>
    <row r="85" spans="1:20" ht="35.1" customHeight="1" x14ac:dyDescent="0.2">
      <c r="A85" s="1055"/>
      <c r="B85" s="1055"/>
      <c r="C85" s="1055"/>
      <c r="D85" s="1055"/>
      <c r="E85" s="1055"/>
      <c r="F85" s="1055"/>
      <c r="G85" s="1055"/>
      <c r="H85" s="1055"/>
      <c r="I85" s="1055"/>
      <c r="J85" s="1055"/>
    </row>
    <row r="86" spans="1:20" ht="65.099999999999994" customHeight="1" x14ac:dyDescent="0.2">
      <c r="A86" s="1055"/>
      <c r="B86" s="1055"/>
      <c r="C86" s="1055"/>
      <c r="D86" s="1055"/>
      <c r="E86" s="1055"/>
      <c r="F86" s="1055"/>
      <c r="G86" s="1055"/>
      <c r="H86" s="1055"/>
      <c r="I86" s="1055"/>
      <c r="J86" s="1055"/>
    </row>
    <row r="87" spans="1:20" ht="23.1" customHeight="1" x14ac:dyDescent="0.2">
      <c r="A87" s="1816" t="s">
        <v>198</v>
      </c>
      <c r="B87" s="1816"/>
      <c r="C87" s="1816"/>
      <c r="D87" s="1816"/>
    </row>
    <row r="88" spans="1:20" ht="20.100000000000001" customHeight="1" x14ac:dyDescent="0.2"/>
    <row r="89" spans="1:20" s="1056" customFormat="1" ht="33" customHeight="1" x14ac:dyDescent="0.2">
      <c r="A89" s="1295" t="s">
        <v>199</v>
      </c>
      <c r="B89" s="1799" t="s">
        <v>200</v>
      </c>
      <c r="C89" s="1799"/>
      <c r="D89" s="1799"/>
      <c r="E89" s="1799"/>
      <c r="F89" s="1799"/>
      <c r="G89" s="1799"/>
      <c r="H89" s="1799"/>
      <c r="I89" s="1799"/>
      <c r="J89" s="1799"/>
      <c r="K89" s="1799"/>
      <c r="L89" s="1799"/>
      <c r="M89" s="1799"/>
      <c r="P89" s="969"/>
      <c r="Q89" s="969"/>
      <c r="R89" s="969"/>
      <c r="S89" s="969"/>
      <c r="T89" s="969"/>
    </row>
    <row r="90" spans="1:20" s="1056" customFormat="1" ht="23.1" customHeight="1" x14ac:dyDescent="0.2">
      <c r="A90" s="1295" t="s">
        <v>199</v>
      </c>
      <c r="B90" s="1799" t="s">
        <v>201</v>
      </c>
      <c r="C90" s="1799"/>
      <c r="D90" s="1799"/>
      <c r="E90" s="1799"/>
      <c r="F90" s="1799"/>
      <c r="G90" s="1799"/>
      <c r="H90" s="1799"/>
      <c r="I90" s="1799"/>
      <c r="J90" s="1799"/>
      <c r="K90" s="1799"/>
      <c r="L90" s="1799"/>
      <c r="M90" s="1799"/>
      <c r="P90" s="969"/>
      <c r="Q90" s="969"/>
      <c r="R90" s="969"/>
      <c r="S90" s="969"/>
      <c r="T90" s="969"/>
    </row>
    <row r="91" spans="1:20" s="1056" customFormat="1" ht="33" customHeight="1" x14ac:dyDescent="0.2">
      <c r="A91" s="1295" t="s">
        <v>199</v>
      </c>
      <c r="B91" s="1799" t="s">
        <v>202</v>
      </c>
      <c r="C91" s="1799"/>
      <c r="D91" s="1799"/>
      <c r="E91" s="1799"/>
      <c r="F91" s="1799"/>
      <c r="G91" s="1799"/>
      <c r="H91" s="1799"/>
      <c r="I91" s="1799"/>
      <c r="J91" s="1799"/>
      <c r="K91" s="1799"/>
      <c r="L91" s="1799"/>
      <c r="M91" s="1799"/>
      <c r="P91" s="969"/>
      <c r="Q91" s="969"/>
      <c r="R91" s="969"/>
      <c r="S91" s="969"/>
      <c r="T91" s="969"/>
    </row>
    <row r="92" spans="1:20" s="1056" customFormat="1" ht="23.1" customHeight="1" x14ac:dyDescent="0.25">
      <c r="A92" s="1295" t="s">
        <v>199</v>
      </c>
      <c r="B92" s="1877" t="s">
        <v>203</v>
      </c>
      <c r="C92" s="1877"/>
      <c r="D92" s="1877"/>
      <c r="E92" s="1877"/>
      <c r="F92" s="1877"/>
      <c r="G92" s="1877"/>
      <c r="H92" s="1877"/>
      <c r="I92" s="1877"/>
      <c r="J92" s="1877"/>
      <c r="K92" s="1877"/>
      <c r="L92" s="1877"/>
      <c r="M92" s="1877"/>
    </row>
    <row r="93" spans="1:20" s="1056" customFormat="1" ht="23.1" customHeight="1" x14ac:dyDescent="0.25">
      <c r="A93" s="1295" t="s">
        <v>199</v>
      </c>
      <c r="B93" s="1799" t="s">
        <v>204</v>
      </c>
      <c r="C93" s="1799"/>
      <c r="D93" s="1799"/>
      <c r="E93" s="1799"/>
      <c r="F93" s="1799"/>
      <c r="G93" s="1799"/>
      <c r="H93" s="1799"/>
      <c r="I93" s="1799"/>
      <c r="J93" s="1799"/>
      <c r="K93" s="1799"/>
      <c r="L93" s="1799"/>
      <c r="M93" s="1799"/>
    </row>
    <row r="94" spans="1:20" s="1056" customFormat="1" ht="33" customHeight="1" x14ac:dyDescent="0.25">
      <c r="A94" s="1295" t="s">
        <v>199</v>
      </c>
      <c r="B94" s="1799" t="s">
        <v>205</v>
      </c>
      <c r="C94" s="1799"/>
      <c r="D94" s="1799"/>
      <c r="E94" s="1799"/>
      <c r="F94" s="1799"/>
      <c r="G94" s="1799"/>
      <c r="H94" s="1799"/>
      <c r="I94" s="1799"/>
      <c r="J94" s="1799"/>
      <c r="K94" s="1799"/>
      <c r="L94" s="1799"/>
      <c r="M94" s="1799"/>
    </row>
    <row r="95" spans="1:20" s="1056" customFormat="1" ht="23.1" customHeight="1" x14ac:dyDescent="0.25">
      <c r="A95" s="1295" t="s">
        <v>199</v>
      </c>
      <c r="B95" s="1799" t="s">
        <v>206</v>
      </c>
      <c r="C95" s="1799"/>
      <c r="D95" s="1799"/>
      <c r="E95" s="1799"/>
      <c r="F95" s="1799"/>
      <c r="G95" s="1799"/>
      <c r="H95" s="1799"/>
      <c r="I95" s="1799"/>
      <c r="J95" s="1799"/>
      <c r="K95" s="1799"/>
      <c r="L95" s="1799"/>
      <c r="M95" s="1799"/>
    </row>
    <row r="96" spans="1:20" s="1056" customFormat="1" ht="23.1" customHeight="1" x14ac:dyDescent="0.25">
      <c r="A96" s="1295" t="s">
        <v>199</v>
      </c>
      <c r="B96" s="1799" t="s">
        <v>568</v>
      </c>
      <c r="C96" s="1799"/>
      <c r="D96" s="1799"/>
      <c r="E96" s="1799"/>
      <c r="F96" s="1799"/>
      <c r="G96" s="1799"/>
      <c r="H96" s="1799"/>
      <c r="I96" s="1799"/>
      <c r="J96" s="1799"/>
      <c r="K96" s="1799"/>
      <c r="L96" s="1799"/>
      <c r="M96" s="1799"/>
    </row>
    <row r="97" spans="1:13" ht="23.1" customHeight="1" x14ac:dyDescent="0.2">
      <c r="A97" s="1295" t="s">
        <v>199</v>
      </c>
      <c r="B97" s="1799" t="s">
        <v>207</v>
      </c>
      <c r="C97" s="1799"/>
      <c r="D97" s="1799"/>
      <c r="E97" s="1799"/>
      <c r="F97" s="1799"/>
      <c r="G97" s="1799"/>
      <c r="H97" s="1799"/>
      <c r="I97" s="1799"/>
      <c r="J97" s="1799"/>
      <c r="K97" s="1799"/>
      <c r="L97" s="1799"/>
      <c r="M97" s="1799"/>
    </row>
    <row r="98" spans="1:13" ht="23.1" customHeight="1" x14ac:dyDescent="0.2">
      <c r="A98" s="1295" t="s">
        <v>199</v>
      </c>
      <c r="B98" s="1799" t="s">
        <v>599</v>
      </c>
      <c r="C98" s="1799"/>
      <c r="D98" s="1799"/>
      <c r="E98" s="1799"/>
      <c r="F98" s="1799"/>
      <c r="G98" s="1799"/>
      <c r="H98" s="1799"/>
      <c r="I98" s="1799"/>
      <c r="J98" s="1799"/>
      <c r="K98" s="1799"/>
      <c r="L98" s="1799"/>
      <c r="M98" s="1799"/>
    </row>
    <row r="99" spans="1:13" ht="33" customHeight="1" x14ac:dyDescent="0.2">
      <c r="A99" s="1295" t="s">
        <v>199</v>
      </c>
      <c r="B99" s="1799" t="s">
        <v>208</v>
      </c>
      <c r="C99" s="1799"/>
      <c r="D99" s="1799"/>
      <c r="E99" s="1799"/>
      <c r="F99" s="1799"/>
      <c r="G99" s="1799"/>
      <c r="H99" s="1799"/>
      <c r="I99" s="1799"/>
      <c r="J99" s="1799"/>
      <c r="K99" s="1799"/>
      <c r="L99" s="1799"/>
      <c r="M99" s="1799"/>
    </row>
    <row r="100" spans="1:13" ht="20.100000000000001" customHeight="1" x14ac:dyDescent="0.2">
      <c r="A100" s="228"/>
      <c r="B100" s="1882"/>
      <c r="C100" s="1882"/>
      <c r="D100" s="1882"/>
      <c r="E100" s="1882"/>
      <c r="F100" s="1882"/>
      <c r="G100" s="1882"/>
      <c r="H100" s="1882"/>
      <c r="I100" s="1882"/>
      <c r="J100" s="1882"/>
    </row>
    <row r="101" spans="1:13" ht="20.100000000000001" customHeight="1" x14ac:dyDescent="0.2"/>
    <row r="102" spans="1:13" ht="23.1" customHeight="1" x14ac:dyDescent="0.25">
      <c r="A102" s="1800"/>
      <c r="B102" s="1800"/>
      <c r="C102" s="1800"/>
      <c r="E102" s="229"/>
    </row>
    <row r="103" spans="1:13" ht="20.100000000000001" customHeight="1" x14ac:dyDescent="0.2"/>
    <row r="104" spans="1:13" ht="20.100000000000001" customHeight="1" x14ac:dyDescent="0.2">
      <c r="G104" s="1057"/>
      <c r="J104" s="1003"/>
    </row>
    <row r="105" spans="1:13" ht="23.1" customHeight="1" thickBot="1" x14ac:dyDescent="0.3">
      <c r="A105" s="229"/>
      <c r="B105" s="1861"/>
      <c r="C105" s="1861"/>
      <c r="D105" s="1861"/>
      <c r="E105" s="1861"/>
      <c r="F105" s="1239"/>
      <c r="H105" s="1861"/>
      <c r="I105" s="1861"/>
      <c r="J105" s="1861"/>
      <c r="K105" s="1861"/>
      <c r="L105" s="1861"/>
      <c r="M105" s="1239"/>
    </row>
    <row r="106" spans="1:13" ht="23.1" customHeight="1" x14ac:dyDescent="0.2">
      <c r="B106" s="1801" t="s">
        <v>209</v>
      </c>
      <c r="C106" s="1801"/>
      <c r="D106" s="1801"/>
      <c r="E106" s="1801"/>
      <c r="F106" s="968"/>
      <c r="H106" s="1801" t="e">
        <f>VLOOKUP($M$105,'DATOS &lt;'!B131:G135,6,FALSE)</f>
        <v>#N/A</v>
      </c>
      <c r="I106" s="1801"/>
      <c r="J106" s="1801"/>
      <c r="K106" s="1801"/>
      <c r="L106" s="1801"/>
    </row>
    <row r="107" spans="1:13" ht="30" customHeight="1" x14ac:dyDescent="0.25">
      <c r="A107" s="229"/>
      <c r="B107" s="1802" t="e">
        <f>VLOOKUP($F$105,'DATOS &lt;'!$B$131:$E$135,4,FALSE)</f>
        <v>#N/A</v>
      </c>
      <c r="C107" s="1802"/>
      <c r="D107" s="1802"/>
      <c r="E107" s="1802"/>
      <c r="F107" s="276"/>
      <c r="H107" s="1802"/>
      <c r="I107" s="1802"/>
      <c r="J107" s="1802"/>
      <c r="K107" s="1802"/>
      <c r="L107" s="1802"/>
    </row>
    <row r="108" spans="1:13" ht="23.1" customHeight="1" x14ac:dyDescent="0.2">
      <c r="B108" s="1802" t="e">
        <f>VLOOKUP($F$105,'DATOS &lt;'!$B$131:$E$135,2,FALSE)</f>
        <v>#N/A</v>
      </c>
      <c r="C108" s="1802"/>
      <c r="D108" s="1802"/>
      <c r="E108" s="1802"/>
      <c r="F108" s="968"/>
      <c r="H108" s="1802" t="e">
        <f>VLOOKUP($M$105,'DATOS &lt;'!$B$131:$G$135,2,FALSE)</f>
        <v>#N/A</v>
      </c>
      <c r="I108" s="1802"/>
      <c r="J108" s="1802"/>
      <c r="K108" s="1802"/>
      <c r="L108" s="1802"/>
    </row>
    <row r="109" spans="1:13" x14ac:dyDescent="0.2">
      <c r="J109" s="1003"/>
    </row>
    <row r="110" spans="1:13" ht="23.1" customHeight="1" x14ac:dyDescent="0.2">
      <c r="B110" s="1860" t="s">
        <v>211</v>
      </c>
      <c r="C110" s="1860"/>
      <c r="D110" s="1858"/>
      <c r="E110" s="1858"/>
      <c r="F110" s="1002"/>
      <c r="G110" s="968"/>
      <c r="H110" s="1860" t="s">
        <v>212</v>
      </c>
      <c r="I110" s="1860"/>
      <c r="J110" s="1860"/>
      <c r="K110" s="1858"/>
      <c r="L110" s="1858"/>
    </row>
    <row r="111" spans="1:13" x14ac:dyDescent="0.2">
      <c r="J111" s="1003"/>
    </row>
    <row r="112" spans="1:13" ht="23.1" customHeight="1" x14ac:dyDescent="0.25">
      <c r="A112" s="1800" t="s">
        <v>213</v>
      </c>
      <c r="B112" s="1800"/>
      <c r="C112" s="1800"/>
      <c r="D112" s="1800"/>
      <c r="E112" s="1800"/>
      <c r="F112" s="1800"/>
      <c r="G112" s="1800"/>
      <c r="H112" s="1800"/>
      <c r="I112" s="1800"/>
      <c r="J112" s="1800"/>
      <c r="K112" s="1800"/>
      <c r="L112" s="1800"/>
      <c r="M112" s="1800"/>
    </row>
  </sheetData>
  <sheetProtection password="CF7A" sheet="1" objects="1" scenarios="1"/>
  <mergeCells count="101">
    <mergeCell ref="G57:H57"/>
    <mergeCell ref="I57:J57"/>
    <mergeCell ref="J45:K45"/>
    <mergeCell ref="D7:J7"/>
    <mergeCell ref="B37:C37"/>
    <mergeCell ref="D37:E37"/>
    <mergeCell ref="F37:G37"/>
    <mergeCell ref="A33:J33"/>
    <mergeCell ref="B35:C36"/>
    <mergeCell ref="H36:I36"/>
    <mergeCell ref="F17:G17"/>
    <mergeCell ref="A8:B8"/>
    <mergeCell ref="D8:G8"/>
    <mergeCell ref="H10:J10"/>
    <mergeCell ref="A26:J26"/>
    <mergeCell ref="E24:F24"/>
    <mergeCell ref="J36:K36"/>
    <mergeCell ref="J32:K32"/>
    <mergeCell ref="A10:C10"/>
    <mergeCell ref="H45:I45"/>
    <mergeCell ref="B57:B58"/>
    <mergeCell ref="B46:D46"/>
    <mergeCell ref="A112:M112"/>
    <mergeCell ref="B89:M89"/>
    <mergeCell ref="B90:M90"/>
    <mergeCell ref="B91:M91"/>
    <mergeCell ref="B93:M93"/>
    <mergeCell ref="B94:M94"/>
    <mergeCell ref="B95:M95"/>
    <mergeCell ref="B96:M96"/>
    <mergeCell ref="B97:M97"/>
    <mergeCell ref="B98:M98"/>
    <mergeCell ref="B99:M99"/>
    <mergeCell ref="H110:J110"/>
    <mergeCell ref="B110:C110"/>
    <mergeCell ref="A102:C102"/>
    <mergeCell ref="B108:E108"/>
    <mergeCell ref="B100:J100"/>
    <mergeCell ref="D110:E110"/>
    <mergeCell ref="K110:L110"/>
    <mergeCell ref="H105:L105"/>
    <mergeCell ref="B105:E105"/>
    <mergeCell ref="A1:M1"/>
    <mergeCell ref="A52:M52"/>
    <mergeCell ref="A28:M28"/>
    <mergeCell ref="A22:M22"/>
    <mergeCell ref="K57:L57"/>
    <mergeCell ref="A57:A58"/>
    <mergeCell ref="A6:B6"/>
    <mergeCell ref="J3:K3"/>
    <mergeCell ref="L3:M3"/>
    <mergeCell ref="A4:C4"/>
    <mergeCell ref="G4:H4"/>
    <mergeCell ref="D6:J6"/>
    <mergeCell ref="F57:F58"/>
    <mergeCell ref="A17:C17"/>
    <mergeCell ref="A21:F21"/>
    <mergeCell ref="B23:E23"/>
    <mergeCell ref="A24:D24"/>
    <mergeCell ref="A7:B7"/>
    <mergeCell ref="A14:C14"/>
    <mergeCell ref="D10:E10"/>
    <mergeCell ref="K10:L10"/>
    <mergeCell ref="A16:C16"/>
    <mergeCell ref="D16:G16"/>
    <mergeCell ref="F19:J19"/>
    <mergeCell ref="H46:I46"/>
    <mergeCell ref="J46:K46"/>
    <mergeCell ref="C38:D38"/>
    <mergeCell ref="A48:J48"/>
    <mergeCell ref="A55:J55"/>
    <mergeCell ref="J54:K54"/>
    <mergeCell ref="H108:L108"/>
    <mergeCell ref="B107:E107"/>
    <mergeCell ref="B106:E106"/>
    <mergeCell ref="B92:M92"/>
    <mergeCell ref="H106:L107"/>
    <mergeCell ref="A40:J40"/>
    <mergeCell ref="J44:K44"/>
    <mergeCell ref="C57:D57"/>
    <mergeCell ref="E57:E58"/>
    <mergeCell ref="E38:F38"/>
    <mergeCell ref="B44:D44"/>
    <mergeCell ref="H44:I44"/>
    <mergeCell ref="B45:D45"/>
    <mergeCell ref="A50:M50"/>
    <mergeCell ref="A87:D87"/>
    <mergeCell ref="A80:M80"/>
    <mergeCell ref="L54:M54"/>
    <mergeCell ref="A38:B38"/>
    <mergeCell ref="A15:C15"/>
    <mergeCell ref="D15:G15"/>
    <mergeCell ref="A12:J12"/>
    <mergeCell ref="D14:J14"/>
    <mergeCell ref="A19:E19"/>
    <mergeCell ref="F35:G36"/>
    <mergeCell ref="H35:K35"/>
    <mergeCell ref="A42:M42"/>
    <mergeCell ref="L32:M32"/>
    <mergeCell ref="D17:E17"/>
    <mergeCell ref="D35:E36"/>
  </mergeCells>
  <conditionalFormatting sqref="M59:M75">
    <cfRule type="containsText" dxfId="7" priority="1" operator="containsText" text="NO">
      <formula>NOT(ISERROR(SEARCH("NO",M59)))</formula>
    </cfRule>
  </conditionalFormatting>
  <printOptions horizontalCentered="1"/>
  <pageMargins left="0.70866141732283472" right="0.70866141732283472" top="0.74803149606299213" bottom="0.74803149606299213" header="0.31496062992125984" footer="0.31496062992125984"/>
  <pageSetup scale="63" orientation="portrait" r:id="rId1"/>
  <headerFooter>
    <oddHeader xml:space="preserve">&amp;C
&amp;16   
</oddHeader>
    <oddFooter xml:space="preserve">&amp;RRT03-F16 V.16 (2023-11-10)
&amp;P de 3 
</oddFooter>
  </headerFooter>
  <rowBreaks count="3" manualBreakCount="3">
    <brk id="29" max="12" man="1"/>
    <brk id="51" max="12" man="1"/>
    <brk id="83" max="12" man="1"/>
  </rowBreaks>
  <ignoredErrors>
    <ignoredError sqref="E8:I8 D10 D16 A22 E24 D7"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500-000000000000}">
          <x14:formula1>
            <xm:f>'DATOS &lt;'!$B$131:$B$135</xm:f>
          </x14:formula1>
          <xm:sqref>M105 F105</xm:sqref>
        </x14:dataValidation>
        <x14:dataValidation type="list" allowBlank="1" showInputMessage="1" showErrorMessage="1" xr:uid="{00000000-0002-0000-2500-000001000000}">
          <x14:formula1>
            <xm:f>'DATOS &lt;'!$B$202:$B$215</xm:f>
          </x14:formula1>
          <xm:sqref>K34</xm:sqref>
        </x14:dataValidation>
        <x14:dataValidation type="list" allowBlank="1" showInputMessage="1" showErrorMessage="1" xr:uid="{00000000-0002-0000-2500-000002000000}">
          <x14:formula1>
            <xm:f>'DATOS &lt;'!$I$115:$I$118</xm:f>
          </x14:formula1>
          <xm:sqref>M40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XEZ112"/>
  <sheetViews>
    <sheetView showGridLines="0" view="pageBreakPreview" zoomScale="80" zoomScaleNormal="100" zoomScaleSheetLayoutView="80" workbookViewId="0">
      <selection activeCell="L8" sqref="L8"/>
    </sheetView>
  </sheetViews>
  <sheetFormatPr baseColWidth="10" defaultColWidth="11.42578125" defaultRowHeight="15" x14ac:dyDescent="0.2"/>
  <cols>
    <col min="1" max="1" width="5" style="969" customWidth="1"/>
    <col min="2" max="2" width="15.42578125" style="969" customWidth="1"/>
    <col min="3" max="3" width="12.28515625" style="969" customWidth="1"/>
    <col min="4" max="4" width="14.7109375" style="969" customWidth="1"/>
    <col min="5" max="5" width="16" style="969" customWidth="1"/>
    <col min="6" max="6" width="11.85546875" style="969" customWidth="1"/>
    <col min="7" max="13" width="9.7109375" style="969" customWidth="1"/>
    <col min="14" max="16384" width="11.42578125" style="969"/>
  </cols>
  <sheetData>
    <row r="1" spans="1:13" ht="125.1" customHeight="1" x14ac:dyDescent="0.2">
      <c r="A1" s="1825"/>
      <c r="B1" s="1825"/>
      <c r="C1" s="1825"/>
      <c r="D1" s="1825"/>
      <c r="E1" s="1825"/>
      <c r="F1" s="1825"/>
      <c r="G1" s="1825"/>
      <c r="H1" s="1825"/>
      <c r="I1" s="1825"/>
      <c r="J1" s="1825"/>
      <c r="K1" s="1825"/>
      <c r="L1" s="1825"/>
      <c r="M1" s="1825"/>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14" t="s">
        <v>8</v>
      </c>
      <c r="K3" s="1814"/>
      <c r="L3" s="1815">
        <f>'DATOS &lt;'!J8</f>
        <v>0</v>
      </c>
      <c r="M3" s="1815"/>
    </row>
    <row r="4" spans="1:13" ht="33" customHeight="1" x14ac:dyDescent="0.25">
      <c r="A4" s="1815" t="s">
        <v>152</v>
      </c>
      <c r="B4" s="1815"/>
      <c r="C4" s="1815"/>
      <c r="D4" s="1004"/>
      <c r="E4" s="1004"/>
      <c r="G4" s="1819"/>
      <c r="H4" s="1819"/>
    </row>
    <row r="5" spans="1:13" ht="24.95" customHeight="1" x14ac:dyDescent="0.2">
      <c r="A5" s="1005"/>
      <c r="B5" s="1004"/>
      <c r="C5" s="1004"/>
      <c r="D5" s="1004"/>
      <c r="E5" s="1004"/>
      <c r="F5" s="1004"/>
    </row>
    <row r="6" spans="1:13" ht="33" customHeight="1" x14ac:dyDescent="0.2">
      <c r="A6" s="1820" t="s">
        <v>153</v>
      </c>
      <c r="B6" s="1820"/>
      <c r="D6" s="1821">
        <f>('DATOS &lt;'!E8)</f>
        <v>0</v>
      </c>
      <c r="E6" s="1821"/>
      <c r="F6" s="1821"/>
      <c r="G6" s="1821"/>
      <c r="H6" s="1821"/>
      <c r="I6" s="1821"/>
      <c r="J6" s="1821"/>
    </row>
    <row r="7" spans="1:13" ht="33" customHeight="1" x14ac:dyDescent="0.2">
      <c r="A7" s="1820" t="s">
        <v>154</v>
      </c>
      <c r="B7" s="1820"/>
      <c r="C7" s="968"/>
      <c r="D7" s="1821">
        <f>'DATOS &lt;'!F8</f>
        <v>0</v>
      </c>
      <c r="E7" s="1821"/>
      <c r="F7" s="1821"/>
      <c r="G7" s="1821"/>
      <c r="H7" s="1821"/>
      <c r="I7" s="1821"/>
      <c r="J7" s="1821"/>
    </row>
    <row r="8" spans="1:13" ht="33" customHeight="1" x14ac:dyDescent="0.2">
      <c r="A8" s="1820" t="s">
        <v>155</v>
      </c>
      <c r="B8" s="1820"/>
      <c r="D8" s="1821" t="str">
        <f>PROPER('DATOS &lt;'!C8)</f>
        <v/>
      </c>
      <c r="E8" s="1821"/>
      <c r="F8" s="1821"/>
      <c r="G8" s="1821"/>
    </row>
    <row r="9" spans="1:13" ht="23.1" customHeight="1" x14ac:dyDescent="0.2">
      <c r="A9" s="1005"/>
      <c r="B9" s="1005"/>
      <c r="D9" s="1005"/>
      <c r="E9" s="1005"/>
      <c r="F9" s="1004"/>
    </row>
    <row r="10" spans="1:13" ht="33" customHeight="1" x14ac:dyDescent="0.2">
      <c r="A10" s="1820" t="s">
        <v>156</v>
      </c>
      <c r="B10" s="1820"/>
      <c r="C10" s="1820"/>
      <c r="D10" s="1822">
        <f>'DATOS &lt;'!D8</f>
        <v>0</v>
      </c>
      <c r="E10" s="1822"/>
      <c r="G10" s="968"/>
      <c r="H10" s="1860" t="s">
        <v>157</v>
      </c>
      <c r="I10" s="1860"/>
      <c r="J10" s="1860"/>
      <c r="K10" s="1822" t="e">
        <f>'10 kg &lt;'!E4</f>
        <v>#N/A</v>
      </c>
      <c r="L10" s="1822"/>
    </row>
    <row r="11" spans="1:13" ht="23.1" customHeight="1" x14ac:dyDescent="0.2">
      <c r="A11" s="1004"/>
      <c r="B11" s="1004"/>
      <c r="C11" s="1004"/>
      <c r="D11" s="1004"/>
      <c r="E11" s="1004"/>
      <c r="F11" s="1004"/>
    </row>
    <row r="12" spans="1:13" ht="33" customHeight="1" x14ac:dyDescent="0.2">
      <c r="A12" s="1815" t="s">
        <v>158</v>
      </c>
      <c r="B12" s="1815"/>
      <c r="C12" s="1815"/>
      <c r="D12" s="1815"/>
      <c r="E12" s="1815"/>
      <c r="F12" s="1815"/>
      <c r="G12" s="1815"/>
      <c r="H12" s="1815"/>
      <c r="I12" s="1815"/>
      <c r="J12" s="1815"/>
    </row>
    <row r="13" spans="1:13" ht="24.95" customHeight="1" x14ac:dyDescent="0.2">
      <c r="A13" s="411"/>
      <c r="B13" s="411"/>
      <c r="C13" s="411"/>
      <c r="D13" s="411"/>
      <c r="E13" s="411"/>
      <c r="F13" s="1004"/>
    </row>
    <row r="14" spans="1:13" ht="33" customHeight="1" x14ac:dyDescent="0.2">
      <c r="A14" s="1820" t="s">
        <v>159</v>
      </c>
      <c r="B14" s="1820"/>
      <c r="C14" s="1820"/>
      <c r="D14" s="1875" t="s">
        <v>534</v>
      </c>
      <c r="E14" s="1875"/>
      <c r="F14" s="1875"/>
      <c r="G14" s="1875"/>
      <c r="H14" s="1875"/>
      <c r="I14" s="1875"/>
      <c r="J14" s="1875"/>
    </row>
    <row r="15" spans="1:13" ht="33" customHeight="1" x14ac:dyDescent="0.2">
      <c r="A15" s="1820" t="s">
        <v>161</v>
      </c>
      <c r="B15" s="1820"/>
      <c r="C15" s="1820"/>
      <c r="D15" s="1828" t="str">
        <f>PROPER('DATOS &lt;'!D48)</f>
        <v/>
      </c>
      <c r="E15" s="1874"/>
      <c r="F15" s="1874"/>
      <c r="G15" s="1874"/>
      <c r="H15" s="1005"/>
      <c r="I15" s="1005"/>
      <c r="J15" s="1005"/>
    </row>
    <row r="16" spans="1:13" ht="33" customHeight="1" x14ac:dyDescent="0.2">
      <c r="A16" s="1820" t="s">
        <v>162</v>
      </c>
      <c r="B16" s="1820"/>
      <c r="C16" s="1820"/>
      <c r="D16" s="1829">
        <f>'DATOS &lt;'!E48</f>
        <v>0</v>
      </c>
      <c r="E16" s="1829"/>
      <c r="F16" s="1829"/>
      <c r="G16" s="1829"/>
      <c r="H16" s="1005"/>
      <c r="I16" s="1005"/>
      <c r="J16" s="1005"/>
    </row>
    <row r="17" spans="1:13" ht="33" customHeight="1" x14ac:dyDescent="0.2">
      <c r="A17" s="1820" t="s">
        <v>163</v>
      </c>
      <c r="B17" s="1820"/>
      <c r="C17" s="1820"/>
      <c r="D17" s="1874" t="s">
        <v>535</v>
      </c>
      <c r="E17" s="1874"/>
      <c r="F17" s="1822"/>
      <c r="G17" s="1822"/>
    </row>
    <row r="18" spans="1:13" ht="30" customHeight="1" x14ac:dyDescent="0.2">
      <c r="A18" s="1005"/>
      <c r="B18" s="1005"/>
      <c r="C18" s="1005"/>
      <c r="D18" s="1006"/>
      <c r="E18" s="1005"/>
      <c r="F18" s="1005"/>
      <c r="G18" s="1005"/>
    </row>
    <row r="19" spans="1:13" ht="33" customHeight="1" x14ac:dyDescent="0.2">
      <c r="A19" s="1820" t="s">
        <v>164</v>
      </c>
      <c r="B19" s="1820"/>
      <c r="C19" s="1820"/>
      <c r="D19" s="1820"/>
      <c r="E19" s="1820"/>
      <c r="F19" s="1826">
        <f>'DATOS &lt;'!C80</f>
        <v>32</v>
      </c>
      <c r="G19" s="1826"/>
      <c r="H19" s="1826"/>
      <c r="I19" s="1826"/>
      <c r="J19" s="1826"/>
    </row>
    <row r="20" spans="1:13" ht="30" customHeight="1" x14ac:dyDescent="0.2">
      <c r="A20" s="1005"/>
      <c r="B20" s="1005"/>
      <c r="C20" s="1005"/>
      <c r="D20" s="1005"/>
      <c r="E20" s="1005"/>
      <c r="F20" s="1005"/>
      <c r="G20" s="1004"/>
    </row>
    <row r="21" spans="1:13" ht="33" customHeight="1" x14ac:dyDescent="0.2">
      <c r="A21" s="1815" t="s">
        <v>165</v>
      </c>
      <c r="B21" s="1815"/>
      <c r="C21" s="1815"/>
      <c r="D21" s="1815"/>
      <c r="E21" s="1815"/>
      <c r="F21" s="1815"/>
    </row>
    <row r="22" spans="1:13" ht="30" customHeight="1" x14ac:dyDescent="0.2">
      <c r="A22" s="1821">
        <f>'DATOS &lt;'!G8</f>
        <v>0</v>
      </c>
      <c r="B22" s="1821"/>
      <c r="C22" s="1821"/>
      <c r="D22" s="1821"/>
      <c r="E22" s="1821"/>
      <c r="F22" s="1821"/>
      <c r="G22" s="1821"/>
      <c r="H22" s="1821"/>
      <c r="I22" s="1821"/>
      <c r="J22" s="1821"/>
      <c r="K22" s="1821"/>
      <c r="L22" s="1821"/>
      <c r="M22" s="1821"/>
    </row>
    <row r="23" spans="1:13" ht="30" customHeight="1" x14ac:dyDescent="0.2">
      <c r="B23" s="1815"/>
      <c r="C23" s="1815"/>
      <c r="D23" s="1815"/>
      <c r="E23" s="1815"/>
      <c r="F23" s="411"/>
      <c r="G23" s="1005"/>
    </row>
    <row r="24" spans="1:13" ht="33" customHeight="1" x14ac:dyDescent="0.2">
      <c r="A24" s="1815" t="s">
        <v>166</v>
      </c>
      <c r="B24" s="1815"/>
      <c r="C24" s="1815"/>
      <c r="D24" s="1815"/>
      <c r="E24" s="1843">
        <f>'DATOS &lt;'!I8</f>
        <v>0</v>
      </c>
      <c r="F24" s="1843"/>
    </row>
    <row r="25" spans="1:13" ht="30" customHeight="1" x14ac:dyDescent="0.25">
      <c r="A25" s="1005"/>
      <c r="B25" s="1005"/>
      <c r="C25" s="1005"/>
      <c r="D25" s="1005"/>
      <c r="E25" s="1005"/>
      <c r="F25" s="1005"/>
      <c r="G25" s="412"/>
      <c r="H25" s="412"/>
      <c r="I25" s="1004"/>
      <c r="J25" s="1004"/>
    </row>
    <row r="26" spans="1:13" ht="33" customHeight="1" x14ac:dyDescent="0.2">
      <c r="A26" s="1816" t="s">
        <v>167</v>
      </c>
      <c r="B26" s="1816"/>
      <c r="C26" s="1816"/>
      <c r="D26" s="1816"/>
      <c r="E26" s="1816"/>
      <c r="F26" s="1816"/>
      <c r="G26" s="1816"/>
      <c r="H26" s="1816"/>
      <c r="I26" s="1816"/>
      <c r="J26" s="1816"/>
    </row>
    <row r="27" spans="1:13" ht="23.1" customHeight="1" x14ac:dyDescent="0.2">
      <c r="A27" s="408"/>
      <c r="B27" s="408"/>
      <c r="C27" s="408"/>
      <c r="D27" s="408"/>
      <c r="G27" s="1004"/>
    </row>
    <row r="28" spans="1:13" ht="45" customHeight="1" x14ac:dyDescent="0.2">
      <c r="A28" s="1824" t="s">
        <v>168</v>
      </c>
      <c r="B28" s="1824"/>
      <c r="C28" s="1824"/>
      <c r="D28" s="1824"/>
      <c r="E28" s="1824"/>
      <c r="F28" s="1824"/>
      <c r="G28" s="1824"/>
      <c r="H28" s="1824"/>
      <c r="I28" s="1824"/>
      <c r="J28" s="1824"/>
      <c r="K28" s="1824"/>
      <c r="L28" s="1824"/>
      <c r="M28" s="1824"/>
    </row>
    <row r="29" spans="1:13" ht="20.100000000000001" customHeight="1" x14ac:dyDescent="0.25">
      <c r="G29" s="412"/>
      <c r="H29" s="412"/>
      <c r="I29" s="1003"/>
      <c r="J29" s="1003"/>
    </row>
    <row r="30" spans="1:13" ht="125.1" customHeight="1" x14ac:dyDescent="0.25">
      <c r="G30" s="412"/>
      <c r="H30" s="412"/>
      <c r="I30" s="1003"/>
      <c r="J30" s="1003"/>
    </row>
    <row r="31" spans="1:13" ht="35.1" customHeight="1" x14ac:dyDescent="0.25">
      <c r="G31" s="412"/>
      <c r="H31" s="412"/>
      <c r="I31" s="1003"/>
      <c r="J31" s="1003"/>
    </row>
    <row r="32" spans="1:13" ht="65.099999999999994" customHeight="1" x14ac:dyDescent="0.2">
      <c r="J32" s="1814" t="s">
        <v>8</v>
      </c>
      <c r="K32" s="1814"/>
      <c r="L32" s="1815">
        <f>L3</f>
        <v>0</v>
      </c>
      <c r="M32" s="1815"/>
    </row>
    <row r="33" spans="1:13" ht="33" customHeight="1" x14ac:dyDescent="0.2">
      <c r="A33" s="1816" t="s">
        <v>169</v>
      </c>
      <c r="B33" s="1816"/>
      <c r="C33" s="1816"/>
      <c r="D33" s="1816"/>
      <c r="E33" s="1816"/>
      <c r="F33" s="1816"/>
      <c r="G33" s="1816"/>
      <c r="H33" s="1816"/>
      <c r="I33" s="1816"/>
      <c r="J33" s="1816"/>
    </row>
    <row r="34" spans="1:13" ht="15" customHeight="1" thickBot="1" x14ac:dyDescent="0.25">
      <c r="A34" s="1007"/>
      <c r="B34" s="1007"/>
      <c r="C34" s="1007"/>
      <c r="D34" s="1007"/>
      <c r="E34" s="1007"/>
      <c r="F34" s="1007"/>
      <c r="G34" s="1007"/>
      <c r="K34" s="1250"/>
    </row>
    <row r="35" spans="1:13" ht="65.099999999999994" customHeight="1" thickBot="1" x14ac:dyDescent="0.25">
      <c r="B35" s="1854" t="s">
        <v>170</v>
      </c>
      <c r="C35" s="1855"/>
      <c r="D35" s="1854" t="s">
        <v>171</v>
      </c>
      <c r="E35" s="1855"/>
      <c r="F35" s="1854" t="s">
        <v>172</v>
      </c>
      <c r="G35" s="1855"/>
      <c r="H35" s="1836" t="s">
        <v>173</v>
      </c>
      <c r="I35" s="1837"/>
      <c r="J35" s="1837"/>
      <c r="K35" s="1838"/>
    </row>
    <row r="36" spans="1:13" ht="65.099999999999994" customHeight="1" thickBot="1" x14ac:dyDescent="0.25">
      <c r="B36" s="1856"/>
      <c r="C36" s="1857"/>
      <c r="D36" s="1856"/>
      <c r="E36" s="1857"/>
      <c r="F36" s="1856"/>
      <c r="G36" s="1857"/>
      <c r="H36" s="1839" t="s">
        <v>174</v>
      </c>
      <c r="I36" s="1840"/>
      <c r="J36" s="1841" t="s">
        <v>175</v>
      </c>
      <c r="K36" s="1842"/>
    </row>
    <row r="37" spans="1:13" ht="65.099999999999994" customHeight="1" thickBot="1" x14ac:dyDescent="0.25">
      <c r="B37" s="1848" t="str">
        <f>D14</f>
        <v>Juego de pesas de 1 g a 10 kg</v>
      </c>
      <c r="C37" s="1849"/>
      <c r="D37" s="1850" t="s">
        <v>536</v>
      </c>
      <c r="E37" s="1851"/>
      <c r="F37" s="1852" t="e">
        <f>VLOOKUP($K$34,'DATOS &lt;'!B202:G215,1,FALSE)</f>
        <v>#N/A</v>
      </c>
      <c r="G37" s="1853"/>
      <c r="H37" s="1008" t="e">
        <f>VLOOKUP($K$34,'DATOS &lt;'!B202:G215,3,FALSE)</f>
        <v>#N/A</v>
      </c>
      <c r="I37" s="1009" t="s">
        <v>177</v>
      </c>
      <c r="J37" s="1010" t="e">
        <f>VLOOKUP($K$34,'DATOS &lt;'!B202:G215,5,FALSE)</f>
        <v>#N/A</v>
      </c>
      <c r="K37" s="1011" t="s">
        <v>178</v>
      </c>
    </row>
    <row r="38" spans="1:13" ht="39.950000000000003" hidden="1" customHeight="1" thickBot="1" x14ac:dyDescent="0.25">
      <c r="A38" s="1831"/>
      <c r="B38" s="1832"/>
      <c r="C38" s="1831"/>
      <c r="D38" s="1833"/>
      <c r="E38" s="1834"/>
      <c r="F38" s="1832"/>
      <c r="G38" s="1012"/>
      <c r="H38" s="1013"/>
      <c r="I38" s="1012"/>
      <c r="J38" s="1014"/>
    </row>
    <row r="39" spans="1:13" ht="27" customHeight="1" x14ac:dyDescent="0.2"/>
    <row r="40" spans="1:13" ht="27" customHeight="1" x14ac:dyDescent="0.2">
      <c r="A40" s="1816" t="s">
        <v>179</v>
      </c>
      <c r="B40" s="1816"/>
      <c r="C40" s="1816"/>
      <c r="D40" s="1816"/>
      <c r="E40" s="1816"/>
      <c r="F40" s="1816"/>
      <c r="G40" s="1816"/>
      <c r="H40" s="1816"/>
      <c r="I40" s="1816"/>
      <c r="J40" s="1816"/>
      <c r="M40" s="1284"/>
    </row>
    <row r="41" spans="1:13" ht="23.25" customHeight="1" x14ac:dyDescent="0.2">
      <c r="B41" s="968"/>
      <c r="C41" s="968"/>
      <c r="E41" s="968"/>
      <c r="F41" s="968"/>
      <c r="G41" s="968"/>
      <c r="H41" s="968"/>
      <c r="I41" s="968"/>
      <c r="J41" s="968"/>
      <c r="K41" s="968"/>
      <c r="L41" s="968"/>
      <c r="M41" s="968"/>
    </row>
    <row r="42" spans="1:13" ht="90" customHeight="1" x14ac:dyDescent="0.2">
      <c r="A42" s="1835" t="e">
        <f>VLOOKUP($M$40,'DATOS &lt;'!$I$115:$L$118,2,FALSE)</f>
        <v>#N/A</v>
      </c>
      <c r="B42" s="1835"/>
      <c r="C42" s="1835"/>
      <c r="D42" s="1835"/>
      <c r="E42" s="1835"/>
      <c r="F42" s="1835"/>
      <c r="G42" s="1835"/>
      <c r="H42" s="1835"/>
      <c r="I42" s="1835"/>
      <c r="J42" s="1835"/>
      <c r="K42" s="1835"/>
      <c r="L42" s="1835"/>
      <c r="M42" s="1835"/>
    </row>
    <row r="43" spans="1:13" ht="20.100000000000001" customHeight="1" thickBot="1" x14ac:dyDescent="0.25">
      <c r="A43" s="1015"/>
      <c r="B43" s="1015"/>
      <c r="C43" s="1015"/>
      <c r="D43" s="1015"/>
      <c r="E43" s="1015"/>
      <c r="F43" s="1015"/>
      <c r="G43" s="1015"/>
      <c r="H43" s="1015"/>
      <c r="I43" s="1015"/>
      <c r="J43" s="1015"/>
    </row>
    <row r="44" spans="1:13" ht="65.099999999999994" customHeight="1" thickBot="1" x14ac:dyDescent="0.25">
      <c r="B44" s="1847" t="s">
        <v>180</v>
      </c>
      <c r="C44" s="1847"/>
      <c r="D44" s="1847"/>
      <c r="E44" s="242" t="s">
        <v>11</v>
      </c>
      <c r="F44" s="242" t="s">
        <v>12</v>
      </c>
      <c r="G44" s="224" t="s">
        <v>3</v>
      </c>
      <c r="H44" s="1847" t="s">
        <v>181</v>
      </c>
      <c r="I44" s="1847"/>
      <c r="J44" s="1847" t="s">
        <v>5</v>
      </c>
      <c r="K44" s="1847"/>
    </row>
    <row r="45" spans="1:13" ht="65.099999999999994" customHeight="1" thickBot="1" x14ac:dyDescent="0.25">
      <c r="B45" s="1880" t="s">
        <v>537</v>
      </c>
      <c r="C45" s="1880"/>
      <c r="D45" s="1880"/>
      <c r="E45" s="225" t="s">
        <v>538</v>
      </c>
      <c r="F45" s="413" t="e">
        <f>VLOOKUP('1 g &lt;'!$E$6,'DATOS &lt;'!N7:AC135,3,FALSE)</f>
        <v>#N/A</v>
      </c>
      <c r="G45" s="1016" t="e">
        <f>VLOOKUP('1 g &lt;'!$E$6,'DATOS &lt;'!N7:AC135,16,FALSE)</f>
        <v>#N/A</v>
      </c>
      <c r="H45" s="1845" t="e">
        <f>VLOOKUP('1 g &lt;'!$E$6,'DATOS &lt;'!N7:AB135,6,FALSE)</f>
        <v>#N/A</v>
      </c>
      <c r="I45" s="1845"/>
      <c r="J45" s="1846" t="e">
        <f>VLOOKUP('1 g &lt;'!$E$6,'DATOS &lt;'!N7:AC135,7,FALSE)</f>
        <v>#N/A</v>
      </c>
      <c r="K45" s="1846"/>
    </row>
    <row r="46" spans="1:13" ht="65.099999999999994" customHeight="1" thickBot="1" x14ac:dyDescent="0.25">
      <c r="B46" s="1883" t="s">
        <v>539</v>
      </c>
      <c r="C46" s="1883"/>
      <c r="D46" s="1883"/>
      <c r="E46" s="225" t="s">
        <v>538</v>
      </c>
      <c r="F46" s="413" t="e">
        <f>VLOOKUP('10 kg &lt;'!$E$6,'DATOS &lt;'!N7:AC135,3,FALSE)</f>
        <v>#N/A</v>
      </c>
      <c r="G46" s="1016" t="e">
        <f>VLOOKUP('10 kg &lt;'!$E$6,'DATOS &lt;'!N7:AC135,16,FALSE)</f>
        <v>#N/A</v>
      </c>
      <c r="H46" s="1876" t="e">
        <f>VLOOKUP('10 kg &lt;'!$E$6,'DATOS &lt;'!N7:AC135,6,FALSE)</f>
        <v>#N/A</v>
      </c>
      <c r="I46" s="1845"/>
      <c r="J46" s="1846" t="e">
        <f>VLOOKUP('10 kg &lt;'!$E$6,'DATOS &lt;'!N7:AC135,7,FALSE)</f>
        <v>#N/A</v>
      </c>
      <c r="K46" s="1846"/>
    </row>
    <row r="47" spans="1:13" ht="27" customHeight="1" x14ac:dyDescent="0.2">
      <c r="A47" s="409"/>
      <c r="B47" s="409"/>
      <c r="C47" s="409"/>
      <c r="D47" s="226"/>
      <c r="E47" s="409"/>
      <c r="F47" s="409"/>
      <c r="G47" s="409"/>
      <c r="H47" s="409"/>
      <c r="I47" s="227"/>
      <c r="J47" s="227"/>
    </row>
    <row r="48" spans="1:13" ht="33" customHeight="1" x14ac:dyDescent="0.2">
      <c r="A48" s="1815" t="s">
        <v>183</v>
      </c>
      <c r="B48" s="1815"/>
      <c r="C48" s="1815"/>
      <c r="D48" s="1815"/>
      <c r="E48" s="1815"/>
      <c r="F48" s="1815"/>
      <c r="G48" s="1815"/>
      <c r="H48" s="1815"/>
      <c r="I48" s="1815"/>
      <c r="J48" s="1815"/>
    </row>
    <row r="49" spans="1:1020 1029:2040 2049:3070 3079:4090 4099:5120 5129:6140 6149:7160 7169:8190 8199:9210 9219:10240 10249:11260 11269:12280 12289:13310 13319:14330 14339:15360 15369:16380" ht="20.100000000000001" customHeight="1" x14ac:dyDescent="0.2">
      <c r="A49" s="223"/>
      <c r="B49" s="223"/>
    </row>
    <row r="50" spans="1:1020 1029:2040 2049:3070 3079:4090 4099:5120 5129:6140 6149:7160 7169:8190 8199:9210 9219:10240 10249:11260 11269:12280 12289:13310 13319:14330 14339:15360 15369:16380" ht="54.95" customHeight="1" x14ac:dyDescent="0.2">
      <c r="A50" s="1824" t="s">
        <v>597</v>
      </c>
      <c r="B50" s="1824"/>
      <c r="C50" s="1824"/>
      <c r="D50" s="1824"/>
      <c r="E50" s="1824"/>
      <c r="F50" s="1824"/>
      <c r="G50" s="1824"/>
      <c r="H50" s="1824"/>
      <c r="I50" s="1824"/>
      <c r="J50" s="1824"/>
      <c r="K50" s="1824"/>
      <c r="L50" s="1824"/>
      <c r="M50" s="1824"/>
    </row>
    <row r="51" spans="1:1020 1029:2040 2049:3070 3079:4090 4099:5120 5129:6140 6149:7160 7169:8190 8199:9210 9219:10240 10249:11260 11269:12280 12289:13310 13319:14330 14339:15360 15369:16380" ht="33" customHeight="1" x14ac:dyDescent="0.2">
      <c r="A51" s="1017"/>
      <c r="B51" s="1017"/>
      <c r="C51" s="1017"/>
      <c r="D51" s="1017"/>
      <c r="E51" s="1017"/>
      <c r="F51" s="1017"/>
      <c r="G51" s="1017"/>
      <c r="H51" s="1017"/>
      <c r="I51" s="1017"/>
      <c r="J51" s="1017"/>
    </row>
    <row r="52" spans="1:1020 1029:2040 2049:3070 3079:4090 4099:5120 5129:6140 6149:7160 7169:8190 8199:9210 9219:10240 10249:11260 11269:12280 12289:13310 13319:14330 14339:15360 15369:16380" ht="125.1" customHeight="1" x14ac:dyDescent="0.2">
      <c r="A52" s="1881"/>
      <c r="B52" s="1881"/>
      <c r="C52" s="1881"/>
      <c r="D52" s="1881"/>
      <c r="E52" s="1881"/>
      <c r="F52" s="1881"/>
      <c r="G52" s="1881"/>
      <c r="H52" s="1881"/>
      <c r="I52" s="1881"/>
      <c r="J52" s="1881"/>
      <c r="K52" s="1881"/>
      <c r="L52" s="1881"/>
      <c r="M52" s="1881"/>
    </row>
    <row r="53" spans="1:1020 1029:2040 2049:3070 3079:4090 4099:5120 5129:6140 6149:7160 7169:8190 8199:9210 9219:10240 10249:11260 11269:12280 12289:13310 13319:14330 14339:15360 15369:16380" ht="35.1" customHeight="1" x14ac:dyDescent="0.2">
      <c r="A53" s="1017"/>
      <c r="B53" s="1017"/>
      <c r="C53" s="1017"/>
      <c r="D53" s="1017"/>
      <c r="E53" s="1017"/>
      <c r="F53" s="1017"/>
    </row>
    <row r="54" spans="1:1020 1029:2040 2049:3070 3079:4090 4099:5120 5129:6140 6149:7160 7169:8190 8199:9210 9219:10240 10249:11260 11269:12280 12289:13310 13319:14330 14339:15360 15369:16380" ht="65.099999999999994" customHeight="1" x14ac:dyDescent="0.2">
      <c r="A54" s="1017"/>
      <c r="B54" s="1017"/>
      <c r="C54" s="1017"/>
      <c r="D54" s="1017"/>
      <c r="E54" s="1017"/>
      <c r="F54" s="1017"/>
      <c r="J54" s="1814" t="s">
        <v>8</v>
      </c>
      <c r="K54" s="1814"/>
      <c r="L54" s="1815">
        <f>L3</f>
        <v>0</v>
      </c>
      <c r="M54" s="1815"/>
    </row>
    <row r="55" spans="1:1020 1029:2040 2049:3070 3079:4090 4099:5120 5129:6140 6149:7160 7169:8190 8199:9210 9219:10240 10249:11260 11269:12280 12289:13310 13319:14330 14339:15360 15369:16380" ht="23.1" customHeight="1" x14ac:dyDescent="0.2">
      <c r="A55" s="1815" t="s">
        <v>184</v>
      </c>
      <c r="B55" s="1815"/>
      <c r="C55" s="1815"/>
      <c r="D55" s="1815"/>
      <c r="E55" s="1815"/>
      <c r="F55" s="1815"/>
      <c r="G55" s="1815"/>
      <c r="H55" s="1815"/>
      <c r="I55" s="1815"/>
      <c r="J55" s="1815"/>
    </row>
    <row r="56" spans="1:1020 1029:2040 2049:3070 3079:4090 4099:5120 5129:6140 6149:7160 7169:8190 8199:9210 9219:10240 10249:11260 11269:12280 12289:13310 13319:14330 14339:15360 15369:16380" ht="20.100000000000001" customHeight="1" thickBot="1" x14ac:dyDescent="0.25">
      <c r="A56" s="223"/>
      <c r="B56" s="223"/>
      <c r="S56" s="223"/>
      <c r="T56" s="223"/>
      <c r="AC56" s="223"/>
      <c r="AD56" s="223"/>
      <c r="AM56" s="223"/>
      <c r="AN56" s="223"/>
      <c r="AW56" s="223"/>
      <c r="AX56" s="223"/>
      <c r="BG56" s="223"/>
      <c r="BH56" s="223"/>
      <c r="BQ56" s="223"/>
      <c r="BR56" s="223"/>
      <c r="CA56" s="223"/>
      <c r="CB56" s="223"/>
      <c r="CK56" s="223"/>
      <c r="CL56" s="223"/>
      <c r="CU56" s="223"/>
      <c r="CV56" s="223"/>
      <c r="DE56" s="223"/>
      <c r="DF56" s="223"/>
      <c r="DO56" s="223"/>
      <c r="DP56" s="223"/>
      <c r="DY56" s="223"/>
      <c r="DZ56" s="223"/>
      <c r="EI56" s="223"/>
      <c r="EJ56" s="223"/>
      <c r="ES56" s="223"/>
      <c r="ET56" s="223"/>
      <c r="FC56" s="223"/>
      <c r="FD56" s="223"/>
      <c r="FM56" s="223"/>
      <c r="FN56" s="223"/>
      <c r="FW56" s="223"/>
      <c r="FX56" s="223"/>
      <c r="GG56" s="223"/>
      <c r="GH56" s="223"/>
      <c r="GQ56" s="223"/>
      <c r="GR56" s="223"/>
      <c r="HA56" s="223"/>
      <c r="HB56" s="223"/>
      <c r="HK56" s="223"/>
      <c r="HL56" s="223"/>
      <c r="HU56" s="223"/>
      <c r="HV56" s="223"/>
      <c r="IE56" s="223"/>
      <c r="IF56" s="223"/>
      <c r="IO56" s="223"/>
      <c r="IP56" s="223"/>
      <c r="IY56" s="223"/>
      <c r="IZ56" s="223"/>
      <c r="JI56" s="223"/>
      <c r="JJ56" s="223"/>
      <c r="JS56" s="223"/>
      <c r="JT56" s="223"/>
      <c r="KC56" s="223"/>
      <c r="KD56" s="223"/>
      <c r="KM56" s="223"/>
      <c r="KN56" s="223"/>
      <c r="KW56" s="223"/>
      <c r="KX56" s="223"/>
      <c r="LG56" s="223"/>
      <c r="LH56" s="223"/>
      <c r="LQ56" s="223"/>
      <c r="LR56" s="223"/>
      <c r="MA56" s="223"/>
      <c r="MB56" s="223"/>
      <c r="MK56" s="223"/>
      <c r="ML56" s="223"/>
      <c r="MU56" s="223"/>
      <c r="MV56" s="223"/>
      <c r="NE56" s="223"/>
      <c r="NF56" s="223"/>
      <c r="NO56" s="223"/>
      <c r="NP56" s="223"/>
      <c r="NY56" s="223"/>
      <c r="NZ56" s="223"/>
      <c r="OI56" s="223"/>
      <c r="OJ56" s="223"/>
      <c r="OS56" s="223"/>
      <c r="OT56" s="223"/>
      <c r="PC56" s="223"/>
      <c r="PD56" s="223"/>
      <c r="PM56" s="223"/>
      <c r="PN56" s="223"/>
      <c r="PW56" s="223"/>
      <c r="PX56" s="223"/>
      <c r="QG56" s="223"/>
      <c r="QH56" s="223"/>
      <c r="QQ56" s="223"/>
      <c r="QR56" s="223"/>
      <c r="RA56" s="223"/>
      <c r="RB56" s="223"/>
      <c r="RK56" s="223"/>
      <c r="RL56" s="223"/>
      <c r="RU56" s="223"/>
      <c r="RV56" s="223"/>
      <c r="SE56" s="223"/>
      <c r="SF56" s="223"/>
      <c r="SO56" s="223"/>
      <c r="SP56" s="223"/>
      <c r="SY56" s="223"/>
      <c r="SZ56" s="223"/>
      <c r="TI56" s="223"/>
      <c r="TJ56" s="223"/>
      <c r="TS56" s="223"/>
      <c r="TT56" s="223"/>
      <c r="UC56" s="223"/>
      <c r="UD56" s="223"/>
      <c r="UM56" s="223"/>
      <c r="UN56" s="223"/>
      <c r="UW56" s="223"/>
      <c r="UX56" s="223"/>
      <c r="VG56" s="223"/>
      <c r="VH56" s="223"/>
      <c r="VQ56" s="223"/>
      <c r="VR56" s="223"/>
      <c r="WA56" s="223"/>
      <c r="WB56" s="223"/>
      <c r="WK56" s="223"/>
      <c r="WL56" s="223"/>
      <c r="WU56" s="223"/>
      <c r="WV56" s="223"/>
      <c r="XE56" s="223"/>
      <c r="XF56" s="223"/>
      <c r="XO56" s="223"/>
      <c r="XP56" s="223"/>
      <c r="XY56" s="223"/>
      <c r="XZ56" s="223"/>
      <c r="YI56" s="223"/>
      <c r="YJ56" s="223"/>
      <c r="YS56" s="223"/>
      <c r="YT56" s="223"/>
      <c r="ZC56" s="223"/>
      <c r="ZD56" s="223"/>
      <c r="ZM56" s="223"/>
      <c r="ZN56" s="223"/>
      <c r="ZW56" s="223"/>
      <c r="ZX56" s="223"/>
      <c r="AAG56" s="223"/>
      <c r="AAH56" s="223"/>
      <c r="AAQ56" s="223"/>
      <c r="AAR56" s="223"/>
      <c r="ABA56" s="223"/>
      <c r="ABB56" s="223"/>
      <c r="ABK56" s="223"/>
      <c r="ABL56" s="223"/>
      <c r="ABU56" s="223"/>
      <c r="ABV56" s="223"/>
      <c r="ACE56" s="223"/>
      <c r="ACF56" s="223"/>
      <c r="ACO56" s="223"/>
      <c r="ACP56" s="223"/>
      <c r="ACY56" s="223"/>
      <c r="ACZ56" s="223"/>
      <c r="ADI56" s="223"/>
      <c r="ADJ56" s="223"/>
      <c r="ADS56" s="223"/>
      <c r="ADT56" s="223"/>
      <c r="AEC56" s="223"/>
      <c r="AED56" s="223"/>
      <c r="AEM56" s="223"/>
      <c r="AEN56" s="223"/>
      <c r="AEW56" s="223"/>
      <c r="AEX56" s="223"/>
      <c r="AFG56" s="223"/>
      <c r="AFH56" s="223"/>
      <c r="AFQ56" s="223"/>
      <c r="AFR56" s="223"/>
      <c r="AGA56" s="223"/>
      <c r="AGB56" s="223"/>
      <c r="AGK56" s="223"/>
      <c r="AGL56" s="223"/>
      <c r="AGU56" s="223"/>
      <c r="AGV56" s="223"/>
      <c r="AHE56" s="223"/>
      <c r="AHF56" s="223"/>
      <c r="AHO56" s="223"/>
      <c r="AHP56" s="223"/>
      <c r="AHY56" s="223"/>
      <c r="AHZ56" s="223"/>
      <c r="AII56" s="223"/>
      <c r="AIJ56" s="223"/>
      <c r="AIS56" s="223"/>
      <c r="AIT56" s="223"/>
      <c r="AJC56" s="223"/>
      <c r="AJD56" s="223"/>
      <c r="AJM56" s="223"/>
      <c r="AJN56" s="223"/>
      <c r="AJW56" s="223"/>
      <c r="AJX56" s="223"/>
      <c r="AKG56" s="223"/>
      <c r="AKH56" s="223"/>
      <c r="AKQ56" s="223"/>
      <c r="AKR56" s="223"/>
      <c r="ALA56" s="223"/>
      <c r="ALB56" s="223"/>
      <c r="ALK56" s="223"/>
      <c r="ALL56" s="223"/>
      <c r="ALU56" s="223"/>
      <c r="ALV56" s="223"/>
      <c r="AME56" s="223"/>
      <c r="AMF56" s="223"/>
      <c r="AMO56" s="223"/>
      <c r="AMP56" s="223"/>
      <c r="AMY56" s="223"/>
      <c r="AMZ56" s="223"/>
      <c r="ANI56" s="223"/>
      <c r="ANJ56" s="223"/>
      <c r="ANS56" s="223"/>
      <c r="ANT56" s="223"/>
      <c r="AOC56" s="223"/>
      <c r="AOD56" s="223"/>
      <c r="AOM56" s="223"/>
      <c r="AON56" s="223"/>
      <c r="AOW56" s="223"/>
      <c r="AOX56" s="223"/>
      <c r="APG56" s="223"/>
      <c r="APH56" s="223"/>
      <c r="APQ56" s="223"/>
      <c r="APR56" s="223"/>
      <c r="AQA56" s="223"/>
      <c r="AQB56" s="223"/>
      <c r="AQK56" s="223"/>
      <c r="AQL56" s="223"/>
      <c r="AQU56" s="223"/>
      <c r="AQV56" s="223"/>
      <c r="ARE56" s="223"/>
      <c r="ARF56" s="223"/>
      <c r="ARO56" s="223"/>
      <c r="ARP56" s="223"/>
      <c r="ARY56" s="223"/>
      <c r="ARZ56" s="223"/>
      <c r="ASI56" s="223"/>
      <c r="ASJ56" s="223"/>
      <c r="ASS56" s="223"/>
      <c r="AST56" s="223"/>
      <c r="ATC56" s="223"/>
      <c r="ATD56" s="223"/>
      <c r="ATM56" s="223"/>
      <c r="ATN56" s="223"/>
      <c r="ATW56" s="223"/>
      <c r="ATX56" s="223"/>
      <c r="AUG56" s="223"/>
      <c r="AUH56" s="223"/>
      <c r="AUQ56" s="223"/>
      <c r="AUR56" s="223"/>
      <c r="AVA56" s="223"/>
      <c r="AVB56" s="223"/>
      <c r="AVK56" s="223"/>
      <c r="AVL56" s="223"/>
      <c r="AVU56" s="223"/>
      <c r="AVV56" s="223"/>
      <c r="AWE56" s="223"/>
      <c r="AWF56" s="223"/>
      <c r="AWO56" s="223"/>
      <c r="AWP56" s="223"/>
      <c r="AWY56" s="223"/>
      <c r="AWZ56" s="223"/>
      <c r="AXI56" s="223"/>
      <c r="AXJ56" s="223"/>
      <c r="AXS56" s="223"/>
      <c r="AXT56" s="223"/>
      <c r="AYC56" s="223"/>
      <c r="AYD56" s="223"/>
      <c r="AYM56" s="223"/>
      <c r="AYN56" s="223"/>
      <c r="AYW56" s="223"/>
      <c r="AYX56" s="223"/>
      <c r="AZG56" s="223"/>
      <c r="AZH56" s="223"/>
      <c r="AZQ56" s="223"/>
      <c r="AZR56" s="223"/>
      <c r="BAA56" s="223"/>
      <c r="BAB56" s="223"/>
      <c r="BAK56" s="223"/>
      <c r="BAL56" s="223"/>
      <c r="BAU56" s="223"/>
      <c r="BAV56" s="223"/>
      <c r="BBE56" s="223"/>
      <c r="BBF56" s="223"/>
      <c r="BBO56" s="223"/>
      <c r="BBP56" s="223"/>
      <c r="BBY56" s="223"/>
      <c r="BBZ56" s="223"/>
      <c r="BCI56" s="223"/>
      <c r="BCJ56" s="223"/>
      <c r="BCS56" s="223"/>
      <c r="BCT56" s="223"/>
      <c r="BDC56" s="223"/>
      <c r="BDD56" s="223"/>
      <c r="BDM56" s="223"/>
      <c r="BDN56" s="223"/>
      <c r="BDW56" s="223"/>
      <c r="BDX56" s="223"/>
      <c r="BEG56" s="223"/>
      <c r="BEH56" s="223"/>
      <c r="BEQ56" s="223"/>
      <c r="BER56" s="223"/>
      <c r="BFA56" s="223"/>
      <c r="BFB56" s="223"/>
      <c r="BFK56" s="223"/>
      <c r="BFL56" s="223"/>
      <c r="BFU56" s="223"/>
      <c r="BFV56" s="223"/>
      <c r="BGE56" s="223"/>
      <c r="BGF56" s="223"/>
      <c r="BGO56" s="223"/>
      <c r="BGP56" s="223"/>
      <c r="BGY56" s="223"/>
      <c r="BGZ56" s="223"/>
      <c r="BHI56" s="223"/>
      <c r="BHJ56" s="223"/>
      <c r="BHS56" s="223"/>
      <c r="BHT56" s="223"/>
      <c r="BIC56" s="223"/>
      <c r="BID56" s="223"/>
      <c r="BIM56" s="223"/>
      <c r="BIN56" s="223"/>
      <c r="BIW56" s="223"/>
      <c r="BIX56" s="223"/>
      <c r="BJG56" s="223"/>
      <c r="BJH56" s="223"/>
      <c r="BJQ56" s="223"/>
      <c r="BJR56" s="223"/>
      <c r="BKA56" s="223"/>
      <c r="BKB56" s="223"/>
      <c r="BKK56" s="223"/>
      <c r="BKL56" s="223"/>
      <c r="BKU56" s="223"/>
      <c r="BKV56" s="223"/>
      <c r="BLE56" s="223"/>
      <c r="BLF56" s="223"/>
      <c r="BLO56" s="223"/>
      <c r="BLP56" s="223"/>
      <c r="BLY56" s="223"/>
      <c r="BLZ56" s="223"/>
      <c r="BMI56" s="223"/>
      <c r="BMJ56" s="223"/>
      <c r="BMS56" s="223"/>
      <c r="BMT56" s="223"/>
      <c r="BNC56" s="223"/>
      <c r="BND56" s="223"/>
      <c r="BNM56" s="223"/>
      <c r="BNN56" s="223"/>
      <c r="BNW56" s="223"/>
      <c r="BNX56" s="223"/>
      <c r="BOG56" s="223"/>
      <c r="BOH56" s="223"/>
      <c r="BOQ56" s="223"/>
      <c r="BOR56" s="223"/>
      <c r="BPA56" s="223"/>
      <c r="BPB56" s="223"/>
      <c r="BPK56" s="223"/>
      <c r="BPL56" s="223"/>
      <c r="BPU56" s="223"/>
      <c r="BPV56" s="223"/>
      <c r="BQE56" s="223"/>
      <c r="BQF56" s="223"/>
      <c r="BQO56" s="223"/>
      <c r="BQP56" s="223"/>
      <c r="BQY56" s="223"/>
      <c r="BQZ56" s="223"/>
      <c r="BRI56" s="223"/>
      <c r="BRJ56" s="223"/>
      <c r="BRS56" s="223"/>
      <c r="BRT56" s="223"/>
      <c r="BSC56" s="223"/>
      <c r="BSD56" s="223"/>
      <c r="BSM56" s="223"/>
      <c r="BSN56" s="223"/>
      <c r="BSW56" s="223"/>
      <c r="BSX56" s="223"/>
      <c r="BTG56" s="223"/>
      <c r="BTH56" s="223"/>
      <c r="BTQ56" s="223"/>
      <c r="BTR56" s="223"/>
      <c r="BUA56" s="223"/>
      <c r="BUB56" s="223"/>
      <c r="BUK56" s="223"/>
      <c r="BUL56" s="223"/>
      <c r="BUU56" s="223"/>
      <c r="BUV56" s="223"/>
      <c r="BVE56" s="223"/>
      <c r="BVF56" s="223"/>
      <c r="BVO56" s="223"/>
      <c r="BVP56" s="223"/>
      <c r="BVY56" s="223"/>
      <c r="BVZ56" s="223"/>
      <c r="BWI56" s="223"/>
      <c r="BWJ56" s="223"/>
      <c r="BWS56" s="223"/>
      <c r="BWT56" s="223"/>
      <c r="BXC56" s="223"/>
      <c r="BXD56" s="223"/>
      <c r="BXM56" s="223"/>
      <c r="BXN56" s="223"/>
      <c r="BXW56" s="223"/>
      <c r="BXX56" s="223"/>
      <c r="BYG56" s="223"/>
      <c r="BYH56" s="223"/>
      <c r="BYQ56" s="223"/>
      <c r="BYR56" s="223"/>
      <c r="BZA56" s="223"/>
      <c r="BZB56" s="223"/>
      <c r="BZK56" s="223"/>
      <c r="BZL56" s="223"/>
      <c r="BZU56" s="223"/>
      <c r="BZV56" s="223"/>
      <c r="CAE56" s="223"/>
      <c r="CAF56" s="223"/>
      <c r="CAO56" s="223"/>
      <c r="CAP56" s="223"/>
      <c r="CAY56" s="223"/>
      <c r="CAZ56" s="223"/>
      <c r="CBI56" s="223"/>
      <c r="CBJ56" s="223"/>
      <c r="CBS56" s="223"/>
      <c r="CBT56" s="223"/>
      <c r="CCC56" s="223"/>
      <c r="CCD56" s="223"/>
      <c r="CCM56" s="223"/>
      <c r="CCN56" s="223"/>
      <c r="CCW56" s="223"/>
      <c r="CCX56" s="223"/>
      <c r="CDG56" s="223"/>
      <c r="CDH56" s="223"/>
      <c r="CDQ56" s="223"/>
      <c r="CDR56" s="223"/>
      <c r="CEA56" s="223"/>
      <c r="CEB56" s="223"/>
      <c r="CEK56" s="223"/>
      <c r="CEL56" s="223"/>
      <c r="CEU56" s="223"/>
      <c r="CEV56" s="223"/>
      <c r="CFE56" s="223"/>
      <c r="CFF56" s="223"/>
      <c r="CFO56" s="223"/>
      <c r="CFP56" s="223"/>
      <c r="CFY56" s="223"/>
      <c r="CFZ56" s="223"/>
      <c r="CGI56" s="223"/>
      <c r="CGJ56" s="223"/>
      <c r="CGS56" s="223"/>
      <c r="CGT56" s="223"/>
      <c r="CHC56" s="223"/>
      <c r="CHD56" s="223"/>
      <c r="CHM56" s="223"/>
      <c r="CHN56" s="223"/>
      <c r="CHW56" s="223"/>
      <c r="CHX56" s="223"/>
      <c r="CIG56" s="223"/>
      <c r="CIH56" s="223"/>
      <c r="CIQ56" s="223"/>
      <c r="CIR56" s="223"/>
      <c r="CJA56" s="223"/>
      <c r="CJB56" s="223"/>
      <c r="CJK56" s="223"/>
      <c r="CJL56" s="223"/>
      <c r="CJU56" s="223"/>
      <c r="CJV56" s="223"/>
      <c r="CKE56" s="223"/>
      <c r="CKF56" s="223"/>
      <c r="CKO56" s="223"/>
      <c r="CKP56" s="223"/>
      <c r="CKY56" s="223"/>
      <c r="CKZ56" s="223"/>
      <c r="CLI56" s="223"/>
      <c r="CLJ56" s="223"/>
      <c r="CLS56" s="223"/>
      <c r="CLT56" s="223"/>
      <c r="CMC56" s="223"/>
      <c r="CMD56" s="223"/>
      <c r="CMM56" s="223"/>
      <c r="CMN56" s="223"/>
      <c r="CMW56" s="223"/>
      <c r="CMX56" s="223"/>
      <c r="CNG56" s="223"/>
      <c r="CNH56" s="223"/>
      <c r="CNQ56" s="223"/>
      <c r="CNR56" s="223"/>
      <c r="COA56" s="223"/>
      <c r="COB56" s="223"/>
      <c r="COK56" s="223"/>
      <c r="COL56" s="223"/>
      <c r="COU56" s="223"/>
      <c r="COV56" s="223"/>
      <c r="CPE56" s="223"/>
      <c r="CPF56" s="223"/>
      <c r="CPO56" s="223"/>
      <c r="CPP56" s="223"/>
      <c r="CPY56" s="223"/>
      <c r="CPZ56" s="223"/>
      <c r="CQI56" s="223"/>
      <c r="CQJ56" s="223"/>
      <c r="CQS56" s="223"/>
      <c r="CQT56" s="223"/>
      <c r="CRC56" s="223"/>
      <c r="CRD56" s="223"/>
      <c r="CRM56" s="223"/>
      <c r="CRN56" s="223"/>
      <c r="CRW56" s="223"/>
      <c r="CRX56" s="223"/>
      <c r="CSG56" s="223"/>
      <c r="CSH56" s="223"/>
      <c r="CSQ56" s="223"/>
      <c r="CSR56" s="223"/>
      <c r="CTA56" s="223"/>
      <c r="CTB56" s="223"/>
      <c r="CTK56" s="223"/>
      <c r="CTL56" s="223"/>
      <c r="CTU56" s="223"/>
      <c r="CTV56" s="223"/>
      <c r="CUE56" s="223"/>
      <c r="CUF56" s="223"/>
      <c r="CUO56" s="223"/>
      <c r="CUP56" s="223"/>
      <c r="CUY56" s="223"/>
      <c r="CUZ56" s="223"/>
      <c r="CVI56" s="223"/>
      <c r="CVJ56" s="223"/>
      <c r="CVS56" s="223"/>
      <c r="CVT56" s="223"/>
      <c r="CWC56" s="223"/>
      <c r="CWD56" s="223"/>
      <c r="CWM56" s="223"/>
      <c r="CWN56" s="223"/>
      <c r="CWW56" s="223"/>
      <c r="CWX56" s="223"/>
      <c r="CXG56" s="223"/>
      <c r="CXH56" s="223"/>
      <c r="CXQ56" s="223"/>
      <c r="CXR56" s="223"/>
      <c r="CYA56" s="223"/>
      <c r="CYB56" s="223"/>
      <c r="CYK56" s="223"/>
      <c r="CYL56" s="223"/>
      <c r="CYU56" s="223"/>
      <c r="CYV56" s="223"/>
      <c r="CZE56" s="223"/>
      <c r="CZF56" s="223"/>
      <c r="CZO56" s="223"/>
      <c r="CZP56" s="223"/>
      <c r="CZY56" s="223"/>
      <c r="CZZ56" s="223"/>
      <c r="DAI56" s="223"/>
      <c r="DAJ56" s="223"/>
      <c r="DAS56" s="223"/>
      <c r="DAT56" s="223"/>
      <c r="DBC56" s="223"/>
      <c r="DBD56" s="223"/>
      <c r="DBM56" s="223"/>
      <c r="DBN56" s="223"/>
      <c r="DBW56" s="223"/>
      <c r="DBX56" s="223"/>
      <c r="DCG56" s="223"/>
      <c r="DCH56" s="223"/>
      <c r="DCQ56" s="223"/>
      <c r="DCR56" s="223"/>
      <c r="DDA56" s="223"/>
      <c r="DDB56" s="223"/>
      <c r="DDK56" s="223"/>
      <c r="DDL56" s="223"/>
      <c r="DDU56" s="223"/>
      <c r="DDV56" s="223"/>
      <c r="DEE56" s="223"/>
      <c r="DEF56" s="223"/>
      <c r="DEO56" s="223"/>
      <c r="DEP56" s="223"/>
      <c r="DEY56" s="223"/>
      <c r="DEZ56" s="223"/>
      <c r="DFI56" s="223"/>
      <c r="DFJ56" s="223"/>
      <c r="DFS56" s="223"/>
      <c r="DFT56" s="223"/>
      <c r="DGC56" s="223"/>
      <c r="DGD56" s="223"/>
      <c r="DGM56" s="223"/>
      <c r="DGN56" s="223"/>
      <c r="DGW56" s="223"/>
      <c r="DGX56" s="223"/>
      <c r="DHG56" s="223"/>
      <c r="DHH56" s="223"/>
      <c r="DHQ56" s="223"/>
      <c r="DHR56" s="223"/>
      <c r="DIA56" s="223"/>
      <c r="DIB56" s="223"/>
      <c r="DIK56" s="223"/>
      <c r="DIL56" s="223"/>
      <c r="DIU56" s="223"/>
      <c r="DIV56" s="223"/>
      <c r="DJE56" s="223"/>
      <c r="DJF56" s="223"/>
      <c r="DJO56" s="223"/>
      <c r="DJP56" s="223"/>
      <c r="DJY56" s="223"/>
      <c r="DJZ56" s="223"/>
      <c r="DKI56" s="223"/>
      <c r="DKJ56" s="223"/>
      <c r="DKS56" s="223"/>
      <c r="DKT56" s="223"/>
      <c r="DLC56" s="223"/>
      <c r="DLD56" s="223"/>
      <c r="DLM56" s="223"/>
      <c r="DLN56" s="223"/>
      <c r="DLW56" s="223"/>
      <c r="DLX56" s="223"/>
      <c r="DMG56" s="223"/>
      <c r="DMH56" s="223"/>
      <c r="DMQ56" s="223"/>
      <c r="DMR56" s="223"/>
      <c r="DNA56" s="223"/>
      <c r="DNB56" s="223"/>
      <c r="DNK56" s="223"/>
      <c r="DNL56" s="223"/>
      <c r="DNU56" s="223"/>
      <c r="DNV56" s="223"/>
      <c r="DOE56" s="223"/>
      <c r="DOF56" s="223"/>
      <c r="DOO56" s="223"/>
      <c r="DOP56" s="223"/>
      <c r="DOY56" s="223"/>
      <c r="DOZ56" s="223"/>
      <c r="DPI56" s="223"/>
      <c r="DPJ56" s="223"/>
      <c r="DPS56" s="223"/>
      <c r="DPT56" s="223"/>
      <c r="DQC56" s="223"/>
      <c r="DQD56" s="223"/>
      <c r="DQM56" s="223"/>
      <c r="DQN56" s="223"/>
      <c r="DQW56" s="223"/>
      <c r="DQX56" s="223"/>
      <c r="DRG56" s="223"/>
      <c r="DRH56" s="223"/>
      <c r="DRQ56" s="223"/>
      <c r="DRR56" s="223"/>
      <c r="DSA56" s="223"/>
      <c r="DSB56" s="223"/>
      <c r="DSK56" s="223"/>
      <c r="DSL56" s="223"/>
      <c r="DSU56" s="223"/>
      <c r="DSV56" s="223"/>
      <c r="DTE56" s="223"/>
      <c r="DTF56" s="223"/>
      <c r="DTO56" s="223"/>
      <c r="DTP56" s="223"/>
      <c r="DTY56" s="223"/>
      <c r="DTZ56" s="223"/>
      <c r="DUI56" s="223"/>
      <c r="DUJ56" s="223"/>
      <c r="DUS56" s="223"/>
      <c r="DUT56" s="223"/>
      <c r="DVC56" s="223"/>
      <c r="DVD56" s="223"/>
      <c r="DVM56" s="223"/>
      <c r="DVN56" s="223"/>
      <c r="DVW56" s="223"/>
      <c r="DVX56" s="223"/>
      <c r="DWG56" s="223"/>
      <c r="DWH56" s="223"/>
      <c r="DWQ56" s="223"/>
      <c r="DWR56" s="223"/>
      <c r="DXA56" s="223"/>
      <c r="DXB56" s="223"/>
      <c r="DXK56" s="223"/>
      <c r="DXL56" s="223"/>
      <c r="DXU56" s="223"/>
      <c r="DXV56" s="223"/>
      <c r="DYE56" s="223"/>
      <c r="DYF56" s="223"/>
      <c r="DYO56" s="223"/>
      <c r="DYP56" s="223"/>
      <c r="DYY56" s="223"/>
      <c r="DYZ56" s="223"/>
      <c r="DZI56" s="223"/>
      <c r="DZJ56" s="223"/>
      <c r="DZS56" s="223"/>
      <c r="DZT56" s="223"/>
      <c r="EAC56" s="223"/>
      <c r="EAD56" s="223"/>
      <c r="EAM56" s="223"/>
      <c r="EAN56" s="223"/>
      <c r="EAW56" s="223"/>
      <c r="EAX56" s="223"/>
      <c r="EBG56" s="223"/>
      <c r="EBH56" s="223"/>
      <c r="EBQ56" s="223"/>
      <c r="EBR56" s="223"/>
      <c r="ECA56" s="223"/>
      <c r="ECB56" s="223"/>
      <c r="ECK56" s="223"/>
      <c r="ECL56" s="223"/>
      <c r="ECU56" s="223"/>
      <c r="ECV56" s="223"/>
      <c r="EDE56" s="223"/>
      <c r="EDF56" s="223"/>
      <c r="EDO56" s="223"/>
      <c r="EDP56" s="223"/>
      <c r="EDY56" s="223"/>
      <c r="EDZ56" s="223"/>
      <c r="EEI56" s="223"/>
      <c r="EEJ56" s="223"/>
      <c r="EES56" s="223"/>
      <c r="EET56" s="223"/>
      <c r="EFC56" s="223"/>
      <c r="EFD56" s="223"/>
      <c r="EFM56" s="223"/>
      <c r="EFN56" s="223"/>
      <c r="EFW56" s="223"/>
      <c r="EFX56" s="223"/>
      <c r="EGG56" s="223"/>
      <c r="EGH56" s="223"/>
      <c r="EGQ56" s="223"/>
      <c r="EGR56" s="223"/>
      <c r="EHA56" s="223"/>
      <c r="EHB56" s="223"/>
      <c r="EHK56" s="223"/>
      <c r="EHL56" s="223"/>
      <c r="EHU56" s="223"/>
      <c r="EHV56" s="223"/>
      <c r="EIE56" s="223"/>
      <c r="EIF56" s="223"/>
      <c r="EIO56" s="223"/>
      <c r="EIP56" s="223"/>
      <c r="EIY56" s="223"/>
      <c r="EIZ56" s="223"/>
      <c r="EJI56" s="223"/>
      <c r="EJJ56" s="223"/>
      <c r="EJS56" s="223"/>
      <c r="EJT56" s="223"/>
      <c r="EKC56" s="223"/>
      <c r="EKD56" s="223"/>
      <c r="EKM56" s="223"/>
      <c r="EKN56" s="223"/>
      <c r="EKW56" s="223"/>
      <c r="EKX56" s="223"/>
      <c r="ELG56" s="223"/>
      <c r="ELH56" s="223"/>
      <c r="ELQ56" s="223"/>
      <c r="ELR56" s="223"/>
      <c r="EMA56" s="223"/>
      <c r="EMB56" s="223"/>
      <c r="EMK56" s="223"/>
      <c r="EML56" s="223"/>
      <c r="EMU56" s="223"/>
      <c r="EMV56" s="223"/>
      <c r="ENE56" s="223"/>
      <c r="ENF56" s="223"/>
      <c r="ENO56" s="223"/>
      <c r="ENP56" s="223"/>
      <c r="ENY56" s="223"/>
      <c r="ENZ56" s="223"/>
      <c r="EOI56" s="223"/>
      <c r="EOJ56" s="223"/>
      <c r="EOS56" s="223"/>
      <c r="EOT56" s="223"/>
      <c r="EPC56" s="223"/>
      <c r="EPD56" s="223"/>
      <c r="EPM56" s="223"/>
      <c r="EPN56" s="223"/>
      <c r="EPW56" s="223"/>
      <c r="EPX56" s="223"/>
      <c r="EQG56" s="223"/>
      <c r="EQH56" s="223"/>
      <c r="EQQ56" s="223"/>
      <c r="EQR56" s="223"/>
      <c r="ERA56" s="223"/>
      <c r="ERB56" s="223"/>
      <c r="ERK56" s="223"/>
      <c r="ERL56" s="223"/>
      <c r="ERU56" s="223"/>
      <c r="ERV56" s="223"/>
      <c r="ESE56" s="223"/>
      <c r="ESF56" s="223"/>
      <c r="ESO56" s="223"/>
      <c r="ESP56" s="223"/>
      <c r="ESY56" s="223"/>
      <c r="ESZ56" s="223"/>
      <c r="ETI56" s="223"/>
      <c r="ETJ56" s="223"/>
      <c r="ETS56" s="223"/>
      <c r="ETT56" s="223"/>
      <c r="EUC56" s="223"/>
      <c r="EUD56" s="223"/>
      <c r="EUM56" s="223"/>
      <c r="EUN56" s="223"/>
      <c r="EUW56" s="223"/>
      <c r="EUX56" s="223"/>
      <c r="EVG56" s="223"/>
      <c r="EVH56" s="223"/>
      <c r="EVQ56" s="223"/>
      <c r="EVR56" s="223"/>
      <c r="EWA56" s="223"/>
      <c r="EWB56" s="223"/>
      <c r="EWK56" s="223"/>
      <c r="EWL56" s="223"/>
      <c r="EWU56" s="223"/>
      <c r="EWV56" s="223"/>
      <c r="EXE56" s="223"/>
      <c r="EXF56" s="223"/>
      <c r="EXO56" s="223"/>
      <c r="EXP56" s="223"/>
      <c r="EXY56" s="223"/>
      <c r="EXZ56" s="223"/>
      <c r="EYI56" s="223"/>
      <c r="EYJ56" s="223"/>
      <c r="EYS56" s="223"/>
      <c r="EYT56" s="223"/>
      <c r="EZC56" s="223"/>
      <c r="EZD56" s="223"/>
      <c r="EZM56" s="223"/>
      <c r="EZN56" s="223"/>
      <c r="EZW56" s="223"/>
      <c r="EZX56" s="223"/>
      <c r="FAG56" s="223"/>
      <c r="FAH56" s="223"/>
      <c r="FAQ56" s="223"/>
      <c r="FAR56" s="223"/>
      <c r="FBA56" s="223"/>
      <c r="FBB56" s="223"/>
      <c r="FBK56" s="223"/>
      <c r="FBL56" s="223"/>
      <c r="FBU56" s="223"/>
      <c r="FBV56" s="223"/>
      <c r="FCE56" s="223"/>
      <c r="FCF56" s="223"/>
      <c r="FCO56" s="223"/>
      <c r="FCP56" s="223"/>
      <c r="FCY56" s="223"/>
      <c r="FCZ56" s="223"/>
      <c r="FDI56" s="223"/>
      <c r="FDJ56" s="223"/>
      <c r="FDS56" s="223"/>
      <c r="FDT56" s="223"/>
      <c r="FEC56" s="223"/>
      <c r="FED56" s="223"/>
      <c r="FEM56" s="223"/>
      <c r="FEN56" s="223"/>
      <c r="FEW56" s="223"/>
      <c r="FEX56" s="223"/>
      <c r="FFG56" s="223"/>
      <c r="FFH56" s="223"/>
      <c r="FFQ56" s="223"/>
      <c r="FFR56" s="223"/>
      <c r="FGA56" s="223"/>
      <c r="FGB56" s="223"/>
      <c r="FGK56" s="223"/>
      <c r="FGL56" s="223"/>
      <c r="FGU56" s="223"/>
      <c r="FGV56" s="223"/>
      <c r="FHE56" s="223"/>
      <c r="FHF56" s="223"/>
      <c r="FHO56" s="223"/>
      <c r="FHP56" s="223"/>
      <c r="FHY56" s="223"/>
      <c r="FHZ56" s="223"/>
      <c r="FII56" s="223"/>
      <c r="FIJ56" s="223"/>
      <c r="FIS56" s="223"/>
      <c r="FIT56" s="223"/>
      <c r="FJC56" s="223"/>
      <c r="FJD56" s="223"/>
      <c r="FJM56" s="223"/>
      <c r="FJN56" s="223"/>
      <c r="FJW56" s="223"/>
      <c r="FJX56" s="223"/>
      <c r="FKG56" s="223"/>
      <c r="FKH56" s="223"/>
      <c r="FKQ56" s="223"/>
      <c r="FKR56" s="223"/>
      <c r="FLA56" s="223"/>
      <c r="FLB56" s="223"/>
      <c r="FLK56" s="223"/>
      <c r="FLL56" s="223"/>
      <c r="FLU56" s="223"/>
      <c r="FLV56" s="223"/>
      <c r="FME56" s="223"/>
      <c r="FMF56" s="223"/>
      <c r="FMO56" s="223"/>
      <c r="FMP56" s="223"/>
      <c r="FMY56" s="223"/>
      <c r="FMZ56" s="223"/>
      <c r="FNI56" s="223"/>
      <c r="FNJ56" s="223"/>
      <c r="FNS56" s="223"/>
      <c r="FNT56" s="223"/>
      <c r="FOC56" s="223"/>
      <c r="FOD56" s="223"/>
      <c r="FOM56" s="223"/>
      <c r="FON56" s="223"/>
      <c r="FOW56" s="223"/>
      <c r="FOX56" s="223"/>
      <c r="FPG56" s="223"/>
      <c r="FPH56" s="223"/>
      <c r="FPQ56" s="223"/>
      <c r="FPR56" s="223"/>
      <c r="FQA56" s="223"/>
      <c r="FQB56" s="223"/>
      <c r="FQK56" s="223"/>
      <c r="FQL56" s="223"/>
      <c r="FQU56" s="223"/>
      <c r="FQV56" s="223"/>
      <c r="FRE56" s="223"/>
      <c r="FRF56" s="223"/>
      <c r="FRO56" s="223"/>
      <c r="FRP56" s="223"/>
      <c r="FRY56" s="223"/>
      <c r="FRZ56" s="223"/>
      <c r="FSI56" s="223"/>
      <c r="FSJ56" s="223"/>
      <c r="FSS56" s="223"/>
      <c r="FST56" s="223"/>
      <c r="FTC56" s="223"/>
      <c r="FTD56" s="223"/>
      <c r="FTM56" s="223"/>
      <c r="FTN56" s="223"/>
      <c r="FTW56" s="223"/>
      <c r="FTX56" s="223"/>
      <c r="FUG56" s="223"/>
      <c r="FUH56" s="223"/>
      <c r="FUQ56" s="223"/>
      <c r="FUR56" s="223"/>
      <c r="FVA56" s="223"/>
      <c r="FVB56" s="223"/>
      <c r="FVK56" s="223"/>
      <c r="FVL56" s="223"/>
      <c r="FVU56" s="223"/>
      <c r="FVV56" s="223"/>
      <c r="FWE56" s="223"/>
      <c r="FWF56" s="223"/>
      <c r="FWO56" s="223"/>
      <c r="FWP56" s="223"/>
      <c r="FWY56" s="223"/>
      <c r="FWZ56" s="223"/>
      <c r="FXI56" s="223"/>
      <c r="FXJ56" s="223"/>
      <c r="FXS56" s="223"/>
      <c r="FXT56" s="223"/>
      <c r="FYC56" s="223"/>
      <c r="FYD56" s="223"/>
      <c r="FYM56" s="223"/>
      <c r="FYN56" s="223"/>
      <c r="FYW56" s="223"/>
      <c r="FYX56" s="223"/>
      <c r="FZG56" s="223"/>
      <c r="FZH56" s="223"/>
      <c r="FZQ56" s="223"/>
      <c r="FZR56" s="223"/>
      <c r="GAA56" s="223"/>
      <c r="GAB56" s="223"/>
      <c r="GAK56" s="223"/>
      <c r="GAL56" s="223"/>
      <c r="GAU56" s="223"/>
      <c r="GAV56" s="223"/>
      <c r="GBE56" s="223"/>
      <c r="GBF56" s="223"/>
      <c r="GBO56" s="223"/>
      <c r="GBP56" s="223"/>
      <c r="GBY56" s="223"/>
      <c r="GBZ56" s="223"/>
      <c r="GCI56" s="223"/>
      <c r="GCJ56" s="223"/>
      <c r="GCS56" s="223"/>
      <c r="GCT56" s="223"/>
      <c r="GDC56" s="223"/>
      <c r="GDD56" s="223"/>
      <c r="GDM56" s="223"/>
      <c r="GDN56" s="223"/>
      <c r="GDW56" s="223"/>
      <c r="GDX56" s="223"/>
      <c r="GEG56" s="223"/>
      <c r="GEH56" s="223"/>
      <c r="GEQ56" s="223"/>
      <c r="GER56" s="223"/>
      <c r="GFA56" s="223"/>
      <c r="GFB56" s="223"/>
      <c r="GFK56" s="223"/>
      <c r="GFL56" s="223"/>
      <c r="GFU56" s="223"/>
      <c r="GFV56" s="223"/>
      <c r="GGE56" s="223"/>
      <c r="GGF56" s="223"/>
      <c r="GGO56" s="223"/>
      <c r="GGP56" s="223"/>
      <c r="GGY56" s="223"/>
      <c r="GGZ56" s="223"/>
      <c r="GHI56" s="223"/>
      <c r="GHJ56" s="223"/>
      <c r="GHS56" s="223"/>
      <c r="GHT56" s="223"/>
      <c r="GIC56" s="223"/>
      <c r="GID56" s="223"/>
      <c r="GIM56" s="223"/>
      <c r="GIN56" s="223"/>
      <c r="GIW56" s="223"/>
      <c r="GIX56" s="223"/>
      <c r="GJG56" s="223"/>
      <c r="GJH56" s="223"/>
      <c r="GJQ56" s="223"/>
      <c r="GJR56" s="223"/>
      <c r="GKA56" s="223"/>
      <c r="GKB56" s="223"/>
      <c r="GKK56" s="223"/>
      <c r="GKL56" s="223"/>
      <c r="GKU56" s="223"/>
      <c r="GKV56" s="223"/>
      <c r="GLE56" s="223"/>
      <c r="GLF56" s="223"/>
      <c r="GLO56" s="223"/>
      <c r="GLP56" s="223"/>
      <c r="GLY56" s="223"/>
      <c r="GLZ56" s="223"/>
      <c r="GMI56" s="223"/>
      <c r="GMJ56" s="223"/>
      <c r="GMS56" s="223"/>
      <c r="GMT56" s="223"/>
      <c r="GNC56" s="223"/>
      <c r="GND56" s="223"/>
      <c r="GNM56" s="223"/>
      <c r="GNN56" s="223"/>
      <c r="GNW56" s="223"/>
      <c r="GNX56" s="223"/>
      <c r="GOG56" s="223"/>
      <c r="GOH56" s="223"/>
      <c r="GOQ56" s="223"/>
      <c r="GOR56" s="223"/>
      <c r="GPA56" s="223"/>
      <c r="GPB56" s="223"/>
      <c r="GPK56" s="223"/>
      <c r="GPL56" s="223"/>
      <c r="GPU56" s="223"/>
      <c r="GPV56" s="223"/>
      <c r="GQE56" s="223"/>
      <c r="GQF56" s="223"/>
      <c r="GQO56" s="223"/>
      <c r="GQP56" s="223"/>
      <c r="GQY56" s="223"/>
      <c r="GQZ56" s="223"/>
      <c r="GRI56" s="223"/>
      <c r="GRJ56" s="223"/>
      <c r="GRS56" s="223"/>
      <c r="GRT56" s="223"/>
      <c r="GSC56" s="223"/>
      <c r="GSD56" s="223"/>
      <c r="GSM56" s="223"/>
      <c r="GSN56" s="223"/>
      <c r="GSW56" s="223"/>
      <c r="GSX56" s="223"/>
      <c r="GTG56" s="223"/>
      <c r="GTH56" s="223"/>
      <c r="GTQ56" s="223"/>
      <c r="GTR56" s="223"/>
      <c r="GUA56" s="223"/>
      <c r="GUB56" s="223"/>
      <c r="GUK56" s="223"/>
      <c r="GUL56" s="223"/>
      <c r="GUU56" s="223"/>
      <c r="GUV56" s="223"/>
      <c r="GVE56" s="223"/>
      <c r="GVF56" s="223"/>
      <c r="GVO56" s="223"/>
      <c r="GVP56" s="223"/>
      <c r="GVY56" s="223"/>
      <c r="GVZ56" s="223"/>
      <c r="GWI56" s="223"/>
      <c r="GWJ56" s="223"/>
      <c r="GWS56" s="223"/>
      <c r="GWT56" s="223"/>
      <c r="GXC56" s="223"/>
      <c r="GXD56" s="223"/>
      <c r="GXM56" s="223"/>
      <c r="GXN56" s="223"/>
      <c r="GXW56" s="223"/>
      <c r="GXX56" s="223"/>
      <c r="GYG56" s="223"/>
      <c r="GYH56" s="223"/>
      <c r="GYQ56" s="223"/>
      <c r="GYR56" s="223"/>
      <c r="GZA56" s="223"/>
      <c r="GZB56" s="223"/>
      <c r="GZK56" s="223"/>
      <c r="GZL56" s="223"/>
      <c r="GZU56" s="223"/>
      <c r="GZV56" s="223"/>
      <c r="HAE56" s="223"/>
      <c r="HAF56" s="223"/>
      <c r="HAO56" s="223"/>
      <c r="HAP56" s="223"/>
      <c r="HAY56" s="223"/>
      <c r="HAZ56" s="223"/>
      <c r="HBI56" s="223"/>
      <c r="HBJ56" s="223"/>
      <c r="HBS56" s="223"/>
      <c r="HBT56" s="223"/>
      <c r="HCC56" s="223"/>
      <c r="HCD56" s="223"/>
      <c r="HCM56" s="223"/>
      <c r="HCN56" s="223"/>
      <c r="HCW56" s="223"/>
      <c r="HCX56" s="223"/>
      <c r="HDG56" s="223"/>
      <c r="HDH56" s="223"/>
      <c r="HDQ56" s="223"/>
      <c r="HDR56" s="223"/>
      <c r="HEA56" s="223"/>
      <c r="HEB56" s="223"/>
      <c r="HEK56" s="223"/>
      <c r="HEL56" s="223"/>
      <c r="HEU56" s="223"/>
      <c r="HEV56" s="223"/>
      <c r="HFE56" s="223"/>
      <c r="HFF56" s="223"/>
      <c r="HFO56" s="223"/>
      <c r="HFP56" s="223"/>
      <c r="HFY56" s="223"/>
      <c r="HFZ56" s="223"/>
      <c r="HGI56" s="223"/>
      <c r="HGJ56" s="223"/>
      <c r="HGS56" s="223"/>
      <c r="HGT56" s="223"/>
      <c r="HHC56" s="223"/>
      <c r="HHD56" s="223"/>
      <c r="HHM56" s="223"/>
      <c r="HHN56" s="223"/>
      <c r="HHW56" s="223"/>
      <c r="HHX56" s="223"/>
      <c r="HIG56" s="223"/>
      <c r="HIH56" s="223"/>
      <c r="HIQ56" s="223"/>
      <c r="HIR56" s="223"/>
      <c r="HJA56" s="223"/>
      <c r="HJB56" s="223"/>
      <c r="HJK56" s="223"/>
      <c r="HJL56" s="223"/>
      <c r="HJU56" s="223"/>
      <c r="HJV56" s="223"/>
      <c r="HKE56" s="223"/>
      <c r="HKF56" s="223"/>
      <c r="HKO56" s="223"/>
      <c r="HKP56" s="223"/>
      <c r="HKY56" s="223"/>
      <c r="HKZ56" s="223"/>
      <c r="HLI56" s="223"/>
      <c r="HLJ56" s="223"/>
      <c r="HLS56" s="223"/>
      <c r="HLT56" s="223"/>
      <c r="HMC56" s="223"/>
      <c r="HMD56" s="223"/>
      <c r="HMM56" s="223"/>
      <c r="HMN56" s="223"/>
      <c r="HMW56" s="223"/>
      <c r="HMX56" s="223"/>
      <c r="HNG56" s="223"/>
      <c r="HNH56" s="223"/>
      <c r="HNQ56" s="223"/>
      <c r="HNR56" s="223"/>
      <c r="HOA56" s="223"/>
      <c r="HOB56" s="223"/>
      <c r="HOK56" s="223"/>
      <c r="HOL56" s="223"/>
      <c r="HOU56" s="223"/>
      <c r="HOV56" s="223"/>
      <c r="HPE56" s="223"/>
      <c r="HPF56" s="223"/>
      <c r="HPO56" s="223"/>
      <c r="HPP56" s="223"/>
      <c r="HPY56" s="223"/>
      <c r="HPZ56" s="223"/>
      <c r="HQI56" s="223"/>
      <c r="HQJ56" s="223"/>
      <c r="HQS56" s="223"/>
      <c r="HQT56" s="223"/>
      <c r="HRC56" s="223"/>
      <c r="HRD56" s="223"/>
      <c r="HRM56" s="223"/>
      <c r="HRN56" s="223"/>
      <c r="HRW56" s="223"/>
      <c r="HRX56" s="223"/>
      <c r="HSG56" s="223"/>
      <c r="HSH56" s="223"/>
      <c r="HSQ56" s="223"/>
      <c r="HSR56" s="223"/>
      <c r="HTA56" s="223"/>
      <c r="HTB56" s="223"/>
      <c r="HTK56" s="223"/>
      <c r="HTL56" s="223"/>
      <c r="HTU56" s="223"/>
      <c r="HTV56" s="223"/>
      <c r="HUE56" s="223"/>
      <c r="HUF56" s="223"/>
      <c r="HUO56" s="223"/>
      <c r="HUP56" s="223"/>
      <c r="HUY56" s="223"/>
      <c r="HUZ56" s="223"/>
      <c r="HVI56" s="223"/>
      <c r="HVJ56" s="223"/>
      <c r="HVS56" s="223"/>
      <c r="HVT56" s="223"/>
      <c r="HWC56" s="223"/>
      <c r="HWD56" s="223"/>
      <c r="HWM56" s="223"/>
      <c r="HWN56" s="223"/>
      <c r="HWW56" s="223"/>
      <c r="HWX56" s="223"/>
      <c r="HXG56" s="223"/>
      <c r="HXH56" s="223"/>
      <c r="HXQ56" s="223"/>
      <c r="HXR56" s="223"/>
      <c r="HYA56" s="223"/>
      <c r="HYB56" s="223"/>
      <c r="HYK56" s="223"/>
      <c r="HYL56" s="223"/>
      <c r="HYU56" s="223"/>
      <c r="HYV56" s="223"/>
      <c r="HZE56" s="223"/>
      <c r="HZF56" s="223"/>
      <c r="HZO56" s="223"/>
      <c r="HZP56" s="223"/>
      <c r="HZY56" s="223"/>
      <c r="HZZ56" s="223"/>
      <c r="IAI56" s="223"/>
      <c r="IAJ56" s="223"/>
      <c r="IAS56" s="223"/>
      <c r="IAT56" s="223"/>
      <c r="IBC56" s="223"/>
      <c r="IBD56" s="223"/>
      <c r="IBM56" s="223"/>
      <c r="IBN56" s="223"/>
      <c r="IBW56" s="223"/>
      <c r="IBX56" s="223"/>
      <c r="ICG56" s="223"/>
      <c r="ICH56" s="223"/>
      <c r="ICQ56" s="223"/>
      <c r="ICR56" s="223"/>
      <c r="IDA56" s="223"/>
      <c r="IDB56" s="223"/>
      <c r="IDK56" s="223"/>
      <c r="IDL56" s="223"/>
      <c r="IDU56" s="223"/>
      <c r="IDV56" s="223"/>
      <c r="IEE56" s="223"/>
      <c r="IEF56" s="223"/>
      <c r="IEO56" s="223"/>
      <c r="IEP56" s="223"/>
      <c r="IEY56" s="223"/>
      <c r="IEZ56" s="223"/>
      <c r="IFI56" s="223"/>
      <c r="IFJ56" s="223"/>
      <c r="IFS56" s="223"/>
      <c r="IFT56" s="223"/>
      <c r="IGC56" s="223"/>
      <c r="IGD56" s="223"/>
      <c r="IGM56" s="223"/>
      <c r="IGN56" s="223"/>
      <c r="IGW56" s="223"/>
      <c r="IGX56" s="223"/>
      <c r="IHG56" s="223"/>
      <c r="IHH56" s="223"/>
      <c r="IHQ56" s="223"/>
      <c r="IHR56" s="223"/>
      <c r="IIA56" s="223"/>
      <c r="IIB56" s="223"/>
      <c r="IIK56" s="223"/>
      <c r="IIL56" s="223"/>
      <c r="IIU56" s="223"/>
      <c r="IIV56" s="223"/>
      <c r="IJE56" s="223"/>
      <c r="IJF56" s="223"/>
      <c r="IJO56" s="223"/>
      <c r="IJP56" s="223"/>
      <c r="IJY56" s="223"/>
      <c r="IJZ56" s="223"/>
      <c r="IKI56" s="223"/>
      <c r="IKJ56" s="223"/>
      <c r="IKS56" s="223"/>
      <c r="IKT56" s="223"/>
      <c r="ILC56" s="223"/>
      <c r="ILD56" s="223"/>
      <c r="ILM56" s="223"/>
      <c r="ILN56" s="223"/>
      <c r="ILW56" s="223"/>
      <c r="ILX56" s="223"/>
      <c r="IMG56" s="223"/>
      <c r="IMH56" s="223"/>
      <c r="IMQ56" s="223"/>
      <c r="IMR56" s="223"/>
      <c r="INA56" s="223"/>
      <c r="INB56" s="223"/>
      <c r="INK56" s="223"/>
      <c r="INL56" s="223"/>
      <c r="INU56" s="223"/>
      <c r="INV56" s="223"/>
      <c r="IOE56" s="223"/>
      <c r="IOF56" s="223"/>
      <c r="IOO56" s="223"/>
      <c r="IOP56" s="223"/>
      <c r="IOY56" s="223"/>
      <c r="IOZ56" s="223"/>
      <c r="IPI56" s="223"/>
      <c r="IPJ56" s="223"/>
      <c r="IPS56" s="223"/>
      <c r="IPT56" s="223"/>
      <c r="IQC56" s="223"/>
      <c r="IQD56" s="223"/>
      <c r="IQM56" s="223"/>
      <c r="IQN56" s="223"/>
      <c r="IQW56" s="223"/>
      <c r="IQX56" s="223"/>
      <c r="IRG56" s="223"/>
      <c r="IRH56" s="223"/>
      <c r="IRQ56" s="223"/>
      <c r="IRR56" s="223"/>
      <c r="ISA56" s="223"/>
      <c r="ISB56" s="223"/>
      <c r="ISK56" s="223"/>
      <c r="ISL56" s="223"/>
      <c r="ISU56" s="223"/>
      <c r="ISV56" s="223"/>
      <c r="ITE56" s="223"/>
      <c r="ITF56" s="223"/>
      <c r="ITO56" s="223"/>
      <c r="ITP56" s="223"/>
      <c r="ITY56" s="223"/>
      <c r="ITZ56" s="223"/>
      <c r="IUI56" s="223"/>
      <c r="IUJ56" s="223"/>
      <c r="IUS56" s="223"/>
      <c r="IUT56" s="223"/>
      <c r="IVC56" s="223"/>
      <c r="IVD56" s="223"/>
      <c r="IVM56" s="223"/>
      <c r="IVN56" s="223"/>
      <c r="IVW56" s="223"/>
      <c r="IVX56" s="223"/>
      <c r="IWG56" s="223"/>
      <c r="IWH56" s="223"/>
      <c r="IWQ56" s="223"/>
      <c r="IWR56" s="223"/>
      <c r="IXA56" s="223"/>
      <c r="IXB56" s="223"/>
      <c r="IXK56" s="223"/>
      <c r="IXL56" s="223"/>
      <c r="IXU56" s="223"/>
      <c r="IXV56" s="223"/>
      <c r="IYE56" s="223"/>
      <c r="IYF56" s="223"/>
      <c r="IYO56" s="223"/>
      <c r="IYP56" s="223"/>
      <c r="IYY56" s="223"/>
      <c r="IYZ56" s="223"/>
      <c r="IZI56" s="223"/>
      <c r="IZJ56" s="223"/>
      <c r="IZS56" s="223"/>
      <c r="IZT56" s="223"/>
      <c r="JAC56" s="223"/>
      <c r="JAD56" s="223"/>
      <c r="JAM56" s="223"/>
      <c r="JAN56" s="223"/>
      <c r="JAW56" s="223"/>
      <c r="JAX56" s="223"/>
      <c r="JBG56" s="223"/>
      <c r="JBH56" s="223"/>
      <c r="JBQ56" s="223"/>
      <c r="JBR56" s="223"/>
      <c r="JCA56" s="223"/>
      <c r="JCB56" s="223"/>
      <c r="JCK56" s="223"/>
      <c r="JCL56" s="223"/>
      <c r="JCU56" s="223"/>
      <c r="JCV56" s="223"/>
      <c r="JDE56" s="223"/>
      <c r="JDF56" s="223"/>
      <c r="JDO56" s="223"/>
      <c r="JDP56" s="223"/>
      <c r="JDY56" s="223"/>
      <c r="JDZ56" s="223"/>
      <c r="JEI56" s="223"/>
      <c r="JEJ56" s="223"/>
      <c r="JES56" s="223"/>
      <c r="JET56" s="223"/>
      <c r="JFC56" s="223"/>
      <c r="JFD56" s="223"/>
      <c r="JFM56" s="223"/>
      <c r="JFN56" s="223"/>
      <c r="JFW56" s="223"/>
      <c r="JFX56" s="223"/>
      <c r="JGG56" s="223"/>
      <c r="JGH56" s="223"/>
      <c r="JGQ56" s="223"/>
      <c r="JGR56" s="223"/>
      <c r="JHA56" s="223"/>
      <c r="JHB56" s="223"/>
      <c r="JHK56" s="223"/>
      <c r="JHL56" s="223"/>
      <c r="JHU56" s="223"/>
      <c r="JHV56" s="223"/>
      <c r="JIE56" s="223"/>
      <c r="JIF56" s="223"/>
      <c r="JIO56" s="223"/>
      <c r="JIP56" s="223"/>
      <c r="JIY56" s="223"/>
      <c r="JIZ56" s="223"/>
      <c r="JJI56" s="223"/>
      <c r="JJJ56" s="223"/>
      <c r="JJS56" s="223"/>
      <c r="JJT56" s="223"/>
      <c r="JKC56" s="223"/>
      <c r="JKD56" s="223"/>
      <c r="JKM56" s="223"/>
      <c r="JKN56" s="223"/>
      <c r="JKW56" s="223"/>
      <c r="JKX56" s="223"/>
      <c r="JLG56" s="223"/>
      <c r="JLH56" s="223"/>
      <c r="JLQ56" s="223"/>
      <c r="JLR56" s="223"/>
      <c r="JMA56" s="223"/>
      <c r="JMB56" s="223"/>
      <c r="JMK56" s="223"/>
      <c r="JML56" s="223"/>
      <c r="JMU56" s="223"/>
      <c r="JMV56" s="223"/>
      <c r="JNE56" s="223"/>
      <c r="JNF56" s="223"/>
      <c r="JNO56" s="223"/>
      <c r="JNP56" s="223"/>
      <c r="JNY56" s="223"/>
      <c r="JNZ56" s="223"/>
      <c r="JOI56" s="223"/>
      <c r="JOJ56" s="223"/>
      <c r="JOS56" s="223"/>
      <c r="JOT56" s="223"/>
      <c r="JPC56" s="223"/>
      <c r="JPD56" s="223"/>
      <c r="JPM56" s="223"/>
      <c r="JPN56" s="223"/>
      <c r="JPW56" s="223"/>
      <c r="JPX56" s="223"/>
      <c r="JQG56" s="223"/>
      <c r="JQH56" s="223"/>
      <c r="JQQ56" s="223"/>
      <c r="JQR56" s="223"/>
      <c r="JRA56" s="223"/>
      <c r="JRB56" s="223"/>
      <c r="JRK56" s="223"/>
      <c r="JRL56" s="223"/>
      <c r="JRU56" s="223"/>
      <c r="JRV56" s="223"/>
      <c r="JSE56" s="223"/>
      <c r="JSF56" s="223"/>
      <c r="JSO56" s="223"/>
      <c r="JSP56" s="223"/>
      <c r="JSY56" s="223"/>
      <c r="JSZ56" s="223"/>
      <c r="JTI56" s="223"/>
      <c r="JTJ56" s="223"/>
      <c r="JTS56" s="223"/>
      <c r="JTT56" s="223"/>
      <c r="JUC56" s="223"/>
      <c r="JUD56" s="223"/>
      <c r="JUM56" s="223"/>
      <c r="JUN56" s="223"/>
      <c r="JUW56" s="223"/>
      <c r="JUX56" s="223"/>
      <c r="JVG56" s="223"/>
      <c r="JVH56" s="223"/>
      <c r="JVQ56" s="223"/>
      <c r="JVR56" s="223"/>
      <c r="JWA56" s="223"/>
      <c r="JWB56" s="223"/>
      <c r="JWK56" s="223"/>
      <c r="JWL56" s="223"/>
      <c r="JWU56" s="223"/>
      <c r="JWV56" s="223"/>
      <c r="JXE56" s="223"/>
      <c r="JXF56" s="223"/>
      <c r="JXO56" s="223"/>
      <c r="JXP56" s="223"/>
      <c r="JXY56" s="223"/>
      <c r="JXZ56" s="223"/>
      <c r="JYI56" s="223"/>
      <c r="JYJ56" s="223"/>
      <c r="JYS56" s="223"/>
      <c r="JYT56" s="223"/>
      <c r="JZC56" s="223"/>
      <c r="JZD56" s="223"/>
      <c r="JZM56" s="223"/>
      <c r="JZN56" s="223"/>
      <c r="JZW56" s="223"/>
      <c r="JZX56" s="223"/>
      <c r="KAG56" s="223"/>
      <c r="KAH56" s="223"/>
      <c r="KAQ56" s="223"/>
      <c r="KAR56" s="223"/>
      <c r="KBA56" s="223"/>
      <c r="KBB56" s="223"/>
      <c r="KBK56" s="223"/>
      <c r="KBL56" s="223"/>
      <c r="KBU56" s="223"/>
      <c r="KBV56" s="223"/>
      <c r="KCE56" s="223"/>
      <c r="KCF56" s="223"/>
      <c r="KCO56" s="223"/>
      <c r="KCP56" s="223"/>
      <c r="KCY56" s="223"/>
      <c r="KCZ56" s="223"/>
      <c r="KDI56" s="223"/>
      <c r="KDJ56" s="223"/>
      <c r="KDS56" s="223"/>
      <c r="KDT56" s="223"/>
      <c r="KEC56" s="223"/>
      <c r="KED56" s="223"/>
      <c r="KEM56" s="223"/>
      <c r="KEN56" s="223"/>
      <c r="KEW56" s="223"/>
      <c r="KEX56" s="223"/>
      <c r="KFG56" s="223"/>
      <c r="KFH56" s="223"/>
      <c r="KFQ56" s="223"/>
      <c r="KFR56" s="223"/>
      <c r="KGA56" s="223"/>
      <c r="KGB56" s="223"/>
      <c r="KGK56" s="223"/>
      <c r="KGL56" s="223"/>
      <c r="KGU56" s="223"/>
      <c r="KGV56" s="223"/>
      <c r="KHE56" s="223"/>
      <c r="KHF56" s="223"/>
      <c r="KHO56" s="223"/>
      <c r="KHP56" s="223"/>
      <c r="KHY56" s="223"/>
      <c r="KHZ56" s="223"/>
      <c r="KII56" s="223"/>
      <c r="KIJ56" s="223"/>
      <c r="KIS56" s="223"/>
      <c r="KIT56" s="223"/>
      <c r="KJC56" s="223"/>
      <c r="KJD56" s="223"/>
      <c r="KJM56" s="223"/>
      <c r="KJN56" s="223"/>
      <c r="KJW56" s="223"/>
      <c r="KJX56" s="223"/>
      <c r="KKG56" s="223"/>
      <c r="KKH56" s="223"/>
      <c r="KKQ56" s="223"/>
      <c r="KKR56" s="223"/>
      <c r="KLA56" s="223"/>
      <c r="KLB56" s="223"/>
      <c r="KLK56" s="223"/>
      <c r="KLL56" s="223"/>
      <c r="KLU56" s="223"/>
      <c r="KLV56" s="223"/>
      <c r="KME56" s="223"/>
      <c r="KMF56" s="223"/>
      <c r="KMO56" s="223"/>
      <c r="KMP56" s="223"/>
      <c r="KMY56" s="223"/>
      <c r="KMZ56" s="223"/>
      <c r="KNI56" s="223"/>
      <c r="KNJ56" s="223"/>
      <c r="KNS56" s="223"/>
      <c r="KNT56" s="223"/>
      <c r="KOC56" s="223"/>
      <c r="KOD56" s="223"/>
      <c r="KOM56" s="223"/>
      <c r="KON56" s="223"/>
      <c r="KOW56" s="223"/>
      <c r="KOX56" s="223"/>
      <c r="KPG56" s="223"/>
      <c r="KPH56" s="223"/>
      <c r="KPQ56" s="223"/>
      <c r="KPR56" s="223"/>
      <c r="KQA56" s="223"/>
      <c r="KQB56" s="223"/>
      <c r="KQK56" s="223"/>
      <c r="KQL56" s="223"/>
      <c r="KQU56" s="223"/>
      <c r="KQV56" s="223"/>
      <c r="KRE56" s="223"/>
      <c r="KRF56" s="223"/>
      <c r="KRO56" s="223"/>
      <c r="KRP56" s="223"/>
      <c r="KRY56" s="223"/>
      <c r="KRZ56" s="223"/>
      <c r="KSI56" s="223"/>
      <c r="KSJ56" s="223"/>
      <c r="KSS56" s="223"/>
      <c r="KST56" s="223"/>
      <c r="KTC56" s="223"/>
      <c r="KTD56" s="223"/>
      <c r="KTM56" s="223"/>
      <c r="KTN56" s="223"/>
      <c r="KTW56" s="223"/>
      <c r="KTX56" s="223"/>
      <c r="KUG56" s="223"/>
      <c r="KUH56" s="223"/>
      <c r="KUQ56" s="223"/>
      <c r="KUR56" s="223"/>
      <c r="KVA56" s="223"/>
      <c r="KVB56" s="223"/>
      <c r="KVK56" s="223"/>
      <c r="KVL56" s="223"/>
      <c r="KVU56" s="223"/>
      <c r="KVV56" s="223"/>
      <c r="KWE56" s="223"/>
      <c r="KWF56" s="223"/>
      <c r="KWO56" s="223"/>
      <c r="KWP56" s="223"/>
      <c r="KWY56" s="223"/>
      <c r="KWZ56" s="223"/>
      <c r="KXI56" s="223"/>
      <c r="KXJ56" s="223"/>
      <c r="KXS56" s="223"/>
      <c r="KXT56" s="223"/>
      <c r="KYC56" s="223"/>
      <c r="KYD56" s="223"/>
      <c r="KYM56" s="223"/>
      <c r="KYN56" s="223"/>
      <c r="KYW56" s="223"/>
      <c r="KYX56" s="223"/>
      <c r="KZG56" s="223"/>
      <c r="KZH56" s="223"/>
      <c r="KZQ56" s="223"/>
      <c r="KZR56" s="223"/>
      <c r="LAA56" s="223"/>
      <c r="LAB56" s="223"/>
      <c r="LAK56" s="223"/>
      <c r="LAL56" s="223"/>
      <c r="LAU56" s="223"/>
      <c r="LAV56" s="223"/>
      <c r="LBE56" s="223"/>
      <c r="LBF56" s="223"/>
      <c r="LBO56" s="223"/>
      <c r="LBP56" s="223"/>
      <c r="LBY56" s="223"/>
      <c r="LBZ56" s="223"/>
      <c r="LCI56" s="223"/>
      <c r="LCJ56" s="223"/>
      <c r="LCS56" s="223"/>
      <c r="LCT56" s="223"/>
      <c r="LDC56" s="223"/>
      <c r="LDD56" s="223"/>
      <c r="LDM56" s="223"/>
      <c r="LDN56" s="223"/>
      <c r="LDW56" s="223"/>
      <c r="LDX56" s="223"/>
      <c r="LEG56" s="223"/>
      <c r="LEH56" s="223"/>
      <c r="LEQ56" s="223"/>
      <c r="LER56" s="223"/>
      <c r="LFA56" s="223"/>
      <c r="LFB56" s="223"/>
      <c r="LFK56" s="223"/>
      <c r="LFL56" s="223"/>
      <c r="LFU56" s="223"/>
      <c r="LFV56" s="223"/>
      <c r="LGE56" s="223"/>
      <c r="LGF56" s="223"/>
      <c r="LGO56" s="223"/>
      <c r="LGP56" s="223"/>
      <c r="LGY56" s="223"/>
      <c r="LGZ56" s="223"/>
      <c r="LHI56" s="223"/>
      <c r="LHJ56" s="223"/>
      <c r="LHS56" s="223"/>
      <c r="LHT56" s="223"/>
      <c r="LIC56" s="223"/>
      <c r="LID56" s="223"/>
      <c r="LIM56" s="223"/>
      <c r="LIN56" s="223"/>
      <c r="LIW56" s="223"/>
      <c r="LIX56" s="223"/>
      <c r="LJG56" s="223"/>
      <c r="LJH56" s="223"/>
      <c r="LJQ56" s="223"/>
      <c r="LJR56" s="223"/>
      <c r="LKA56" s="223"/>
      <c r="LKB56" s="223"/>
      <c r="LKK56" s="223"/>
      <c r="LKL56" s="223"/>
      <c r="LKU56" s="223"/>
      <c r="LKV56" s="223"/>
      <c r="LLE56" s="223"/>
      <c r="LLF56" s="223"/>
      <c r="LLO56" s="223"/>
      <c r="LLP56" s="223"/>
      <c r="LLY56" s="223"/>
      <c r="LLZ56" s="223"/>
      <c r="LMI56" s="223"/>
      <c r="LMJ56" s="223"/>
      <c r="LMS56" s="223"/>
      <c r="LMT56" s="223"/>
      <c r="LNC56" s="223"/>
      <c r="LND56" s="223"/>
      <c r="LNM56" s="223"/>
      <c r="LNN56" s="223"/>
      <c r="LNW56" s="223"/>
      <c r="LNX56" s="223"/>
      <c r="LOG56" s="223"/>
      <c r="LOH56" s="223"/>
      <c r="LOQ56" s="223"/>
      <c r="LOR56" s="223"/>
      <c r="LPA56" s="223"/>
      <c r="LPB56" s="223"/>
      <c r="LPK56" s="223"/>
      <c r="LPL56" s="223"/>
      <c r="LPU56" s="223"/>
      <c r="LPV56" s="223"/>
      <c r="LQE56" s="223"/>
      <c r="LQF56" s="223"/>
      <c r="LQO56" s="223"/>
      <c r="LQP56" s="223"/>
      <c r="LQY56" s="223"/>
      <c r="LQZ56" s="223"/>
      <c r="LRI56" s="223"/>
      <c r="LRJ56" s="223"/>
      <c r="LRS56" s="223"/>
      <c r="LRT56" s="223"/>
      <c r="LSC56" s="223"/>
      <c r="LSD56" s="223"/>
      <c r="LSM56" s="223"/>
      <c r="LSN56" s="223"/>
      <c r="LSW56" s="223"/>
      <c r="LSX56" s="223"/>
      <c r="LTG56" s="223"/>
      <c r="LTH56" s="223"/>
      <c r="LTQ56" s="223"/>
      <c r="LTR56" s="223"/>
      <c r="LUA56" s="223"/>
      <c r="LUB56" s="223"/>
      <c r="LUK56" s="223"/>
      <c r="LUL56" s="223"/>
      <c r="LUU56" s="223"/>
      <c r="LUV56" s="223"/>
      <c r="LVE56" s="223"/>
      <c r="LVF56" s="223"/>
      <c r="LVO56" s="223"/>
      <c r="LVP56" s="223"/>
      <c r="LVY56" s="223"/>
      <c r="LVZ56" s="223"/>
      <c r="LWI56" s="223"/>
      <c r="LWJ56" s="223"/>
      <c r="LWS56" s="223"/>
      <c r="LWT56" s="223"/>
      <c r="LXC56" s="223"/>
      <c r="LXD56" s="223"/>
      <c r="LXM56" s="223"/>
      <c r="LXN56" s="223"/>
      <c r="LXW56" s="223"/>
      <c r="LXX56" s="223"/>
      <c r="LYG56" s="223"/>
      <c r="LYH56" s="223"/>
      <c r="LYQ56" s="223"/>
      <c r="LYR56" s="223"/>
      <c r="LZA56" s="223"/>
      <c r="LZB56" s="223"/>
      <c r="LZK56" s="223"/>
      <c r="LZL56" s="223"/>
      <c r="LZU56" s="223"/>
      <c r="LZV56" s="223"/>
      <c r="MAE56" s="223"/>
      <c r="MAF56" s="223"/>
      <c r="MAO56" s="223"/>
      <c r="MAP56" s="223"/>
      <c r="MAY56" s="223"/>
      <c r="MAZ56" s="223"/>
      <c r="MBI56" s="223"/>
      <c r="MBJ56" s="223"/>
      <c r="MBS56" s="223"/>
      <c r="MBT56" s="223"/>
      <c r="MCC56" s="223"/>
      <c r="MCD56" s="223"/>
      <c r="MCM56" s="223"/>
      <c r="MCN56" s="223"/>
      <c r="MCW56" s="223"/>
      <c r="MCX56" s="223"/>
      <c r="MDG56" s="223"/>
      <c r="MDH56" s="223"/>
      <c r="MDQ56" s="223"/>
      <c r="MDR56" s="223"/>
      <c r="MEA56" s="223"/>
      <c r="MEB56" s="223"/>
      <c r="MEK56" s="223"/>
      <c r="MEL56" s="223"/>
      <c r="MEU56" s="223"/>
      <c r="MEV56" s="223"/>
      <c r="MFE56" s="223"/>
      <c r="MFF56" s="223"/>
      <c r="MFO56" s="223"/>
      <c r="MFP56" s="223"/>
      <c r="MFY56" s="223"/>
      <c r="MFZ56" s="223"/>
      <c r="MGI56" s="223"/>
      <c r="MGJ56" s="223"/>
      <c r="MGS56" s="223"/>
      <c r="MGT56" s="223"/>
      <c r="MHC56" s="223"/>
      <c r="MHD56" s="223"/>
      <c r="MHM56" s="223"/>
      <c r="MHN56" s="223"/>
      <c r="MHW56" s="223"/>
      <c r="MHX56" s="223"/>
      <c r="MIG56" s="223"/>
      <c r="MIH56" s="223"/>
      <c r="MIQ56" s="223"/>
      <c r="MIR56" s="223"/>
      <c r="MJA56" s="223"/>
      <c r="MJB56" s="223"/>
      <c r="MJK56" s="223"/>
      <c r="MJL56" s="223"/>
      <c r="MJU56" s="223"/>
      <c r="MJV56" s="223"/>
      <c r="MKE56" s="223"/>
      <c r="MKF56" s="223"/>
      <c r="MKO56" s="223"/>
      <c r="MKP56" s="223"/>
      <c r="MKY56" s="223"/>
      <c r="MKZ56" s="223"/>
      <c r="MLI56" s="223"/>
      <c r="MLJ56" s="223"/>
      <c r="MLS56" s="223"/>
      <c r="MLT56" s="223"/>
      <c r="MMC56" s="223"/>
      <c r="MMD56" s="223"/>
      <c r="MMM56" s="223"/>
      <c r="MMN56" s="223"/>
      <c r="MMW56" s="223"/>
      <c r="MMX56" s="223"/>
      <c r="MNG56" s="223"/>
      <c r="MNH56" s="223"/>
      <c r="MNQ56" s="223"/>
      <c r="MNR56" s="223"/>
      <c r="MOA56" s="223"/>
      <c r="MOB56" s="223"/>
      <c r="MOK56" s="223"/>
      <c r="MOL56" s="223"/>
      <c r="MOU56" s="223"/>
      <c r="MOV56" s="223"/>
      <c r="MPE56" s="223"/>
      <c r="MPF56" s="223"/>
      <c r="MPO56" s="223"/>
      <c r="MPP56" s="223"/>
      <c r="MPY56" s="223"/>
      <c r="MPZ56" s="223"/>
      <c r="MQI56" s="223"/>
      <c r="MQJ56" s="223"/>
      <c r="MQS56" s="223"/>
      <c r="MQT56" s="223"/>
      <c r="MRC56" s="223"/>
      <c r="MRD56" s="223"/>
      <c r="MRM56" s="223"/>
      <c r="MRN56" s="223"/>
      <c r="MRW56" s="223"/>
      <c r="MRX56" s="223"/>
      <c r="MSG56" s="223"/>
      <c r="MSH56" s="223"/>
      <c r="MSQ56" s="223"/>
      <c r="MSR56" s="223"/>
      <c r="MTA56" s="223"/>
      <c r="MTB56" s="223"/>
      <c r="MTK56" s="223"/>
      <c r="MTL56" s="223"/>
      <c r="MTU56" s="223"/>
      <c r="MTV56" s="223"/>
      <c r="MUE56" s="223"/>
      <c r="MUF56" s="223"/>
      <c r="MUO56" s="223"/>
      <c r="MUP56" s="223"/>
      <c r="MUY56" s="223"/>
      <c r="MUZ56" s="223"/>
      <c r="MVI56" s="223"/>
      <c r="MVJ56" s="223"/>
      <c r="MVS56" s="223"/>
      <c r="MVT56" s="223"/>
      <c r="MWC56" s="223"/>
      <c r="MWD56" s="223"/>
      <c r="MWM56" s="223"/>
      <c r="MWN56" s="223"/>
      <c r="MWW56" s="223"/>
      <c r="MWX56" s="223"/>
      <c r="MXG56" s="223"/>
      <c r="MXH56" s="223"/>
      <c r="MXQ56" s="223"/>
      <c r="MXR56" s="223"/>
      <c r="MYA56" s="223"/>
      <c r="MYB56" s="223"/>
      <c r="MYK56" s="223"/>
      <c r="MYL56" s="223"/>
      <c r="MYU56" s="223"/>
      <c r="MYV56" s="223"/>
      <c r="MZE56" s="223"/>
      <c r="MZF56" s="223"/>
      <c r="MZO56" s="223"/>
      <c r="MZP56" s="223"/>
      <c r="MZY56" s="223"/>
      <c r="MZZ56" s="223"/>
      <c r="NAI56" s="223"/>
      <c r="NAJ56" s="223"/>
      <c r="NAS56" s="223"/>
      <c r="NAT56" s="223"/>
      <c r="NBC56" s="223"/>
      <c r="NBD56" s="223"/>
      <c r="NBM56" s="223"/>
      <c r="NBN56" s="223"/>
      <c r="NBW56" s="223"/>
      <c r="NBX56" s="223"/>
      <c r="NCG56" s="223"/>
      <c r="NCH56" s="223"/>
      <c r="NCQ56" s="223"/>
      <c r="NCR56" s="223"/>
      <c r="NDA56" s="223"/>
      <c r="NDB56" s="223"/>
      <c r="NDK56" s="223"/>
      <c r="NDL56" s="223"/>
      <c r="NDU56" s="223"/>
      <c r="NDV56" s="223"/>
      <c r="NEE56" s="223"/>
      <c r="NEF56" s="223"/>
      <c r="NEO56" s="223"/>
      <c r="NEP56" s="223"/>
      <c r="NEY56" s="223"/>
      <c r="NEZ56" s="223"/>
      <c r="NFI56" s="223"/>
      <c r="NFJ56" s="223"/>
      <c r="NFS56" s="223"/>
      <c r="NFT56" s="223"/>
      <c r="NGC56" s="223"/>
      <c r="NGD56" s="223"/>
      <c r="NGM56" s="223"/>
      <c r="NGN56" s="223"/>
      <c r="NGW56" s="223"/>
      <c r="NGX56" s="223"/>
      <c r="NHG56" s="223"/>
      <c r="NHH56" s="223"/>
      <c r="NHQ56" s="223"/>
      <c r="NHR56" s="223"/>
      <c r="NIA56" s="223"/>
      <c r="NIB56" s="223"/>
      <c r="NIK56" s="223"/>
      <c r="NIL56" s="223"/>
      <c r="NIU56" s="223"/>
      <c r="NIV56" s="223"/>
      <c r="NJE56" s="223"/>
      <c r="NJF56" s="223"/>
      <c r="NJO56" s="223"/>
      <c r="NJP56" s="223"/>
      <c r="NJY56" s="223"/>
      <c r="NJZ56" s="223"/>
      <c r="NKI56" s="223"/>
      <c r="NKJ56" s="223"/>
      <c r="NKS56" s="223"/>
      <c r="NKT56" s="223"/>
      <c r="NLC56" s="223"/>
      <c r="NLD56" s="223"/>
      <c r="NLM56" s="223"/>
      <c r="NLN56" s="223"/>
      <c r="NLW56" s="223"/>
      <c r="NLX56" s="223"/>
      <c r="NMG56" s="223"/>
      <c r="NMH56" s="223"/>
      <c r="NMQ56" s="223"/>
      <c r="NMR56" s="223"/>
      <c r="NNA56" s="223"/>
      <c r="NNB56" s="223"/>
      <c r="NNK56" s="223"/>
      <c r="NNL56" s="223"/>
      <c r="NNU56" s="223"/>
      <c r="NNV56" s="223"/>
      <c r="NOE56" s="223"/>
      <c r="NOF56" s="223"/>
      <c r="NOO56" s="223"/>
      <c r="NOP56" s="223"/>
      <c r="NOY56" s="223"/>
      <c r="NOZ56" s="223"/>
      <c r="NPI56" s="223"/>
      <c r="NPJ56" s="223"/>
      <c r="NPS56" s="223"/>
      <c r="NPT56" s="223"/>
      <c r="NQC56" s="223"/>
      <c r="NQD56" s="223"/>
      <c r="NQM56" s="223"/>
      <c r="NQN56" s="223"/>
      <c r="NQW56" s="223"/>
      <c r="NQX56" s="223"/>
      <c r="NRG56" s="223"/>
      <c r="NRH56" s="223"/>
      <c r="NRQ56" s="223"/>
      <c r="NRR56" s="223"/>
      <c r="NSA56" s="223"/>
      <c r="NSB56" s="223"/>
      <c r="NSK56" s="223"/>
      <c r="NSL56" s="223"/>
      <c r="NSU56" s="223"/>
      <c r="NSV56" s="223"/>
      <c r="NTE56" s="223"/>
      <c r="NTF56" s="223"/>
      <c r="NTO56" s="223"/>
      <c r="NTP56" s="223"/>
      <c r="NTY56" s="223"/>
      <c r="NTZ56" s="223"/>
      <c r="NUI56" s="223"/>
      <c r="NUJ56" s="223"/>
      <c r="NUS56" s="223"/>
      <c r="NUT56" s="223"/>
      <c r="NVC56" s="223"/>
      <c r="NVD56" s="223"/>
      <c r="NVM56" s="223"/>
      <c r="NVN56" s="223"/>
      <c r="NVW56" s="223"/>
      <c r="NVX56" s="223"/>
      <c r="NWG56" s="223"/>
      <c r="NWH56" s="223"/>
      <c r="NWQ56" s="223"/>
      <c r="NWR56" s="223"/>
      <c r="NXA56" s="223"/>
      <c r="NXB56" s="223"/>
      <c r="NXK56" s="223"/>
      <c r="NXL56" s="223"/>
      <c r="NXU56" s="223"/>
      <c r="NXV56" s="223"/>
      <c r="NYE56" s="223"/>
      <c r="NYF56" s="223"/>
      <c r="NYO56" s="223"/>
      <c r="NYP56" s="223"/>
      <c r="NYY56" s="223"/>
      <c r="NYZ56" s="223"/>
      <c r="NZI56" s="223"/>
      <c r="NZJ56" s="223"/>
      <c r="NZS56" s="223"/>
      <c r="NZT56" s="223"/>
      <c r="OAC56" s="223"/>
      <c r="OAD56" s="223"/>
      <c r="OAM56" s="223"/>
      <c r="OAN56" s="223"/>
      <c r="OAW56" s="223"/>
      <c r="OAX56" s="223"/>
      <c r="OBG56" s="223"/>
      <c r="OBH56" s="223"/>
      <c r="OBQ56" s="223"/>
      <c r="OBR56" s="223"/>
      <c r="OCA56" s="223"/>
      <c r="OCB56" s="223"/>
      <c r="OCK56" s="223"/>
      <c r="OCL56" s="223"/>
      <c r="OCU56" s="223"/>
      <c r="OCV56" s="223"/>
      <c r="ODE56" s="223"/>
      <c r="ODF56" s="223"/>
      <c r="ODO56" s="223"/>
      <c r="ODP56" s="223"/>
      <c r="ODY56" s="223"/>
      <c r="ODZ56" s="223"/>
      <c r="OEI56" s="223"/>
      <c r="OEJ56" s="223"/>
      <c r="OES56" s="223"/>
      <c r="OET56" s="223"/>
      <c r="OFC56" s="223"/>
      <c r="OFD56" s="223"/>
      <c r="OFM56" s="223"/>
      <c r="OFN56" s="223"/>
      <c r="OFW56" s="223"/>
      <c r="OFX56" s="223"/>
      <c r="OGG56" s="223"/>
      <c r="OGH56" s="223"/>
      <c r="OGQ56" s="223"/>
      <c r="OGR56" s="223"/>
      <c r="OHA56" s="223"/>
      <c r="OHB56" s="223"/>
      <c r="OHK56" s="223"/>
      <c r="OHL56" s="223"/>
      <c r="OHU56" s="223"/>
      <c r="OHV56" s="223"/>
      <c r="OIE56" s="223"/>
      <c r="OIF56" s="223"/>
      <c r="OIO56" s="223"/>
      <c r="OIP56" s="223"/>
      <c r="OIY56" s="223"/>
      <c r="OIZ56" s="223"/>
      <c r="OJI56" s="223"/>
      <c r="OJJ56" s="223"/>
      <c r="OJS56" s="223"/>
      <c r="OJT56" s="223"/>
      <c r="OKC56" s="223"/>
      <c r="OKD56" s="223"/>
      <c r="OKM56" s="223"/>
      <c r="OKN56" s="223"/>
      <c r="OKW56" s="223"/>
      <c r="OKX56" s="223"/>
      <c r="OLG56" s="223"/>
      <c r="OLH56" s="223"/>
      <c r="OLQ56" s="223"/>
      <c r="OLR56" s="223"/>
      <c r="OMA56" s="223"/>
      <c r="OMB56" s="223"/>
      <c r="OMK56" s="223"/>
      <c r="OML56" s="223"/>
      <c r="OMU56" s="223"/>
      <c r="OMV56" s="223"/>
      <c r="ONE56" s="223"/>
      <c r="ONF56" s="223"/>
      <c r="ONO56" s="223"/>
      <c r="ONP56" s="223"/>
      <c r="ONY56" s="223"/>
      <c r="ONZ56" s="223"/>
      <c r="OOI56" s="223"/>
      <c r="OOJ56" s="223"/>
      <c r="OOS56" s="223"/>
      <c r="OOT56" s="223"/>
      <c r="OPC56" s="223"/>
      <c r="OPD56" s="223"/>
      <c r="OPM56" s="223"/>
      <c r="OPN56" s="223"/>
      <c r="OPW56" s="223"/>
      <c r="OPX56" s="223"/>
      <c r="OQG56" s="223"/>
      <c r="OQH56" s="223"/>
      <c r="OQQ56" s="223"/>
      <c r="OQR56" s="223"/>
      <c r="ORA56" s="223"/>
      <c r="ORB56" s="223"/>
      <c r="ORK56" s="223"/>
      <c r="ORL56" s="223"/>
      <c r="ORU56" s="223"/>
      <c r="ORV56" s="223"/>
      <c r="OSE56" s="223"/>
      <c r="OSF56" s="223"/>
      <c r="OSO56" s="223"/>
      <c r="OSP56" s="223"/>
      <c r="OSY56" s="223"/>
      <c r="OSZ56" s="223"/>
      <c r="OTI56" s="223"/>
      <c r="OTJ56" s="223"/>
      <c r="OTS56" s="223"/>
      <c r="OTT56" s="223"/>
      <c r="OUC56" s="223"/>
      <c r="OUD56" s="223"/>
      <c r="OUM56" s="223"/>
      <c r="OUN56" s="223"/>
      <c r="OUW56" s="223"/>
      <c r="OUX56" s="223"/>
      <c r="OVG56" s="223"/>
      <c r="OVH56" s="223"/>
      <c r="OVQ56" s="223"/>
      <c r="OVR56" s="223"/>
      <c r="OWA56" s="223"/>
      <c r="OWB56" s="223"/>
      <c r="OWK56" s="223"/>
      <c r="OWL56" s="223"/>
      <c r="OWU56" s="223"/>
      <c r="OWV56" s="223"/>
      <c r="OXE56" s="223"/>
      <c r="OXF56" s="223"/>
      <c r="OXO56" s="223"/>
      <c r="OXP56" s="223"/>
      <c r="OXY56" s="223"/>
      <c r="OXZ56" s="223"/>
      <c r="OYI56" s="223"/>
      <c r="OYJ56" s="223"/>
      <c r="OYS56" s="223"/>
      <c r="OYT56" s="223"/>
      <c r="OZC56" s="223"/>
      <c r="OZD56" s="223"/>
      <c r="OZM56" s="223"/>
      <c r="OZN56" s="223"/>
      <c r="OZW56" s="223"/>
      <c r="OZX56" s="223"/>
      <c r="PAG56" s="223"/>
      <c r="PAH56" s="223"/>
      <c r="PAQ56" s="223"/>
      <c r="PAR56" s="223"/>
      <c r="PBA56" s="223"/>
      <c r="PBB56" s="223"/>
      <c r="PBK56" s="223"/>
      <c r="PBL56" s="223"/>
      <c r="PBU56" s="223"/>
      <c r="PBV56" s="223"/>
      <c r="PCE56" s="223"/>
      <c r="PCF56" s="223"/>
      <c r="PCO56" s="223"/>
      <c r="PCP56" s="223"/>
      <c r="PCY56" s="223"/>
      <c r="PCZ56" s="223"/>
      <c r="PDI56" s="223"/>
      <c r="PDJ56" s="223"/>
      <c r="PDS56" s="223"/>
      <c r="PDT56" s="223"/>
      <c r="PEC56" s="223"/>
      <c r="PED56" s="223"/>
      <c r="PEM56" s="223"/>
      <c r="PEN56" s="223"/>
      <c r="PEW56" s="223"/>
      <c r="PEX56" s="223"/>
      <c r="PFG56" s="223"/>
      <c r="PFH56" s="223"/>
      <c r="PFQ56" s="223"/>
      <c r="PFR56" s="223"/>
      <c r="PGA56" s="223"/>
      <c r="PGB56" s="223"/>
      <c r="PGK56" s="223"/>
      <c r="PGL56" s="223"/>
      <c r="PGU56" s="223"/>
      <c r="PGV56" s="223"/>
      <c r="PHE56" s="223"/>
      <c r="PHF56" s="223"/>
      <c r="PHO56" s="223"/>
      <c r="PHP56" s="223"/>
      <c r="PHY56" s="223"/>
      <c r="PHZ56" s="223"/>
      <c r="PII56" s="223"/>
      <c r="PIJ56" s="223"/>
      <c r="PIS56" s="223"/>
      <c r="PIT56" s="223"/>
      <c r="PJC56" s="223"/>
      <c r="PJD56" s="223"/>
      <c r="PJM56" s="223"/>
      <c r="PJN56" s="223"/>
      <c r="PJW56" s="223"/>
      <c r="PJX56" s="223"/>
      <c r="PKG56" s="223"/>
      <c r="PKH56" s="223"/>
      <c r="PKQ56" s="223"/>
      <c r="PKR56" s="223"/>
      <c r="PLA56" s="223"/>
      <c r="PLB56" s="223"/>
      <c r="PLK56" s="223"/>
      <c r="PLL56" s="223"/>
      <c r="PLU56" s="223"/>
      <c r="PLV56" s="223"/>
      <c r="PME56" s="223"/>
      <c r="PMF56" s="223"/>
      <c r="PMO56" s="223"/>
      <c r="PMP56" s="223"/>
      <c r="PMY56" s="223"/>
      <c r="PMZ56" s="223"/>
      <c r="PNI56" s="223"/>
      <c r="PNJ56" s="223"/>
      <c r="PNS56" s="223"/>
      <c r="PNT56" s="223"/>
      <c r="POC56" s="223"/>
      <c r="POD56" s="223"/>
      <c r="POM56" s="223"/>
      <c r="PON56" s="223"/>
      <c r="POW56" s="223"/>
      <c r="POX56" s="223"/>
      <c r="PPG56" s="223"/>
      <c r="PPH56" s="223"/>
      <c r="PPQ56" s="223"/>
      <c r="PPR56" s="223"/>
      <c r="PQA56" s="223"/>
      <c r="PQB56" s="223"/>
      <c r="PQK56" s="223"/>
      <c r="PQL56" s="223"/>
      <c r="PQU56" s="223"/>
      <c r="PQV56" s="223"/>
      <c r="PRE56" s="223"/>
      <c r="PRF56" s="223"/>
      <c r="PRO56" s="223"/>
      <c r="PRP56" s="223"/>
      <c r="PRY56" s="223"/>
      <c r="PRZ56" s="223"/>
      <c r="PSI56" s="223"/>
      <c r="PSJ56" s="223"/>
      <c r="PSS56" s="223"/>
      <c r="PST56" s="223"/>
      <c r="PTC56" s="223"/>
      <c r="PTD56" s="223"/>
      <c r="PTM56" s="223"/>
      <c r="PTN56" s="223"/>
      <c r="PTW56" s="223"/>
      <c r="PTX56" s="223"/>
      <c r="PUG56" s="223"/>
      <c r="PUH56" s="223"/>
      <c r="PUQ56" s="223"/>
      <c r="PUR56" s="223"/>
      <c r="PVA56" s="223"/>
      <c r="PVB56" s="223"/>
      <c r="PVK56" s="223"/>
      <c r="PVL56" s="223"/>
      <c r="PVU56" s="223"/>
      <c r="PVV56" s="223"/>
      <c r="PWE56" s="223"/>
      <c r="PWF56" s="223"/>
      <c r="PWO56" s="223"/>
      <c r="PWP56" s="223"/>
      <c r="PWY56" s="223"/>
      <c r="PWZ56" s="223"/>
      <c r="PXI56" s="223"/>
      <c r="PXJ56" s="223"/>
      <c r="PXS56" s="223"/>
      <c r="PXT56" s="223"/>
      <c r="PYC56" s="223"/>
      <c r="PYD56" s="223"/>
      <c r="PYM56" s="223"/>
      <c r="PYN56" s="223"/>
      <c r="PYW56" s="223"/>
      <c r="PYX56" s="223"/>
      <c r="PZG56" s="223"/>
      <c r="PZH56" s="223"/>
      <c r="PZQ56" s="223"/>
      <c r="PZR56" s="223"/>
      <c r="QAA56" s="223"/>
      <c r="QAB56" s="223"/>
      <c r="QAK56" s="223"/>
      <c r="QAL56" s="223"/>
      <c r="QAU56" s="223"/>
      <c r="QAV56" s="223"/>
      <c r="QBE56" s="223"/>
      <c r="QBF56" s="223"/>
      <c r="QBO56" s="223"/>
      <c r="QBP56" s="223"/>
      <c r="QBY56" s="223"/>
      <c r="QBZ56" s="223"/>
      <c r="QCI56" s="223"/>
      <c r="QCJ56" s="223"/>
      <c r="QCS56" s="223"/>
      <c r="QCT56" s="223"/>
      <c r="QDC56" s="223"/>
      <c r="QDD56" s="223"/>
      <c r="QDM56" s="223"/>
      <c r="QDN56" s="223"/>
      <c r="QDW56" s="223"/>
      <c r="QDX56" s="223"/>
      <c r="QEG56" s="223"/>
      <c r="QEH56" s="223"/>
      <c r="QEQ56" s="223"/>
      <c r="QER56" s="223"/>
      <c r="QFA56" s="223"/>
      <c r="QFB56" s="223"/>
      <c r="QFK56" s="223"/>
      <c r="QFL56" s="223"/>
      <c r="QFU56" s="223"/>
      <c r="QFV56" s="223"/>
      <c r="QGE56" s="223"/>
      <c r="QGF56" s="223"/>
      <c r="QGO56" s="223"/>
      <c r="QGP56" s="223"/>
      <c r="QGY56" s="223"/>
      <c r="QGZ56" s="223"/>
      <c r="QHI56" s="223"/>
      <c r="QHJ56" s="223"/>
      <c r="QHS56" s="223"/>
      <c r="QHT56" s="223"/>
      <c r="QIC56" s="223"/>
      <c r="QID56" s="223"/>
      <c r="QIM56" s="223"/>
      <c r="QIN56" s="223"/>
      <c r="QIW56" s="223"/>
      <c r="QIX56" s="223"/>
      <c r="QJG56" s="223"/>
      <c r="QJH56" s="223"/>
      <c r="QJQ56" s="223"/>
      <c r="QJR56" s="223"/>
      <c r="QKA56" s="223"/>
      <c r="QKB56" s="223"/>
      <c r="QKK56" s="223"/>
      <c r="QKL56" s="223"/>
      <c r="QKU56" s="223"/>
      <c r="QKV56" s="223"/>
      <c r="QLE56" s="223"/>
      <c r="QLF56" s="223"/>
      <c r="QLO56" s="223"/>
      <c r="QLP56" s="223"/>
      <c r="QLY56" s="223"/>
      <c r="QLZ56" s="223"/>
      <c r="QMI56" s="223"/>
      <c r="QMJ56" s="223"/>
      <c r="QMS56" s="223"/>
      <c r="QMT56" s="223"/>
      <c r="QNC56" s="223"/>
      <c r="QND56" s="223"/>
      <c r="QNM56" s="223"/>
      <c r="QNN56" s="223"/>
      <c r="QNW56" s="223"/>
      <c r="QNX56" s="223"/>
      <c r="QOG56" s="223"/>
      <c r="QOH56" s="223"/>
      <c r="QOQ56" s="223"/>
      <c r="QOR56" s="223"/>
      <c r="QPA56" s="223"/>
      <c r="QPB56" s="223"/>
      <c r="QPK56" s="223"/>
      <c r="QPL56" s="223"/>
      <c r="QPU56" s="223"/>
      <c r="QPV56" s="223"/>
      <c r="QQE56" s="223"/>
      <c r="QQF56" s="223"/>
      <c r="QQO56" s="223"/>
      <c r="QQP56" s="223"/>
      <c r="QQY56" s="223"/>
      <c r="QQZ56" s="223"/>
      <c r="QRI56" s="223"/>
      <c r="QRJ56" s="223"/>
      <c r="QRS56" s="223"/>
      <c r="QRT56" s="223"/>
      <c r="QSC56" s="223"/>
      <c r="QSD56" s="223"/>
      <c r="QSM56" s="223"/>
      <c r="QSN56" s="223"/>
      <c r="QSW56" s="223"/>
      <c r="QSX56" s="223"/>
      <c r="QTG56" s="223"/>
      <c r="QTH56" s="223"/>
      <c r="QTQ56" s="223"/>
      <c r="QTR56" s="223"/>
      <c r="QUA56" s="223"/>
      <c r="QUB56" s="223"/>
      <c r="QUK56" s="223"/>
      <c r="QUL56" s="223"/>
      <c r="QUU56" s="223"/>
      <c r="QUV56" s="223"/>
      <c r="QVE56" s="223"/>
      <c r="QVF56" s="223"/>
      <c r="QVO56" s="223"/>
      <c r="QVP56" s="223"/>
      <c r="QVY56" s="223"/>
      <c r="QVZ56" s="223"/>
      <c r="QWI56" s="223"/>
      <c r="QWJ56" s="223"/>
      <c r="QWS56" s="223"/>
      <c r="QWT56" s="223"/>
      <c r="QXC56" s="223"/>
      <c r="QXD56" s="223"/>
      <c r="QXM56" s="223"/>
      <c r="QXN56" s="223"/>
      <c r="QXW56" s="223"/>
      <c r="QXX56" s="223"/>
      <c r="QYG56" s="223"/>
      <c r="QYH56" s="223"/>
      <c r="QYQ56" s="223"/>
      <c r="QYR56" s="223"/>
      <c r="QZA56" s="223"/>
      <c r="QZB56" s="223"/>
      <c r="QZK56" s="223"/>
      <c r="QZL56" s="223"/>
      <c r="QZU56" s="223"/>
      <c r="QZV56" s="223"/>
      <c r="RAE56" s="223"/>
      <c r="RAF56" s="223"/>
      <c r="RAO56" s="223"/>
      <c r="RAP56" s="223"/>
      <c r="RAY56" s="223"/>
      <c r="RAZ56" s="223"/>
      <c r="RBI56" s="223"/>
      <c r="RBJ56" s="223"/>
      <c r="RBS56" s="223"/>
      <c r="RBT56" s="223"/>
      <c r="RCC56" s="223"/>
      <c r="RCD56" s="223"/>
      <c r="RCM56" s="223"/>
      <c r="RCN56" s="223"/>
      <c r="RCW56" s="223"/>
      <c r="RCX56" s="223"/>
      <c r="RDG56" s="223"/>
      <c r="RDH56" s="223"/>
      <c r="RDQ56" s="223"/>
      <c r="RDR56" s="223"/>
      <c r="REA56" s="223"/>
      <c r="REB56" s="223"/>
      <c r="REK56" s="223"/>
      <c r="REL56" s="223"/>
      <c r="REU56" s="223"/>
      <c r="REV56" s="223"/>
      <c r="RFE56" s="223"/>
      <c r="RFF56" s="223"/>
      <c r="RFO56" s="223"/>
      <c r="RFP56" s="223"/>
      <c r="RFY56" s="223"/>
      <c r="RFZ56" s="223"/>
      <c r="RGI56" s="223"/>
      <c r="RGJ56" s="223"/>
      <c r="RGS56" s="223"/>
      <c r="RGT56" s="223"/>
      <c r="RHC56" s="223"/>
      <c r="RHD56" s="223"/>
      <c r="RHM56" s="223"/>
      <c r="RHN56" s="223"/>
      <c r="RHW56" s="223"/>
      <c r="RHX56" s="223"/>
      <c r="RIG56" s="223"/>
      <c r="RIH56" s="223"/>
      <c r="RIQ56" s="223"/>
      <c r="RIR56" s="223"/>
      <c r="RJA56" s="223"/>
      <c r="RJB56" s="223"/>
      <c r="RJK56" s="223"/>
      <c r="RJL56" s="223"/>
      <c r="RJU56" s="223"/>
      <c r="RJV56" s="223"/>
      <c r="RKE56" s="223"/>
      <c r="RKF56" s="223"/>
      <c r="RKO56" s="223"/>
      <c r="RKP56" s="223"/>
      <c r="RKY56" s="223"/>
      <c r="RKZ56" s="223"/>
      <c r="RLI56" s="223"/>
      <c r="RLJ56" s="223"/>
      <c r="RLS56" s="223"/>
      <c r="RLT56" s="223"/>
      <c r="RMC56" s="223"/>
      <c r="RMD56" s="223"/>
      <c r="RMM56" s="223"/>
      <c r="RMN56" s="223"/>
      <c r="RMW56" s="223"/>
      <c r="RMX56" s="223"/>
      <c r="RNG56" s="223"/>
      <c r="RNH56" s="223"/>
      <c r="RNQ56" s="223"/>
      <c r="RNR56" s="223"/>
      <c r="ROA56" s="223"/>
      <c r="ROB56" s="223"/>
      <c r="ROK56" s="223"/>
      <c r="ROL56" s="223"/>
      <c r="ROU56" s="223"/>
      <c r="ROV56" s="223"/>
      <c r="RPE56" s="223"/>
      <c r="RPF56" s="223"/>
      <c r="RPO56" s="223"/>
      <c r="RPP56" s="223"/>
      <c r="RPY56" s="223"/>
      <c r="RPZ56" s="223"/>
      <c r="RQI56" s="223"/>
      <c r="RQJ56" s="223"/>
      <c r="RQS56" s="223"/>
      <c r="RQT56" s="223"/>
      <c r="RRC56" s="223"/>
      <c r="RRD56" s="223"/>
      <c r="RRM56" s="223"/>
      <c r="RRN56" s="223"/>
      <c r="RRW56" s="223"/>
      <c r="RRX56" s="223"/>
      <c r="RSG56" s="223"/>
      <c r="RSH56" s="223"/>
      <c r="RSQ56" s="223"/>
      <c r="RSR56" s="223"/>
      <c r="RTA56" s="223"/>
      <c r="RTB56" s="223"/>
      <c r="RTK56" s="223"/>
      <c r="RTL56" s="223"/>
      <c r="RTU56" s="223"/>
      <c r="RTV56" s="223"/>
      <c r="RUE56" s="223"/>
      <c r="RUF56" s="223"/>
      <c r="RUO56" s="223"/>
      <c r="RUP56" s="223"/>
      <c r="RUY56" s="223"/>
      <c r="RUZ56" s="223"/>
      <c r="RVI56" s="223"/>
      <c r="RVJ56" s="223"/>
      <c r="RVS56" s="223"/>
      <c r="RVT56" s="223"/>
      <c r="RWC56" s="223"/>
      <c r="RWD56" s="223"/>
      <c r="RWM56" s="223"/>
      <c r="RWN56" s="223"/>
      <c r="RWW56" s="223"/>
      <c r="RWX56" s="223"/>
      <c r="RXG56" s="223"/>
      <c r="RXH56" s="223"/>
      <c r="RXQ56" s="223"/>
      <c r="RXR56" s="223"/>
      <c r="RYA56" s="223"/>
      <c r="RYB56" s="223"/>
      <c r="RYK56" s="223"/>
      <c r="RYL56" s="223"/>
      <c r="RYU56" s="223"/>
      <c r="RYV56" s="223"/>
      <c r="RZE56" s="223"/>
      <c r="RZF56" s="223"/>
      <c r="RZO56" s="223"/>
      <c r="RZP56" s="223"/>
      <c r="RZY56" s="223"/>
      <c r="RZZ56" s="223"/>
      <c r="SAI56" s="223"/>
      <c r="SAJ56" s="223"/>
      <c r="SAS56" s="223"/>
      <c r="SAT56" s="223"/>
      <c r="SBC56" s="223"/>
      <c r="SBD56" s="223"/>
      <c r="SBM56" s="223"/>
      <c r="SBN56" s="223"/>
      <c r="SBW56" s="223"/>
      <c r="SBX56" s="223"/>
      <c r="SCG56" s="223"/>
      <c r="SCH56" s="223"/>
      <c r="SCQ56" s="223"/>
      <c r="SCR56" s="223"/>
      <c r="SDA56" s="223"/>
      <c r="SDB56" s="223"/>
      <c r="SDK56" s="223"/>
      <c r="SDL56" s="223"/>
      <c r="SDU56" s="223"/>
      <c r="SDV56" s="223"/>
      <c r="SEE56" s="223"/>
      <c r="SEF56" s="223"/>
      <c r="SEO56" s="223"/>
      <c r="SEP56" s="223"/>
      <c r="SEY56" s="223"/>
      <c r="SEZ56" s="223"/>
      <c r="SFI56" s="223"/>
      <c r="SFJ56" s="223"/>
      <c r="SFS56" s="223"/>
      <c r="SFT56" s="223"/>
      <c r="SGC56" s="223"/>
      <c r="SGD56" s="223"/>
      <c r="SGM56" s="223"/>
      <c r="SGN56" s="223"/>
      <c r="SGW56" s="223"/>
      <c r="SGX56" s="223"/>
      <c r="SHG56" s="223"/>
      <c r="SHH56" s="223"/>
      <c r="SHQ56" s="223"/>
      <c r="SHR56" s="223"/>
      <c r="SIA56" s="223"/>
      <c r="SIB56" s="223"/>
      <c r="SIK56" s="223"/>
      <c r="SIL56" s="223"/>
      <c r="SIU56" s="223"/>
      <c r="SIV56" s="223"/>
      <c r="SJE56" s="223"/>
      <c r="SJF56" s="223"/>
      <c r="SJO56" s="223"/>
      <c r="SJP56" s="223"/>
      <c r="SJY56" s="223"/>
      <c r="SJZ56" s="223"/>
      <c r="SKI56" s="223"/>
      <c r="SKJ56" s="223"/>
      <c r="SKS56" s="223"/>
      <c r="SKT56" s="223"/>
      <c r="SLC56" s="223"/>
      <c r="SLD56" s="223"/>
      <c r="SLM56" s="223"/>
      <c r="SLN56" s="223"/>
      <c r="SLW56" s="223"/>
      <c r="SLX56" s="223"/>
      <c r="SMG56" s="223"/>
      <c r="SMH56" s="223"/>
      <c r="SMQ56" s="223"/>
      <c r="SMR56" s="223"/>
      <c r="SNA56" s="223"/>
      <c r="SNB56" s="223"/>
      <c r="SNK56" s="223"/>
      <c r="SNL56" s="223"/>
      <c r="SNU56" s="223"/>
      <c r="SNV56" s="223"/>
      <c r="SOE56" s="223"/>
      <c r="SOF56" s="223"/>
      <c r="SOO56" s="223"/>
      <c r="SOP56" s="223"/>
      <c r="SOY56" s="223"/>
      <c r="SOZ56" s="223"/>
      <c r="SPI56" s="223"/>
      <c r="SPJ56" s="223"/>
      <c r="SPS56" s="223"/>
      <c r="SPT56" s="223"/>
      <c r="SQC56" s="223"/>
      <c r="SQD56" s="223"/>
      <c r="SQM56" s="223"/>
      <c r="SQN56" s="223"/>
      <c r="SQW56" s="223"/>
      <c r="SQX56" s="223"/>
      <c r="SRG56" s="223"/>
      <c r="SRH56" s="223"/>
      <c r="SRQ56" s="223"/>
      <c r="SRR56" s="223"/>
      <c r="SSA56" s="223"/>
      <c r="SSB56" s="223"/>
      <c r="SSK56" s="223"/>
      <c r="SSL56" s="223"/>
      <c r="SSU56" s="223"/>
      <c r="SSV56" s="223"/>
      <c r="STE56" s="223"/>
      <c r="STF56" s="223"/>
      <c r="STO56" s="223"/>
      <c r="STP56" s="223"/>
      <c r="STY56" s="223"/>
      <c r="STZ56" s="223"/>
      <c r="SUI56" s="223"/>
      <c r="SUJ56" s="223"/>
      <c r="SUS56" s="223"/>
      <c r="SUT56" s="223"/>
      <c r="SVC56" s="223"/>
      <c r="SVD56" s="223"/>
      <c r="SVM56" s="223"/>
      <c r="SVN56" s="223"/>
      <c r="SVW56" s="223"/>
      <c r="SVX56" s="223"/>
      <c r="SWG56" s="223"/>
      <c r="SWH56" s="223"/>
      <c r="SWQ56" s="223"/>
      <c r="SWR56" s="223"/>
      <c r="SXA56" s="223"/>
      <c r="SXB56" s="223"/>
      <c r="SXK56" s="223"/>
      <c r="SXL56" s="223"/>
      <c r="SXU56" s="223"/>
      <c r="SXV56" s="223"/>
      <c r="SYE56" s="223"/>
      <c r="SYF56" s="223"/>
      <c r="SYO56" s="223"/>
      <c r="SYP56" s="223"/>
      <c r="SYY56" s="223"/>
      <c r="SYZ56" s="223"/>
      <c r="SZI56" s="223"/>
      <c r="SZJ56" s="223"/>
      <c r="SZS56" s="223"/>
      <c r="SZT56" s="223"/>
      <c r="TAC56" s="223"/>
      <c r="TAD56" s="223"/>
      <c r="TAM56" s="223"/>
      <c r="TAN56" s="223"/>
      <c r="TAW56" s="223"/>
      <c r="TAX56" s="223"/>
      <c r="TBG56" s="223"/>
      <c r="TBH56" s="223"/>
      <c r="TBQ56" s="223"/>
      <c r="TBR56" s="223"/>
      <c r="TCA56" s="223"/>
      <c r="TCB56" s="223"/>
      <c r="TCK56" s="223"/>
      <c r="TCL56" s="223"/>
      <c r="TCU56" s="223"/>
      <c r="TCV56" s="223"/>
      <c r="TDE56" s="223"/>
      <c r="TDF56" s="223"/>
      <c r="TDO56" s="223"/>
      <c r="TDP56" s="223"/>
      <c r="TDY56" s="223"/>
      <c r="TDZ56" s="223"/>
      <c r="TEI56" s="223"/>
      <c r="TEJ56" s="223"/>
      <c r="TES56" s="223"/>
      <c r="TET56" s="223"/>
      <c r="TFC56" s="223"/>
      <c r="TFD56" s="223"/>
      <c r="TFM56" s="223"/>
      <c r="TFN56" s="223"/>
      <c r="TFW56" s="223"/>
      <c r="TFX56" s="223"/>
      <c r="TGG56" s="223"/>
      <c r="TGH56" s="223"/>
      <c r="TGQ56" s="223"/>
      <c r="TGR56" s="223"/>
      <c r="THA56" s="223"/>
      <c r="THB56" s="223"/>
      <c r="THK56" s="223"/>
      <c r="THL56" s="223"/>
      <c r="THU56" s="223"/>
      <c r="THV56" s="223"/>
      <c r="TIE56" s="223"/>
      <c r="TIF56" s="223"/>
      <c r="TIO56" s="223"/>
      <c r="TIP56" s="223"/>
      <c r="TIY56" s="223"/>
      <c r="TIZ56" s="223"/>
      <c r="TJI56" s="223"/>
      <c r="TJJ56" s="223"/>
      <c r="TJS56" s="223"/>
      <c r="TJT56" s="223"/>
      <c r="TKC56" s="223"/>
      <c r="TKD56" s="223"/>
      <c r="TKM56" s="223"/>
      <c r="TKN56" s="223"/>
      <c r="TKW56" s="223"/>
      <c r="TKX56" s="223"/>
      <c r="TLG56" s="223"/>
      <c r="TLH56" s="223"/>
      <c r="TLQ56" s="223"/>
      <c r="TLR56" s="223"/>
      <c r="TMA56" s="223"/>
      <c r="TMB56" s="223"/>
      <c r="TMK56" s="223"/>
      <c r="TML56" s="223"/>
      <c r="TMU56" s="223"/>
      <c r="TMV56" s="223"/>
      <c r="TNE56" s="223"/>
      <c r="TNF56" s="223"/>
      <c r="TNO56" s="223"/>
      <c r="TNP56" s="223"/>
      <c r="TNY56" s="223"/>
      <c r="TNZ56" s="223"/>
      <c r="TOI56" s="223"/>
      <c r="TOJ56" s="223"/>
      <c r="TOS56" s="223"/>
      <c r="TOT56" s="223"/>
      <c r="TPC56" s="223"/>
      <c r="TPD56" s="223"/>
      <c r="TPM56" s="223"/>
      <c r="TPN56" s="223"/>
      <c r="TPW56" s="223"/>
      <c r="TPX56" s="223"/>
      <c r="TQG56" s="223"/>
      <c r="TQH56" s="223"/>
      <c r="TQQ56" s="223"/>
      <c r="TQR56" s="223"/>
      <c r="TRA56" s="223"/>
      <c r="TRB56" s="223"/>
      <c r="TRK56" s="223"/>
      <c r="TRL56" s="223"/>
      <c r="TRU56" s="223"/>
      <c r="TRV56" s="223"/>
      <c r="TSE56" s="223"/>
      <c r="TSF56" s="223"/>
      <c r="TSO56" s="223"/>
      <c r="TSP56" s="223"/>
      <c r="TSY56" s="223"/>
      <c r="TSZ56" s="223"/>
      <c r="TTI56" s="223"/>
      <c r="TTJ56" s="223"/>
      <c r="TTS56" s="223"/>
      <c r="TTT56" s="223"/>
      <c r="TUC56" s="223"/>
      <c r="TUD56" s="223"/>
      <c r="TUM56" s="223"/>
      <c r="TUN56" s="223"/>
      <c r="TUW56" s="223"/>
      <c r="TUX56" s="223"/>
      <c r="TVG56" s="223"/>
      <c r="TVH56" s="223"/>
      <c r="TVQ56" s="223"/>
      <c r="TVR56" s="223"/>
      <c r="TWA56" s="223"/>
      <c r="TWB56" s="223"/>
      <c r="TWK56" s="223"/>
      <c r="TWL56" s="223"/>
      <c r="TWU56" s="223"/>
      <c r="TWV56" s="223"/>
      <c r="TXE56" s="223"/>
      <c r="TXF56" s="223"/>
      <c r="TXO56" s="223"/>
      <c r="TXP56" s="223"/>
      <c r="TXY56" s="223"/>
      <c r="TXZ56" s="223"/>
      <c r="TYI56" s="223"/>
      <c r="TYJ56" s="223"/>
      <c r="TYS56" s="223"/>
      <c r="TYT56" s="223"/>
      <c r="TZC56" s="223"/>
      <c r="TZD56" s="223"/>
      <c r="TZM56" s="223"/>
      <c r="TZN56" s="223"/>
      <c r="TZW56" s="223"/>
      <c r="TZX56" s="223"/>
      <c r="UAG56" s="223"/>
      <c r="UAH56" s="223"/>
      <c r="UAQ56" s="223"/>
      <c r="UAR56" s="223"/>
      <c r="UBA56" s="223"/>
      <c r="UBB56" s="223"/>
      <c r="UBK56" s="223"/>
      <c r="UBL56" s="223"/>
      <c r="UBU56" s="223"/>
      <c r="UBV56" s="223"/>
      <c r="UCE56" s="223"/>
      <c r="UCF56" s="223"/>
      <c r="UCO56" s="223"/>
      <c r="UCP56" s="223"/>
      <c r="UCY56" s="223"/>
      <c r="UCZ56" s="223"/>
      <c r="UDI56" s="223"/>
      <c r="UDJ56" s="223"/>
      <c r="UDS56" s="223"/>
      <c r="UDT56" s="223"/>
      <c r="UEC56" s="223"/>
      <c r="UED56" s="223"/>
      <c r="UEM56" s="223"/>
      <c r="UEN56" s="223"/>
      <c r="UEW56" s="223"/>
      <c r="UEX56" s="223"/>
      <c r="UFG56" s="223"/>
      <c r="UFH56" s="223"/>
      <c r="UFQ56" s="223"/>
      <c r="UFR56" s="223"/>
      <c r="UGA56" s="223"/>
      <c r="UGB56" s="223"/>
      <c r="UGK56" s="223"/>
      <c r="UGL56" s="223"/>
      <c r="UGU56" s="223"/>
      <c r="UGV56" s="223"/>
      <c r="UHE56" s="223"/>
      <c r="UHF56" s="223"/>
      <c r="UHO56" s="223"/>
      <c r="UHP56" s="223"/>
      <c r="UHY56" s="223"/>
      <c r="UHZ56" s="223"/>
      <c r="UII56" s="223"/>
      <c r="UIJ56" s="223"/>
      <c r="UIS56" s="223"/>
      <c r="UIT56" s="223"/>
      <c r="UJC56" s="223"/>
      <c r="UJD56" s="223"/>
      <c r="UJM56" s="223"/>
      <c r="UJN56" s="223"/>
      <c r="UJW56" s="223"/>
      <c r="UJX56" s="223"/>
      <c r="UKG56" s="223"/>
      <c r="UKH56" s="223"/>
      <c r="UKQ56" s="223"/>
      <c r="UKR56" s="223"/>
      <c r="ULA56" s="223"/>
      <c r="ULB56" s="223"/>
      <c r="ULK56" s="223"/>
      <c r="ULL56" s="223"/>
      <c r="ULU56" s="223"/>
      <c r="ULV56" s="223"/>
      <c r="UME56" s="223"/>
      <c r="UMF56" s="223"/>
      <c r="UMO56" s="223"/>
      <c r="UMP56" s="223"/>
      <c r="UMY56" s="223"/>
      <c r="UMZ56" s="223"/>
      <c r="UNI56" s="223"/>
      <c r="UNJ56" s="223"/>
      <c r="UNS56" s="223"/>
      <c r="UNT56" s="223"/>
      <c r="UOC56" s="223"/>
      <c r="UOD56" s="223"/>
      <c r="UOM56" s="223"/>
      <c r="UON56" s="223"/>
      <c r="UOW56" s="223"/>
      <c r="UOX56" s="223"/>
      <c r="UPG56" s="223"/>
      <c r="UPH56" s="223"/>
      <c r="UPQ56" s="223"/>
      <c r="UPR56" s="223"/>
      <c r="UQA56" s="223"/>
      <c r="UQB56" s="223"/>
      <c r="UQK56" s="223"/>
      <c r="UQL56" s="223"/>
      <c r="UQU56" s="223"/>
      <c r="UQV56" s="223"/>
      <c r="URE56" s="223"/>
      <c r="URF56" s="223"/>
      <c r="URO56" s="223"/>
      <c r="URP56" s="223"/>
      <c r="URY56" s="223"/>
      <c r="URZ56" s="223"/>
      <c r="USI56" s="223"/>
      <c r="USJ56" s="223"/>
      <c r="USS56" s="223"/>
      <c r="UST56" s="223"/>
      <c r="UTC56" s="223"/>
      <c r="UTD56" s="223"/>
      <c r="UTM56" s="223"/>
      <c r="UTN56" s="223"/>
      <c r="UTW56" s="223"/>
      <c r="UTX56" s="223"/>
      <c r="UUG56" s="223"/>
      <c r="UUH56" s="223"/>
      <c r="UUQ56" s="223"/>
      <c r="UUR56" s="223"/>
      <c r="UVA56" s="223"/>
      <c r="UVB56" s="223"/>
      <c r="UVK56" s="223"/>
      <c r="UVL56" s="223"/>
      <c r="UVU56" s="223"/>
      <c r="UVV56" s="223"/>
      <c r="UWE56" s="223"/>
      <c r="UWF56" s="223"/>
      <c r="UWO56" s="223"/>
      <c r="UWP56" s="223"/>
      <c r="UWY56" s="223"/>
      <c r="UWZ56" s="223"/>
      <c r="UXI56" s="223"/>
      <c r="UXJ56" s="223"/>
      <c r="UXS56" s="223"/>
      <c r="UXT56" s="223"/>
      <c r="UYC56" s="223"/>
      <c r="UYD56" s="223"/>
      <c r="UYM56" s="223"/>
      <c r="UYN56" s="223"/>
      <c r="UYW56" s="223"/>
      <c r="UYX56" s="223"/>
      <c r="UZG56" s="223"/>
      <c r="UZH56" s="223"/>
      <c r="UZQ56" s="223"/>
      <c r="UZR56" s="223"/>
      <c r="VAA56" s="223"/>
      <c r="VAB56" s="223"/>
      <c r="VAK56" s="223"/>
      <c r="VAL56" s="223"/>
      <c r="VAU56" s="223"/>
      <c r="VAV56" s="223"/>
      <c r="VBE56" s="223"/>
      <c r="VBF56" s="223"/>
      <c r="VBO56" s="223"/>
      <c r="VBP56" s="223"/>
      <c r="VBY56" s="223"/>
      <c r="VBZ56" s="223"/>
      <c r="VCI56" s="223"/>
      <c r="VCJ56" s="223"/>
      <c r="VCS56" s="223"/>
      <c r="VCT56" s="223"/>
      <c r="VDC56" s="223"/>
      <c r="VDD56" s="223"/>
      <c r="VDM56" s="223"/>
      <c r="VDN56" s="223"/>
      <c r="VDW56" s="223"/>
      <c r="VDX56" s="223"/>
      <c r="VEG56" s="223"/>
      <c r="VEH56" s="223"/>
      <c r="VEQ56" s="223"/>
      <c r="VER56" s="223"/>
      <c r="VFA56" s="223"/>
      <c r="VFB56" s="223"/>
      <c r="VFK56" s="223"/>
      <c r="VFL56" s="223"/>
      <c r="VFU56" s="223"/>
      <c r="VFV56" s="223"/>
      <c r="VGE56" s="223"/>
      <c r="VGF56" s="223"/>
      <c r="VGO56" s="223"/>
      <c r="VGP56" s="223"/>
      <c r="VGY56" s="223"/>
      <c r="VGZ56" s="223"/>
      <c r="VHI56" s="223"/>
      <c r="VHJ56" s="223"/>
      <c r="VHS56" s="223"/>
      <c r="VHT56" s="223"/>
      <c r="VIC56" s="223"/>
      <c r="VID56" s="223"/>
      <c r="VIM56" s="223"/>
      <c r="VIN56" s="223"/>
      <c r="VIW56" s="223"/>
      <c r="VIX56" s="223"/>
      <c r="VJG56" s="223"/>
      <c r="VJH56" s="223"/>
      <c r="VJQ56" s="223"/>
      <c r="VJR56" s="223"/>
      <c r="VKA56" s="223"/>
      <c r="VKB56" s="223"/>
      <c r="VKK56" s="223"/>
      <c r="VKL56" s="223"/>
      <c r="VKU56" s="223"/>
      <c r="VKV56" s="223"/>
      <c r="VLE56" s="223"/>
      <c r="VLF56" s="223"/>
      <c r="VLO56" s="223"/>
      <c r="VLP56" s="223"/>
      <c r="VLY56" s="223"/>
      <c r="VLZ56" s="223"/>
      <c r="VMI56" s="223"/>
      <c r="VMJ56" s="223"/>
      <c r="VMS56" s="223"/>
      <c r="VMT56" s="223"/>
      <c r="VNC56" s="223"/>
      <c r="VND56" s="223"/>
      <c r="VNM56" s="223"/>
      <c r="VNN56" s="223"/>
      <c r="VNW56" s="223"/>
      <c r="VNX56" s="223"/>
      <c r="VOG56" s="223"/>
      <c r="VOH56" s="223"/>
      <c r="VOQ56" s="223"/>
      <c r="VOR56" s="223"/>
      <c r="VPA56" s="223"/>
      <c r="VPB56" s="223"/>
      <c r="VPK56" s="223"/>
      <c r="VPL56" s="223"/>
      <c r="VPU56" s="223"/>
      <c r="VPV56" s="223"/>
      <c r="VQE56" s="223"/>
      <c r="VQF56" s="223"/>
      <c r="VQO56" s="223"/>
      <c r="VQP56" s="223"/>
      <c r="VQY56" s="223"/>
      <c r="VQZ56" s="223"/>
      <c r="VRI56" s="223"/>
      <c r="VRJ56" s="223"/>
      <c r="VRS56" s="223"/>
      <c r="VRT56" s="223"/>
      <c r="VSC56" s="223"/>
      <c r="VSD56" s="223"/>
      <c r="VSM56" s="223"/>
      <c r="VSN56" s="223"/>
      <c r="VSW56" s="223"/>
      <c r="VSX56" s="223"/>
      <c r="VTG56" s="223"/>
      <c r="VTH56" s="223"/>
      <c r="VTQ56" s="223"/>
      <c r="VTR56" s="223"/>
      <c r="VUA56" s="223"/>
      <c r="VUB56" s="223"/>
      <c r="VUK56" s="223"/>
      <c r="VUL56" s="223"/>
      <c r="VUU56" s="223"/>
      <c r="VUV56" s="223"/>
      <c r="VVE56" s="223"/>
      <c r="VVF56" s="223"/>
      <c r="VVO56" s="223"/>
      <c r="VVP56" s="223"/>
      <c r="VVY56" s="223"/>
      <c r="VVZ56" s="223"/>
      <c r="VWI56" s="223"/>
      <c r="VWJ56" s="223"/>
      <c r="VWS56" s="223"/>
      <c r="VWT56" s="223"/>
      <c r="VXC56" s="223"/>
      <c r="VXD56" s="223"/>
      <c r="VXM56" s="223"/>
      <c r="VXN56" s="223"/>
      <c r="VXW56" s="223"/>
      <c r="VXX56" s="223"/>
      <c r="VYG56" s="223"/>
      <c r="VYH56" s="223"/>
      <c r="VYQ56" s="223"/>
      <c r="VYR56" s="223"/>
      <c r="VZA56" s="223"/>
      <c r="VZB56" s="223"/>
      <c r="VZK56" s="223"/>
      <c r="VZL56" s="223"/>
      <c r="VZU56" s="223"/>
      <c r="VZV56" s="223"/>
      <c r="WAE56" s="223"/>
      <c r="WAF56" s="223"/>
      <c r="WAO56" s="223"/>
      <c r="WAP56" s="223"/>
      <c r="WAY56" s="223"/>
      <c r="WAZ56" s="223"/>
      <c r="WBI56" s="223"/>
      <c r="WBJ56" s="223"/>
      <c r="WBS56" s="223"/>
      <c r="WBT56" s="223"/>
      <c r="WCC56" s="223"/>
      <c r="WCD56" s="223"/>
      <c r="WCM56" s="223"/>
      <c r="WCN56" s="223"/>
      <c r="WCW56" s="223"/>
      <c r="WCX56" s="223"/>
      <c r="WDG56" s="223"/>
      <c r="WDH56" s="223"/>
      <c r="WDQ56" s="223"/>
      <c r="WDR56" s="223"/>
      <c r="WEA56" s="223"/>
      <c r="WEB56" s="223"/>
      <c r="WEK56" s="223"/>
      <c r="WEL56" s="223"/>
      <c r="WEU56" s="223"/>
      <c r="WEV56" s="223"/>
      <c r="WFE56" s="223"/>
      <c r="WFF56" s="223"/>
      <c r="WFO56" s="223"/>
      <c r="WFP56" s="223"/>
      <c r="WFY56" s="223"/>
      <c r="WFZ56" s="223"/>
      <c r="WGI56" s="223"/>
      <c r="WGJ56" s="223"/>
      <c r="WGS56" s="223"/>
      <c r="WGT56" s="223"/>
      <c r="WHC56" s="223"/>
      <c r="WHD56" s="223"/>
      <c r="WHM56" s="223"/>
      <c r="WHN56" s="223"/>
      <c r="WHW56" s="223"/>
      <c r="WHX56" s="223"/>
      <c r="WIG56" s="223"/>
      <c r="WIH56" s="223"/>
      <c r="WIQ56" s="223"/>
      <c r="WIR56" s="223"/>
      <c r="WJA56" s="223"/>
      <c r="WJB56" s="223"/>
      <c r="WJK56" s="223"/>
      <c r="WJL56" s="223"/>
      <c r="WJU56" s="223"/>
      <c r="WJV56" s="223"/>
      <c r="WKE56" s="223"/>
      <c r="WKF56" s="223"/>
      <c r="WKO56" s="223"/>
      <c r="WKP56" s="223"/>
      <c r="WKY56" s="223"/>
      <c r="WKZ56" s="223"/>
      <c r="WLI56" s="223"/>
      <c r="WLJ56" s="223"/>
      <c r="WLS56" s="223"/>
      <c r="WLT56" s="223"/>
      <c r="WMC56" s="223"/>
      <c r="WMD56" s="223"/>
      <c r="WMM56" s="223"/>
      <c r="WMN56" s="223"/>
      <c r="WMW56" s="223"/>
      <c r="WMX56" s="223"/>
      <c r="WNG56" s="223"/>
      <c r="WNH56" s="223"/>
      <c r="WNQ56" s="223"/>
      <c r="WNR56" s="223"/>
      <c r="WOA56" s="223"/>
      <c r="WOB56" s="223"/>
      <c r="WOK56" s="223"/>
      <c r="WOL56" s="223"/>
      <c r="WOU56" s="223"/>
      <c r="WOV56" s="223"/>
      <c r="WPE56" s="223"/>
      <c r="WPF56" s="223"/>
      <c r="WPO56" s="223"/>
      <c r="WPP56" s="223"/>
      <c r="WPY56" s="223"/>
      <c r="WPZ56" s="223"/>
      <c r="WQI56" s="223"/>
      <c r="WQJ56" s="223"/>
      <c r="WQS56" s="223"/>
      <c r="WQT56" s="223"/>
      <c r="WRC56" s="223"/>
      <c r="WRD56" s="223"/>
      <c r="WRM56" s="223"/>
      <c r="WRN56" s="223"/>
      <c r="WRW56" s="223"/>
      <c r="WRX56" s="223"/>
      <c r="WSG56" s="223"/>
      <c r="WSH56" s="223"/>
      <c r="WSQ56" s="223"/>
      <c r="WSR56" s="223"/>
      <c r="WTA56" s="223"/>
      <c r="WTB56" s="223"/>
      <c r="WTK56" s="223"/>
      <c r="WTL56" s="223"/>
      <c r="WTU56" s="223"/>
      <c r="WTV56" s="223"/>
      <c r="WUE56" s="223"/>
      <c r="WUF56" s="223"/>
      <c r="WUO56" s="223"/>
      <c r="WUP56" s="223"/>
      <c r="WUY56" s="223"/>
      <c r="WUZ56" s="223"/>
      <c r="WVI56" s="223"/>
      <c r="WVJ56" s="223"/>
      <c r="WVS56" s="223"/>
      <c r="WVT56" s="223"/>
      <c r="WWC56" s="223"/>
      <c r="WWD56" s="223"/>
      <c r="WWM56" s="223"/>
      <c r="WWN56" s="223"/>
      <c r="WWW56" s="223"/>
      <c r="WWX56" s="223"/>
      <c r="WXG56" s="223"/>
      <c r="WXH56" s="223"/>
      <c r="WXQ56" s="223"/>
      <c r="WXR56" s="223"/>
      <c r="WYA56" s="223"/>
      <c r="WYB56" s="223"/>
      <c r="WYK56" s="223"/>
      <c r="WYL56" s="223"/>
      <c r="WYU56" s="223"/>
      <c r="WYV56" s="223"/>
      <c r="WZE56" s="223"/>
      <c r="WZF56" s="223"/>
      <c r="WZO56" s="223"/>
      <c r="WZP56" s="223"/>
      <c r="WZY56" s="223"/>
      <c r="WZZ56" s="223"/>
      <c r="XAI56" s="223"/>
      <c r="XAJ56" s="223"/>
      <c r="XAS56" s="223"/>
      <c r="XAT56" s="223"/>
      <c r="XBC56" s="223"/>
      <c r="XBD56" s="223"/>
      <c r="XBM56" s="223"/>
      <c r="XBN56" s="223"/>
      <c r="XBW56" s="223"/>
      <c r="XBX56" s="223"/>
      <c r="XCG56" s="223"/>
      <c r="XCH56" s="223"/>
      <c r="XCQ56" s="223"/>
      <c r="XCR56" s="223"/>
      <c r="XDA56" s="223"/>
      <c r="XDB56" s="223"/>
      <c r="XDK56" s="223"/>
      <c r="XDL56" s="223"/>
      <c r="XDU56" s="223"/>
      <c r="XDV56" s="223"/>
      <c r="XEE56" s="223"/>
      <c r="XEF56" s="223"/>
      <c r="XEO56" s="223"/>
      <c r="XEP56" s="223"/>
      <c r="XEY56" s="223"/>
      <c r="XEZ56" s="223"/>
    </row>
    <row r="57" spans="1:1020 1029:2040 2049:3070 3079:4090 4099:5120 5129:6140 6149:7160 7169:8190 8199:9210 9219:10240 10249:11260 11269:12280 12289:13310 13319:14330 14339:15360 15369:16380" ht="48" customHeight="1" thickBot="1" x14ac:dyDescent="0.25">
      <c r="A57" s="1817" t="s">
        <v>185</v>
      </c>
      <c r="B57" s="1806" t="s">
        <v>140</v>
      </c>
      <c r="C57" s="1808" t="s">
        <v>186</v>
      </c>
      <c r="D57" s="1809"/>
      <c r="E57" s="1878" t="s">
        <v>600</v>
      </c>
      <c r="F57" s="1817" t="s">
        <v>540</v>
      </c>
      <c r="G57" s="1803" t="s">
        <v>189</v>
      </c>
      <c r="H57" s="1804"/>
      <c r="I57" s="1803" t="s">
        <v>190</v>
      </c>
      <c r="J57" s="1804"/>
      <c r="K57" s="1803" t="s">
        <v>191</v>
      </c>
      <c r="L57" s="1804"/>
      <c r="M57" s="1256" t="s">
        <v>192</v>
      </c>
    </row>
    <row r="58" spans="1:1020 1029:2040 2049:3070 3079:4090 4099:5120 5129:6140 6149:7160 7169:8190 8199:9210 9219:10240 10249:11260 11269:12280 12289:13310 13319:14330 14339:15360 15369:16380" ht="33" customHeight="1" thickBot="1" x14ac:dyDescent="0.25">
      <c r="A58" s="1818"/>
      <c r="B58" s="1807"/>
      <c r="C58" s="410" t="s">
        <v>193</v>
      </c>
      <c r="D58" s="410" t="s">
        <v>194</v>
      </c>
      <c r="E58" s="1879"/>
      <c r="F58" s="1818"/>
      <c r="G58" s="1018" t="s">
        <v>195</v>
      </c>
      <c r="H58" s="1018" t="s">
        <v>196</v>
      </c>
      <c r="I58" s="1018" t="s">
        <v>195</v>
      </c>
      <c r="J58" s="1018" t="s">
        <v>196</v>
      </c>
      <c r="K58" s="1018" t="s">
        <v>195</v>
      </c>
      <c r="L58" s="1018" t="s">
        <v>196</v>
      </c>
      <c r="M58" s="1257" t="s">
        <v>197</v>
      </c>
    </row>
    <row r="59" spans="1:1020 1029:2040 2049:3070 3079:4090 4099:5120 5129:6140 6149:7160 7169:8190 8199:9210 9219:10240 10249:11260 11269:12280 12289:13310 13319:14330 14339:15360 15369:16380" ht="27" customHeight="1" x14ac:dyDescent="0.2">
      <c r="A59" s="1019">
        <v>1</v>
      </c>
      <c r="B59" s="1020" t="str">
        <f>'DATOS &lt;'!F60</f>
        <v>1</v>
      </c>
      <c r="C59" s="1021" t="str">
        <f>'DATOS &lt;'!B60</f>
        <v>1 g</v>
      </c>
      <c r="D59" s="1059" t="e">
        <f>'1 g &lt;'!$F$75</f>
        <v>#N/A</v>
      </c>
      <c r="E59" s="1059">
        <f>'DATOS &lt;'!C93</f>
        <v>0.33</v>
      </c>
      <c r="F59" s="1022">
        <f>'DATOS &lt;'!D93</f>
        <v>1</v>
      </c>
      <c r="G59" s="1023" t="e">
        <f>'gramo Max-Min &lt; '!C12</f>
        <v>#N/A</v>
      </c>
      <c r="H59" s="1023" t="e">
        <f>'gramo Max-Min &lt; '!C12</f>
        <v>#N/A</v>
      </c>
      <c r="I59" s="1023" t="e">
        <f>'gramo Max-Min &lt; '!D12</f>
        <v>#N/A</v>
      </c>
      <c r="J59" s="1023" t="e">
        <f>'gramo Max-Min &lt; '!D11</f>
        <v>#N/A</v>
      </c>
      <c r="K59" s="1023" t="e">
        <f>'gramo Max-Min &lt; '!E12</f>
        <v>#N/A</v>
      </c>
      <c r="L59" s="1023" t="e">
        <f>'gramo Max-Min &lt; '!E11</f>
        <v>#N/A</v>
      </c>
      <c r="M59" s="1024" t="e">
        <f t="shared" ref="M59:M78" si="0">IF(ABS(D59)+E59&lt;=F59,"SI","NO")</f>
        <v>#N/A</v>
      </c>
    </row>
    <row r="60" spans="1:1020 1029:2040 2049:3070 3079:4090 4099:5120 5129:6140 6149:7160 7169:8190 8199:9210 9219:10240 10249:11260 11269:12280 12289:13310 13319:14330 14339:15360 15369:16380" ht="27" customHeight="1" x14ac:dyDescent="0.2">
      <c r="A60" s="1025">
        <v>2</v>
      </c>
      <c r="B60" s="1026" t="str">
        <f>'DATOS &lt;'!F61</f>
        <v>2</v>
      </c>
      <c r="C60" s="1027" t="str">
        <f>'DATOS &lt;'!B61</f>
        <v>2 g</v>
      </c>
      <c r="D60" s="1060" t="e">
        <f>'2 g &lt;'!$F$75</f>
        <v>#N/A</v>
      </c>
      <c r="E60" s="1060">
        <f>'DATOS &lt;'!C94</f>
        <v>0.4</v>
      </c>
      <c r="F60" s="1028">
        <f>'DATOS &lt;'!D94</f>
        <v>1.2</v>
      </c>
      <c r="G60" s="1029" t="e">
        <f>'gramo Max-Min &lt; '!C21</f>
        <v>#N/A</v>
      </c>
      <c r="H60" s="1029" t="e">
        <f>'gramo Max-Min &lt; '!C20</f>
        <v>#N/A</v>
      </c>
      <c r="I60" s="1029" t="e">
        <f>'gramo Max-Min &lt; '!D21</f>
        <v>#N/A</v>
      </c>
      <c r="J60" s="1029" t="e">
        <f>'gramo Max-Min &lt; '!D20</f>
        <v>#N/A</v>
      </c>
      <c r="K60" s="1029" t="e">
        <f>'gramo Max-Min &lt; '!E21</f>
        <v>#N/A</v>
      </c>
      <c r="L60" s="1029" t="e">
        <f>'gramo Max-Min &lt; '!E20</f>
        <v>#N/A</v>
      </c>
      <c r="M60" s="1030" t="e">
        <f t="shared" si="0"/>
        <v>#N/A</v>
      </c>
    </row>
    <row r="61" spans="1:1020 1029:2040 2049:3070 3079:4090 4099:5120 5129:6140 6149:7160 7169:8190 8199:9210 9219:10240 10249:11260 11269:12280 12289:13310 13319:14330 14339:15360 15369:16380" ht="27" customHeight="1" x14ac:dyDescent="0.2">
      <c r="A61" s="1025">
        <v>3</v>
      </c>
      <c r="B61" s="1026" t="str">
        <f>'DATOS &lt;'!F62</f>
        <v>2*</v>
      </c>
      <c r="C61" s="1027" t="str">
        <f>'DATOS &lt;'!B61</f>
        <v>2 g</v>
      </c>
      <c r="D61" s="1060" t="e">
        <f>'2 g + &lt;'!$F$75</f>
        <v>#N/A</v>
      </c>
      <c r="E61" s="1060">
        <f>'DATOS &lt;'!C95</f>
        <v>0.4</v>
      </c>
      <c r="F61" s="1028">
        <f>'DATOS &lt;'!D95</f>
        <v>1.2</v>
      </c>
      <c r="G61" s="1029" t="e">
        <f>'gramo Max-Min &lt; '!C30</f>
        <v>#N/A</v>
      </c>
      <c r="H61" s="1029" t="e">
        <f>'gramo Max-Min &lt; '!C29</f>
        <v>#N/A</v>
      </c>
      <c r="I61" s="1029" t="e">
        <f>'gramo Max-Min &lt; '!D30</f>
        <v>#N/A</v>
      </c>
      <c r="J61" s="1029" t="e">
        <f>'gramo Max-Min &lt; '!D29</f>
        <v>#N/A</v>
      </c>
      <c r="K61" s="1029" t="e">
        <f>'gramo Max-Min &lt; '!E30</f>
        <v>#N/A</v>
      </c>
      <c r="L61" s="1029" t="e">
        <f>'gramo Max-Min &lt; '!E29</f>
        <v>#N/A</v>
      </c>
      <c r="M61" s="1058" t="e">
        <f t="shared" si="0"/>
        <v>#N/A</v>
      </c>
    </row>
    <row r="62" spans="1:1020 1029:2040 2049:3070 3079:4090 4099:5120 5129:6140 6149:7160 7169:8190 8199:9210 9219:10240 10249:11260 11269:12280 12289:13310 13319:14330 14339:15360 15369:16380" ht="27" customHeight="1" x14ac:dyDescent="0.2">
      <c r="A62" s="1025">
        <v>4</v>
      </c>
      <c r="B62" s="1026" t="str">
        <f>'DATOS &lt;'!F63</f>
        <v>5 g</v>
      </c>
      <c r="C62" s="1027" t="str">
        <f>'DATOS &lt;'!B63</f>
        <v xml:space="preserve">5 g </v>
      </c>
      <c r="D62" s="1060" t="e">
        <f>'5 g &lt;'!$F$75</f>
        <v>#N/A</v>
      </c>
      <c r="E62" s="1060">
        <f>'DATOS &lt;'!C96</f>
        <v>0.53</v>
      </c>
      <c r="F62" s="1028">
        <f>'DATOS &lt;'!D96</f>
        <v>1.6</v>
      </c>
      <c r="G62" s="1029" t="e">
        <f>'gramo Max-Min &lt; '!C39</f>
        <v>#N/A</v>
      </c>
      <c r="H62" s="1029" t="e">
        <f>'gramo Max-Min &lt; '!C38</f>
        <v>#N/A</v>
      </c>
      <c r="I62" s="1029" t="e">
        <f>'gramo Max-Min &lt; '!D39</f>
        <v>#N/A</v>
      </c>
      <c r="J62" s="1029" t="e">
        <f>'gramo Max-Min &lt; '!D38</f>
        <v>#N/A</v>
      </c>
      <c r="K62" s="1029" t="e">
        <f>'gramo Max-Min &lt; '!E39</f>
        <v>#N/A</v>
      </c>
      <c r="L62" s="1029" t="e">
        <f>'gramo Max-Min &lt; '!E38</f>
        <v>#N/A</v>
      </c>
      <c r="M62" s="1058" t="e">
        <f t="shared" si="0"/>
        <v>#N/A</v>
      </c>
    </row>
    <row r="63" spans="1:1020 1029:2040 2049:3070 3079:4090 4099:5120 5129:6140 6149:7160 7169:8190 8199:9210 9219:10240 10249:11260 11269:12280 12289:13310 13319:14330 14339:15360 15369:16380" s="1031" customFormat="1" ht="27" customHeight="1" x14ac:dyDescent="0.2">
      <c r="A63" s="1025">
        <v>5</v>
      </c>
      <c r="B63" s="1026" t="str">
        <f>'DATOS &lt;'!F64</f>
        <v>10 g</v>
      </c>
      <c r="C63" s="1027" t="str">
        <f>'DATOS &lt;'!B64</f>
        <v>10 g</v>
      </c>
      <c r="D63" s="1060" t="e">
        <f>'10 g &lt;'!$F$75</f>
        <v>#N/A</v>
      </c>
      <c r="E63" s="1060">
        <f>'DATOS &lt;'!C97</f>
        <v>0.67</v>
      </c>
      <c r="F63" s="1028">
        <f>'DATOS &lt;'!D97</f>
        <v>2</v>
      </c>
      <c r="G63" s="1029" t="e">
        <f>'gramo Max-Min &lt; '!I12</f>
        <v>#N/A</v>
      </c>
      <c r="H63" s="1029" t="e">
        <f>'gramo Max-Min &lt; '!I11</f>
        <v>#N/A</v>
      </c>
      <c r="I63" s="1029" t="e">
        <f>'gramo Max-Min &lt; '!J12</f>
        <v>#N/A</v>
      </c>
      <c r="J63" s="1029" t="e">
        <f>'gramo Max-Min &lt; '!J11</f>
        <v>#N/A</v>
      </c>
      <c r="K63" s="1029" t="e">
        <f>'gramo Max-Min &lt; '!K12</f>
        <v>#N/A</v>
      </c>
      <c r="L63" s="1029" t="e">
        <f>'gramo Max-Min &lt; '!K11</f>
        <v>#N/A</v>
      </c>
      <c r="M63" s="1058" t="e">
        <f t="shared" si="0"/>
        <v>#N/A</v>
      </c>
      <c r="P63" s="969"/>
      <c r="Q63" s="969"/>
      <c r="R63" s="969"/>
      <c r="S63" s="969"/>
      <c r="T63" s="969"/>
    </row>
    <row r="64" spans="1:1020 1029:2040 2049:3070 3079:4090 4099:5120 5129:6140 6149:7160 7169:8190 8199:9210 9219:10240 10249:11260 11269:12280 12289:13310 13319:14330 14339:15360 15369:16380" ht="27" customHeight="1" x14ac:dyDescent="0.2">
      <c r="A64" s="1025">
        <v>6</v>
      </c>
      <c r="B64" s="1026" t="str">
        <f>'DATOS &lt;'!F65</f>
        <v>20 g</v>
      </c>
      <c r="C64" s="1027" t="str">
        <f>'DATOS &lt;'!B65</f>
        <v>20 g</v>
      </c>
      <c r="D64" s="1028" t="e">
        <f>'20 g &lt;'!$F$75</f>
        <v>#N/A</v>
      </c>
      <c r="E64" s="1060">
        <f>'DATOS &lt;'!C98</f>
        <v>0.83</v>
      </c>
      <c r="F64" s="1028">
        <f>'DATOS &lt;'!D98</f>
        <v>2.5</v>
      </c>
      <c r="G64" s="1029" t="e">
        <f>'gramo Max-Min &lt; '!I21</f>
        <v>#N/A</v>
      </c>
      <c r="H64" s="1029" t="e">
        <f>'gramo Max-Min &lt; '!I20</f>
        <v>#N/A</v>
      </c>
      <c r="I64" s="1029" t="e">
        <f>'gramo Max-Min &lt; '!J21</f>
        <v>#N/A</v>
      </c>
      <c r="J64" s="1029" t="e">
        <f>'gramo Max-Min &lt; '!J20</f>
        <v>#N/A</v>
      </c>
      <c r="K64" s="1029" t="e">
        <f>'gramo Max-Min &lt; '!K21</f>
        <v>#N/A</v>
      </c>
      <c r="L64" s="1029" t="e">
        <f>'gramo Max-Min &lt; '!K20</f>
        <v>#N/A</v>
      </c>
      <c r="M64" s="1058" t="e">
        <f t="shared" si="0"/>
        <v>#N/A</v>
      </c>
    </row>
    <row r="65" spans="1:13" ht="27" customHeight="1" x14ac:dyDescent="0.2">
      <c r="A65" s="1025">
        <v>7</v>
      </c>
      <c r="B65" s="1026" t="str">
        <f>'DATOS &lt;'!F66</f>
        <v xml:space="preserve">20 g* </v>
      </c>
      <c r="C65" s="1027" t="str">
        <f>'DATOS &lt;'!B65</f>
        <v>20 g</v>
      </c>
      <c r="D65" s="1028" t="e">
        <f>'20 g + &lt;'!F75</f>
        <v>#N/A</v>
      </c>
      <c r="E65" s="1060">
        <f>'DATOS &lt;'!C99</f>
        <v>0.83</v>
      </c>
      <c r="F65" s="1028">
        <f>'DATOS &lt;'!D99</f>
        <v>2.5</v>
      </c>
      <c r="G65" s="1029" t="e">
        <f>'gramo Max-Min &lt; '!I30</f>
        <v>#N/A</v>
      </c>
      <c r="H65" s="1029" t="e">
        <f>'gramo Max-Min &lt; '!I29</f>
        <v>#N/A</v>
      </c>
      <c r="I65" s="1029" t="e">
        <f>'gramo Max-Min &lt; '!J30</f>
        <v>#N/A</v>
      </c>
      <c r="J65" s="1029" t="e">
        <f>'gramo Max-Min &lt; '!J29</f>
        <v>#N/A</v>
      </c>
      <c r="K65" s="1029" t="e">
        <f>'gramo Max-Min &lt; '!K30</f>
        <v>#N/A</v>
      </c>
      <c r="L65" s="1029" t="e">
        <f>'gramo Max-Min &lt; '!K29</f>
        <v>#N/A</v>
      </c>
      <c r="M65" s="1058" t="e">
        <f t="shared" si="0"/>
        <v>#N/A</v>
      </c>
    </row>
    <row r="66" spans="1:13" ht="27" customHeight="1" x14ac:dyDescent="0.2">
      <c r="A66" s="1025">
        <v>8</v>
      </c>
      <c r="B66" s="1026" t="str">
        <f>'DATOS &lt;'!F67</f>
        <v>50 g</v>
      </c>
      <c r="C66" s="1027" t="str">
        <f>'DATOS &lt;'!B67</f>
        <v>50 g</v>
      </c>
      <c r="D66" s="1028" t="e">
        <f>'50 g &lt;'!$F$75</f>
        <v>#N/A</v>
      </c>
      <c r="E66" s="1028">
        <f>'DATOS &lt;'!C100</f>
        <v>1</v>
      </c>
      <c r="F66" s="1028">
        <f>'DATOS &lt;'!D100</f>
        <v>3</v>
      </c>
      <c r="G66" s="1029" t="e">
        <f>'gramo Max-Min &lt; '!I39</f>
        <v>#N/A</v>
      </c>
      <c r="H66" s="1029" t="e">
        <f>'gramo Max-Min &lt; '!I38</f>
        <v>#N/A</v>
      </c>
      <c r="I66" s="1029" t="e">
        <f>'gramo Max-Min &lt; '!J39</f>
        <v>#N/A</v>
      </c>
      <c r="J66" s="1029" t="e">
        <f>'gramo Max-Min &lt; '!J38</f>
        <v>#N/A</v>
      </c>
      <c r="K66" s="1029" t="e">
        <f>'gramo Max-Min &lt; '!K39</f>
        <v>#N/A</v>
      </c>
      <c r="L66" s="1029" t="e">
        <f>'gramo Max-Min &lt; '!K38</f>
        <v>#N/A</v>
      </c>
      <c r="M66" s="1058" t="e">
        <f t="shared" si="0"/>
        <v>#N/A</v>
      </c>
    </row>
    <row r="67" spans="1:13" ht="30" customHeight="1" x14ac:dyDescent="0.2">
      <c r="A67" s="1025">
        <v>9</v>
      </c>
      <c r="B67" s="1026" t="str">
        <f>'DATOS &lt;'!F68</f>
        <v>100 g M LMS R</v>
      </c>
      <c r="C67" s="1027" t="str">
        <f>'DATOS &lt;'!B68</f>
        <v>100 g</v>
      </c>
      <c r="D67" s="1028" t="e">
        <f>'100 g &lt;'!$F$75</f>
        <v>#N/A</v>
      </c>
      <c r="E67" s="1032">
        <f>'DATOS &lt;'!C101</f>
        <v>1.7</v>
      </c>
      <c r="F67" s="1028">
        <f>'DATOS &lt;'!D101</f>
        <v>5</v>
      </c>
      <c r="G67" s="1029" t="e">
        <f>'gramo Max-Min &lt; '!O12</f>
        <v>#N/A</v>
      </c>
      <c r="H67" s="1029" t="e">
        <f>'gramo Max-Min &lt; '!O11</f>
        <v>#N/A</v>
      </c>
      <c r="I67" s="1029" t="e">
        <f>'gramo Max-Min &lt; '!P12</f>
        <v>#N/A</v>
      </c>
      <c r="J67" s="1029" t="e">
        <f>'gramo Max-Min &lt; '!P11</f>
        <v>#N/A</v>
      </c>
      <c r="K67" s="1029" t="e">
        <f>'gramo Max-Min &lt; '!Q12</f>
        <v>#N/A</v>
      </c>
      <c r="L67" s="1029" t="e">
        <f>'gramo Max-Min &lt; '!Q11</f>
        <v>#N/A</v>
      </c>
      <c r="M67" s="1058" t="e">
        <f t="shared" si="0"/>
        <v>#N/A</v>
      </c>
    </row>
    <row r="68" spans="1:13" ht="30" customHeight="1" x14ac:dyDescent="0.2">
      <c r="A68" s="1025">
        <v>10</v>
      </c>
      <c r="B68" s="1026" t="str">
        <f>'DATOS &lt;'!F69</f>
        <v>200 g M LMS R</v>
      </c>
      <c r="C68" s="1027" t="str">
        <f>'DATOS &lt;'!B69</f>
        <v>200 g</v>
      </c>
      <c r="D68" s="1028" t="e">
        <f>'200 g &lt;'!$F$75</f>
        <v>#N/A</v>
      </c>
      <c r="E68" s="1032">
        <f>'DATOS &lt;'!C102</f>
        <v>3.3</v>
      </c>
      <c r="F68" s="1033">
        <f>'DATOS &lt;'!D102</f>
        <v>10</v>
      </c>
      <c r="G68" s="1029" t="e">
        <f>'gramo Max-Min &lt; '!O21</f>
        <v>#N/A</v>
      </c>
      <c r="H68" s="1029" t="e">
        <f>'gramo Max-Min &lt; '!O20</f>
        <v>#N/A</v>
      </c>
      <c r="I68" s="1029" t="e">
        <f>'gramo Max-Min &lt; '!P21</f>
        <v>#N/A</v>
      </c>
      <c r="J68" s="1029" t="e">
        <f>'gramo Max-Min &lt; '!P20</f>
        <v>#N/A</v>
      </c>
      <c r="K68" s="1029" t="e">
        <f>'gramo Max-Min &lt; '!Q21</f>
        <v>#N/A</v>
      </c>
      <c r="L68" s="1029" t="e">
        <f>'gramo Max-Min &lt; '!Q20</f>
        <v>#N/A</v>
      </c>
      <c r="M68" s="1058" t="e">
        <f t="shared" si="0"/>
        <v>#N/A</v>
      </c>
    </row>
    <row r="69" spans="1:13" ht="30" customHeight="1" x14ac:dyDescent="0.2">
      <c r="A69" s="1025">
        <v>11</v>
      </c>
      <c r="B69" s="1026" t="str">
        <f>'DATOS &lt;'!F70</f>
        <v>200 g* M LMS R</v>
      </c>
      <c r="C69" s="1027" t="str">
        <f>'DATOS &lt;'!B69</f>
        <v>200 g</v>
      </c>
      <c r="D69" s="1028" t="e">
        <f>'200 g + &lt;'!F75</f>
        <v>#N/A</v>
      </c>
      <c r="E69" s="1032">
        <f>'DATOS &lt;'!C103</f>
        <v>3.3</v>
      </c>
      <c r="F69" s="1033">
        <f>'DATOS &lt;'!D103</f>
        <v>10</v>
      </c>
      <c r="G69" s="1029" t="e">
        <f>'gramo Max-Min &lt; '!O30</f>
        <v>#N/A</v>
      </c>
      <c r="H69" s="1029" t="e">
        <f>'gramo Max-Min &lt; '!O29</f>
        <v>#N/A</v>
      </c>
      <c r="I69" s="1029" t="e">
        <f>'gramo Max-Min &lt; '!P30</f>
        <v>#N/A</v>
      </c>
      <c r="J69" s="1029" t="e">
        <f>'gramo Max-Min &lt; '!P29</f>
        <v>#N/A</v>
      </c>
      <c r="K69" s="1029" t="e">
        <f>'gramo Max-Min &lt; '!Q30</f>
        <v>#N/A</v>
      </c>
      <c r="L69" s="1029" t="e">
        <f>'gramo Max-Min &lt; '!Q29</f>
        <v>#N/A</v>
      </c>
      <c r="M69" s="1058" t="e">
        <f t="shared" si="0"/>
        <v>#N/A</v>
      </c>
    </row>
    <row r="70" spans="1:13" ht="30" customHeight="1" x14ac:dyDescent="0.2">
      <c r="A70" s="1025">
        <v>12</v>
      </c>
      <c r="B70" s="1026" t="str">
        <f>'DATOS &lt;'!F71</f>
        <v>500 g M LMS R</v>
      </c>
      <c r="C70" s="1027" t="str">
        <f>'DATOS &lt;'!B71</f>
        <v>500 g</v>
      </c>
      <c r="D70" s="1028" t="e">
        <f>'500 g &lt;'!$F$75</f>
        <v>#N/A</v>
      </c>
      <c r="E70" s="1032">
        <f>'DATOS &lt;'!C104</f>
        <v>8.3000000000000007</v>
      </c>
      <c r="F70" s="1033">
        <f>'DATOS &lt;'!D104</f>
        <v>25</v>
      </c>
      <c r="G70" s="1029" t="e">
        <f>'gramo Max-Min &lt; '!O39</f>
        <v>#N/A</v>
      </c>
      <c r="H70" s="1029" t="e">
        <f>'gramo Max-Min &lt; '!O38</f>
        <v>#N/A</v>
      </c>
      <c r="I70" s="1029" t="e">
        <f>'gramo Max-Min &lt; '!P39</f>
        <v>#N/A</v>
      </c>
      <c r="J70" s="1029" t="e">
        <f>'gramo Max-Min &lt; '!P38</f>
        <v>#N/A</v>
      </c>
      <c r="K70" s="1029" t="e">
        <f>'gramo Max-Min &lt; '!Q39</f>
        <v>#N/A</v>
      </c>
      <c r="L70" s="1029" t="e">
        <f>'gramo Max-Min &lt; '!Q38</f>
        <v>#N/A</v>
      </c>
      <c r="M70" s="1058" t="e">
        <f t="shared" si="0"/>
        <v>#N/A</v>
      </c>
    </row>
    <row r="71" spans="1:13" ht="30" customHeight="1" x14ac:dyDescent="0.2">
      <c r="A71" s="1025">
        <v>13</v>
      </c>
      <c r="B71" s="1026" t="str">
        <f>'DATOS &lt;'!F72</f>
        <v>1 kg M LMS R</v>
      </c>
      <c r="C71" s="1027" t="str">
        <f>'DATOS &lt;'!B72</f>
        <v>1 kg</v>
      </c>
      <c r="D71" s="1033" t="e">
        <f>'1 kg &lt;'!$F$75</f>
        <v>#N/A</v>
      </c>
      <c r="E71" s="1034">
        <f>'DATOS &lt;'!C105</f>
        <v>17</v>
      </c>
      <c r="F71" s="1033">
        <f>'DATOS &lt;'!D105</f>
        <v>50</v>
      </c>
      <c r="G71" s="1029" t="e">
        <f>'gramo Max-Min &lt; '!U12</f>
        <v>#N/A</v>
      </c>
      <c r="H71" s="1029" t="e">
        <f>'gramo Max-Min &lt; '!U11</f>
        <v>#N/A</v>
      </c>
      <c r="I71" s="1029" t="e">
        <f>'gramo Max-Min &lt; '!V12</f>
        <v>#N/A</v>
      </c>
      <c r="J71" s="1029" t="e">
        <f>'gramo Max-Min &lt; '!V11</f>
        <v>#N/A</v>
      </c>
      <c r="K71" s="1029" t="e">
        <f>'gramo Max-Min &lt; '!W12</f>
        <v>#N/A</v>
      </c>
      <c r="L71" s="1029" t="e">
        <f>'gramo Max-Min &lt; '!W11</f>
        <v>#N/A</v>
      </c>
      <c r="M71" s="1058" t="e">
        <f t="shared" si="0"/>
        <v>#N/A</v>
      </c>
    </row>
    <row r="72" spans="1:13" ht="30" customHeight="1" x14ac:dyDescent="0.2">
      <c r="A72" s="1025">
        <v>14</v>
      </c>
      <c r="B72" s="1026" t="str">
        <f>'DATOS &lt;'!F73</f>
        <v>2 kg M LMS R</v>
      </c>
      <c r="C72" s="1027" t="str">
        <f>'DATOS &lt;'!B73</f>
        <v>2 kg</v>
      </c>
      <c r="D72" s="1033" t="e">
        <f>'2 kg &lt;'!$F$75</f>
        <v>#N/A</v>
      </c>
      <c r="E72" s="1034">
        <f>'DATOS &lt;'!C106</f>
        <v>33</v>
      </c>
      <c r="F72" s="1033">
        <f>'DATOS &lt;'!D106</f>
        <v>100</v>
      </c>
      <c r="G72" s="1029" t="e">
        <f>'gramo Max-Min &lt; '!U21</f>
        <v>#N/A</v>
      </c>
      <c r="H72" s="1029" t="e">
        <f>'gramo Max-Min &lt; '!U20</f>
        <v>#N/A</v>
      </c>
      <c r="I72" s="1029" t="e">
        <f>'gramo Max-Min &lt; '!V21</f>
        <v>#N/A</v>
      </c>
      <c r="J72" s="1029" t="e">
        <f>'gramo Max-Min &lt; '!V20</f>
        <v>#N/A</v>
      </c>
      <c r="K72" s="1029" t="e">
        <f>'gramo Max-Min &lt; '!W21</f>
        <v>#N/A</v>
      </c>
      <c r="L72" s="1029" t="e">
        <f>'gramo Max-Min &lt; '!W20</f>
        <v>#N/A</v>
      </c>
      <c r="M72" s="1058" t="e">
        <f t="shared" si="0"/>
        <v>#N/A</v>
      </c>
    </row>
    <row r="73" spans="1:13" ht="30" customHeight="1" x14ac:dyDescent="0.2">
      <c r="A73" s="1025">
        <v>15</v>
      </c>
      <c r="B73" s="1026" t="str">
        <f>'DATOS &lt;'!F74</f>
        <v>2 kg* M LMS R</v>
      </c>
      <c r="C73" s="1027" t="str">
        <f>'DATOS &lt;'!B73</f>
        <v>2 kg</v>
      </c>
      <c r="D73" s="1033" t="e">
        <f>'2 kg + &lt;'!$F$75</f>
        <v>#N/A</v>
      </c>
      <c r="E73" s="1034">
        <f>'DATOS &lt;'!C107</f>
        <v>33</v>
      </c>
      <c r="F73" s="1033">
        <f>'DATOS &lt;'!D107</f>
        <v>100</v>
      </c>
      <c r="G73" s="1029" t="e">
        <f>'gramo Max-Min &lt; '!U30</f>
        <v>#N/A</v>
      </c>
      <c r="H73" s="1029" t="e">
        <f>'gramo Max-Min &lt; '!U29</f>
        <v>#N/A</v>
      </c>
      <c r="I73" s="1029" t="e">
        <f>'gramo Max-Min &lt; '!V30</f>
        <v>#N/A</v>
      </c>
      <c r="J73" s="1029" t="e">
        <f>'gramo Max-Min &lt; '!V29</f>
        <v>#N/A</v>
      </c>
      <c r="K73" s="1029" t="e">
        <f>'gramo Max-Min &lt; '!W30</f>
        <v>#N/A</v>
      </c>
      <c r="L73" s="1029" t="e">
        <f>'gramo Max-Min &lt; '!W29</f>
        <v>#N/A</v>
      </c>
      <c r="M73" s="1058" t="e">
        <f t="shared" si="0"/>
        <v>#N/A</v>
      </c>
    </row>
    <row r="74" spans="1:13" ht="30" customHeight="1" x14ac:dyDescent="0.2">
      <c r="A74" s="1025">
        <v>16</v>
      </c>
      <c r="B74" s="1026" t="str">
        <f>'DATOS &lt;'!F75</f>
        <v>5 kg M LMS R</v>
      </c>
      <c r="C74" s="1027" t="str">
        <f>'DATOS &lt;'!B75</f>
        <v>5 kg</v>
      </c>
      <c r="D74" s="1033" t="e">
        <f>'5 kg &lt;'!$F$75</f>
        <v>#N/A</v>
      </c>
      <c r="E74" s="1034">
        <f>'DATOS &lt;'!C108</f>
        <v>83</v>
      </c>
      <c r="F74" s="1033">
        <f>'DATOS &lt;'!D108</f>
        <v>250</v>
      </c>
      <c r="G74" s="1029" t="e">
        <f>'gramo Max-Min &lt; '!U39</f>
        <v>#N/A</v>
      </c>
      <c r="H74" s="1029" t="e">
        <f>'gramo Max-Min &lt; '!U38</f>
        <v>#N/A</v>
      </c>
      <c r="I74" s="1029" t="e">
        <f>'gramo Max-Min &lt; '!V39</f>
        <v>#N/A</v>
      </c>
      <c r="J74" s="1029" t="e">
        <f>'gramo Max-Min &lt; '!V38</f>
        <v>#N/A</v>
      </c>
      <c r="K74" s="1029" t="e">
        <f>'gramo Max-Min &lt; '!W39</f>
        <v>#N/A</v>
      </c>
      <c r="L74" s="1029" t="e">
        <f>'gramo Max-Min &lt; '!W38</f>
        <v>#N/A</v>
      </c>
      <c r="M74" s="1030" t="e">
        <f t="shared" si="0"/>
        <v>#N/A</v>
      </c>
    </row>
    <row r="75" spans="1:13" ht="30" customHeight="1" x14ac:dyDescent="0.2">
      <c r="A75" s="1025">
        <v>17</v>
      </c>
      <c r="B75" s="1026" t="str">
        <f>'DATOS &lt;'!F76</f>
        <v>10 kg M LMS &amp;</v>
      </c>
      <c r="C75" s="1027" t="str">
        <f>'DATOS &lt;'!B76</f>
        <v>10 kg</v>
      </c>
      <c r="D75" s="1035" t="e">
        <f>'10 kg &lt;'!$F$76</f>
        <v>#N/A</v>
      </c>
      <c r="E75" s="1036">
        <f>'DATOS &lt;'!C109</f>
        <v>0.17</v>
      </c>
      <c r="F75" s="1035">
        <f>'DATOS &lt;'!D109</f>
        <v>0.5</v>
      </c>
      <c r="G75" s="1029" t="e">
        <f>'gramo Max-Min &lt; '!AA12</f>
        <v>#N/A</v>
      </c>
      <c r="H75" s="1029" t="e">
        <f>'gramo Max-Min &lt; '!AA11</f>
        <v>#N/A</v>
      </c>
      <c r="I75" s="1029" t="e">
        <f>'gramo Max-Min &lt; '!AB12</f>
        <v>#N/A</v>
      </c>
      <c r="J75" s="1029" t="e">
        <f>'gramo Max-Min &lt; '!AB11</f>
        <v>#N/A</v>
      </c>
      <c r="K75" s="1029" t="e">
        <f>'gramo Max-Min &lt; '!AC12</f>
        <v>#N/A</v>
      </c>
      <c r="L75" s="1029" t="e">
        <f>'gramo Max-Min &lt; '!AC11</f>
        <v>#N/A</v>
      </c>
      <c r="M75" s="1030" t="e">
        <f t="shared" si="0"/>
        <v>#N/A</v>
      </c>
    </row>
    <row r="76" spans="1:13" ht="27" hidden="1" customHeight="1" x14ac:dyDescent="0.2">
      <c r="A76" s="1025">
        <v>18</v>
      </c>
      <c r="B76" s="1026" t="str">
        <f>'DATOS &lt;'!F77</f>
        <v>5 kg Pex</v>
      </c>
      <c r="C76" s="1037" t="str">
        <f>'DATOS &lt;'!B75</f>
        <v>5 kg</v>
      </c>
      <c r="D76" s="1038" t="e">
        <f>'5 kg &lt; (C)'!$F$75</f>
        <v>#N/A</v>
      </c>
      <c r="E76" s="1039">
        <f>'DATOS &lt;'!C108</f>
        <v>83</v>
      </c>
      <c r="F76" s="1038">
        <f>'DATOS &lt;'!D108</f>
        <v>250</v>
      </c>
      <c r="G76" s="1029" t="e">
        <f>'gramo Max-Min &lt; '!AA21</f>
        <v>#N/A</v>
      </c>
      <c r="H76" s="1029" t="e">
        <f>'gramo Max-Min &lt; '!AA20</f>
        <v>#N/A</v>
      </c>
      <c r="I76" s="1029" t="e">
        <f>'gramo Max-Min &lt; '!AB21</f>
        <v>#N/A</v>
      </c>
      <c r="J76" s="1029" t="e">
        <f>'gramo Max-Min &lt; '!AB20</f>
        <v>#N/A</v>
      </c>
      <c r="K76" s="1029" t="e">
        <f>'gramo Max-Min &lt; '!AC21</f>
        <v>#N/A</v>
      </c>
      <c r="L76" s="1029" t="e">
        <f>'gramo Max-Min &lt; '!AC20</f>
        <v>#N/A</v>
      </c>
      <c r="M76" s="1030" t="e">
        <f t="shared" si="0"/>
        <v>#N/A</v>
      </c>
    </row>
    <row r="77" spans="1:13" ht="27" hidden="1" customHeight="1" x14ac:dyDescent="0.2">
      <c r="A77" s="1025">
        <v>19</v>
      </c>
      <c r="B77" s="1026" t="str">
        <f>'DATOS &lt;'!F78</f>
        <v>10 kg Pex</v>
      </c>
      <c r="C77" s="1040" t="str">
        <f>'DATOS &lt;'!B76</f>
        <v>10 kg</v>
      </c>
      <c r="D77" s="1041" t="e">
        <f>'10 kg &lt; (C)'!$F$76</f>
        <v>#N/A</v>
      </c>
      <c r="E77" s="1042">
        <f>'DATOS &lt;'!C109</f>
        <v>0.17</v>
      </c>
      <c r="F77" s="1041">
        <f>'DATOS &lt;'!D109</f>
        <v>0.5</v>
      </c>
      <c r="G77" s="1029" t="e">
        <f>'gramo Max-Min &lt; '!AA30</f>
        <v>#N/A</v>
      </c>
      <c r="H77" s="1029" t="e">
        <f>'gramo Max-Min &lt; '!AA29</f>
        <v>#N/A</v>
      </c>
      <c r="I77" s="1029" t="e">
        <f>'gramo Max-Min &lt; '!AB30</f>
        <v>#N/A</v>
      </c>
      <c r="J77" s="1029" t="e">
        <f>'gramo Max-Min &lt; '!AB29</f>
        <v>#N/A</v>
      </c>
      <c r="K77" s="1029" t="e">
        <f>'gramo Max-Min &lt; '!AC30</f>
        <v>#N/A</v>
      </c>
      <c r="L77" s="1029" t="e">
        <f>'gramo Max-Min &lt; '!AC29</f>
        <v>#N/A</v>
      </c>
      <c r="M77" s="1030" t="e">
        <f t="shared" si="0"/>
        <v>#N/A</v>
      </c>
    </row>
    <row r="78" spans="1:13" ht="27" hidden="1" customHeight="1" thickBot="1" x14ac:dyDescent="0.25">
      <c r="A78" s="1043">
        <v>20</v>
      </c>
      <c r="B78" s="1044" t="str">
        <f>'DATOS &lt;'!F79</f>
        <v>20 kg Pex</v>
      </c>
      <c r="C78" s="1045" t="str">
        <f>'DATOS &lt;'!B110</f>
        <v>20 kg</v>
      </c>
      <c r="D78" s="1046" t="e">
        <f>'20 kg &lt; (C)'!$G$76</f>
        <v>#N/A</v>
      </c>
      <c r="E78" s="1047">
        <f>'DATOS &lt;'!C110</f>
        <v>0.33</v>
      </c>
      <c r="F78" s="1048">
        <f>'DATOS &lt;'!D110</f>
        <v>1</v>
      </c>
      <c r="G78" s="1049" t="e">
        <f>'gramo Max-Min &lt; '!AA39</f>
        <v>#N/A</v>
      </c>
      <c r="H78" s="1049" t="e">
        <f>'gramo Max-Min &lt; '!AA38</f>
        <v>#N/A</v>
      </c>
      <c r="I78" s="1049" t="e">
        <f>'gramo Max-Min &lt; '!AB39</f>
        <v>#N/A</v>
      </c>
      <c r="J78" s="1049" t="e">
        <f>'gramo Max-Min &lt; '!AB38</f>
        <v>#N/A</v>
      </c>
      <c r="K78" s="1049" t="e">
        <f>'gramo Max-Min &lt; '!AC39</f>
        <v>#N/A</v>
      </c>
      <c r="L78" s="1049" t="e">
        <f>'gramo Max-Min &lt; '!AC38</f>
        <v>#N/A</v>
      </c>
      <c r="M78" s="1050" t="e">
        <f t="shared" si="0"/>
        <v>#N/A</v>
      </c>
    </row>
    <row r="79" spans="1:13" ht="20.100000000000001" customHeight="1" x14ac:dyDescent="0.2">
      <c r="A79" s="1051"/>
      <c r="B79" s="1051"/>
      <c r="C79" s="1051"/>
      <c r="D79" s="1051"/>
      <c r="E79" s="1051"/>
      <c r="F79" s="1051"/>
      <c r="G79" s="1052"/>
      <c r="H79" s="1052"/>
      <c r="I79" s="1052"/>
      <c r="J79" s="1053"/>
    </row>
    <row r="80" spans="1:13" ht="47.1" customHeight="1" x14ac:dyDescent="0.2">
      <c r="A80" s="1805" t="s">
        <v>598</v>
      </c>
      <c r="B80" s="1805"/>
      <c r="C80" s="1805"/>
      <c r="D80" s="1805"/>
      <c r="E80" s="1805"/>
      <c r="F80" s="1805"/>
      <c r="G80" s="1805"/>
      <c r="H80" s="1805"/>
      <c r="I80" s="1805"/>
      <c r="J80" s="1805"/>
      <c r="K80" s="1805"/>
      <c r="L80" s="1805"/>
      <c r="M80" s="1805"/>
    </row>
    <row r="81" spans="1:20" ht="20.100000000000001" customHeight="1" x14ac:dyDescent="0.2">
      <c r="A81" s="1054"/>
      <c r="B81" s="1054"/>
      <c r="C81" s="1054"/>
      <c r="D81" s="1054"/>
      <c r="E81" s="1054"/>
      <c r="F81" s="1054"/>
      <c r="G81" s="1054"/>
      <c r="H81" s="1054"/>
      <c r="I81" s="1054"/>
      <c r="J81" s="1054"/>
    </row>
    <row r="82" spans="1:20" ht="8.25" customHeight="1" x14ac:dyDescent="0.2">
      <c r="A82" s="1054"/>
      <c r="B82" s="1054"/>
      <c r="C82" s="1054"/>
      <c r="D82" s="1054"/>
      <c r="E82" s="1054"/>
      <c r="F82" s="1054"/>
      <c r="G82" s="1054"/>
      <c r="H82" s="1054"/>
      <c r="I82" s="1054"/>
      <c r="J82" s="1054"/>
    </row>
    <row r="83" spans="1:20" ht="12.75" customHeight="1" x14ac:dyDescent="0.2">
      <c r="A83" s="1055"/>
      <c r="B83" s="1055"/>
      <c r="C83" s="1055"/>
      <c r="D83" s="1055"/>
      <c r="E83" s="1055"/>
      <c r="F83" s="1055"/>
      <c r="G83" s="1055"/>
      <c r="H83" s="1055"/>
      <c r="I83" s="1055"/>
      <c r="J83" s="1055"/>
    </row>
    <row r="84" spans="1:20" ht="125.1" customHeight="1" x14ac:dyDescent="0.2">
      <c r="A84" s="1055"/>
      <c r="B84" s="1055"/>
      <c r="C84" s="1055"/>
      <c r="D84" s="1055"/>
      <c r="E84" s="1055"/>
      <c r="F84" s="1055"/>
      <c r="G84" s="1055"/>
      <c r="H84" s="1055"/>
      <c r="I84" s="1055"/>
      <c r="J84" s="1055"/>
    </row>
    <row r="85" spans="1:20" ht="35.1" customHeight="1" x14ac:dyDescent="0.2">
      <c r="A85" s="1055"/>
      <c r="B85" s="1055"/>
      <c r="C85" s="1055"/>
      <c r="D85" s="1055"/>
      <c r="E85" s="1055"/>
      <c r="F85" s="1055"/>
      <c r="G85" s="1055"/>
      <c r="H85" s="1055"/>
      <c r="I85" s="1055"/>
      <c r="J85" s="1055"/>
    </row>
    <row r="86" spans="1:20" ht="65.099999999999994" customHeight="1" x14ac:dyDescent="0.2">
      <c r="A86" s="1055"/>
      <c r="B86" s="1055"/>
      <c r="C86" s="1055"/>
      <c r="D86" s="1055"/>
      <c r="E86" s="1055"/>
      <c r="F86" s="1055"/>
      <c r="G86" s="1055"/>
      <c r="H86" s="1055"/>
      <c r="I86" s="1055"/>
      <c r="J86" s="1055"/>
    </row>
    <row r="87" spans="1:20" ht="23.1" customHeight="1" x14ac:dyDescent="0.2">
      <c r="A87" s="1816" t="s">
        <v>198</v>
      </c>
      <c r="B87" s="1816"/>
      <c r="C87" s="1816"/>
      <c r="D87" s="1816"/>
    </row>
    <row r="88" spans="1:20" ht="20.100000000000001" customHeight="1" x14ac:dyDescent="0.2"/>
    <row r="89" spans="1:20" s="1056" customFormat="1" ht="33" customHeight="1" x14ac:dyDescent="0.2">
      <c r="A89" s="1295" t="s">
        <v>199</v>
      </c>
      <c r="B89" s="1799" t="s">
        <v>200</v>
      </c>
      <c r="C89" s="1799"/>
      <c r="D89" s="1799"/>
      <c r="E89" s="1799"/>
      <c r="F89" s="1799"/>
      <c r="G89" s="1799"/>
      <c r="H89" s="1799"/>
      <c r="I89" s="1799"/>
      <c r="J89" s="1799"/>
      <c r="K89" s="1799"/>
      <c r="L89" s="1799"/>
      <c r="M89" s="1799"/>
      <c r="P89" s="969"/>
      <c r="Q89" s="969"/>
      <c r="R89" s="969"/>
      <c r="S89" s="969"/>
      <c r="T89" s="969"/>
    </row>
    <row r="90" spans="1:20" s="1056" customFormat="1" ht="23.1" customHeight="1" x14ac:dyDescent="0.2">
      <c r="A90" s="1295" t="s">
        <v>199</v>
      </c>
      <c r="B90" s="1799" t="s">
        <v>201</v>
      </c>
      <c r="C90" s="1799"/>
      <c r="D90" s="1799"/>
      <c r="E90" s="1799"/>
      <c r="F90" s="1799"/>
      <c r="G90" s="1799"/>
      <c r="H90" s="1799"/>
      <c r="I90" s="1799"/>
      <c r="J90" s="1799"/>
      <c r="K90" s="1799"/>
      <c r="L90" s="1799"/>
      <c r="M90" s="1799"/>
      <c r="P90" s="969"/>
      <c r="Q90" s="969"/>
      <c r="R90" s="969"/>
      <c r="S90" s="969"/>
      <c r="T90" s="969"/>
    </row>
    <row r="91" spans="1:20" s="1056" customFormat="1" ht="33" customHeight="1" x14ac:dyDescent="0.2">
      <c r="A91" s="1295" t="s">
        <v>199</v>
      </c>
      <c r="B91" s="1799" t="s">
        <v>202</v>
      </c>
      <c r="C91" s="1799"/>
      <c r="D91" s="1799"/>
      <c r="E91" s="1799"/>
      <c r="F91" s="1799"/>
      <c r="G91" s="1799"/>
      <c r="H91" s="1799"/>
      <c r="I91" s="1799"/>
      <c r="J91" s="1799"/>
      <c r="K91" s="1799"/>
      <c r="L91" s="1799"/>
      <c r="M91" s="1799"/>
      <c r="P91" s="969"/>
      <c r="Q91" s="969"/>
      <c r="R91" s="969"/>
      <c r="S91" s="969"/>
      <c r="T91" s="969"/>
    </row>
    <row r="92" spans="1:20" s="1056" customFormat="1" ht="23.1" customHeight="1" x14ac:dyDescent="0.25">
      <c r="A92" s="1295" t="s">
        <v>199</v>
      </c>
      <c r="B92" s="1877" t="s">
        <v>203</v>
      </c>
      <c r="C92" s="1877"/>
      <c r="D92" s="1877"/>
      <c r="E92" s="1877"/>
      <c r="F92" s="1877"/>
      <c r="G92" s="1877"/>
      <c r="H92" s="1877"/>
      <c r="I92" s="1877"/>
      <c r="J92" s="1877"/>
      <c r="K92" s="1877"/>
      <c r="L92" s="1877"/>
      <c r="M92" s="1877"/>
    </row>
    <row r="93" spans="1:20" s="1056" customFormat="1" ht="23.1" customHeight="1" x14ac:dyDescent="0.25">
      <c r="A93" s="1295" t="s">
        <v>199</v>
      </c>
      <c r="B93" s="1799" t="s">
        <v>204</v>
      </c>
      <c r="C93" s="1799"/>
      <c r="D93" s="1799"/>
      <c r="E93" s="1799"/>
      <c r="F93" s="1799"/>
      <c r="G93" s="1799"/>
      <c r="H93" s="1799"/>
      <c r="I93" s="1799"/>
      <c r="J93" s="1799"/>
      <c r="K93" s="1799"/>
      <c r="L93" s="1799"/>
      <c r="M93" s="1799"/>
    </row>
    <row r="94" spans="1:20" s="1056" customFormat="1" ht="33" customHeight="1" x14ac:dyDescent="0.25">
      <c r="A94" s="1295" t="s">
        <v>199</v>
      </c>
      <c r="B94" s="1799" t="s">
        <v>205</v>
      </c>
      <c r="C94" s="1799"/>
      <c r="D94" s="1799"/>
      <c r="E94" s="1799"/>
      <c r="F94" s="1799"/>
      <c r="G94" s="1799"/>
      <c r="H94" s="1799"/>
      <c r="I94" s="1799"/>
      <c r="J94" s="1799"/>
      <c r="K94" s="1799"/>
      <c r="L94" s="1799"/>
      <c r="M94" s="1799"/>
    </row>
    <row r="95" spans="1:20" s="1056" customFormat="1" ht="23.1" customHeight="1" x14ac:dyDescent="0.25">
      <c r="A95" s="1295" t="s">
        <v>199</v>
      </c>
      <c r="B95" s="1799" t="s">
        <v>206</v>
      </c>
      <c r="C95" s="1799"/>
      <c r="D95" s="1799"/>
      <c r="E95" s="1799"/>
      <c r="F95" s="1799"/>
      <c r="G95" s="1799"/>
      <c r="H95" s="1799"/>
      <c r="I95" s="1799"/>
      <c r="J95" s="1799"/>
      <c r="K95" s="1799"/>
      <c r="L95" s="1799"/>
      <c r="M95" s="1799"/>
    </row>
    <row r="96" spans="1:20" s="1056" customFormat="1" ht="23.1" customHeight="1" x14ac:dyDescent="0.25">
      <c r="A96" s="1295" t="s">
        <v>199</v>
      </c>
      <c r="B96" s="1799" t="s">
        <v>568</v>
      </c>
      <c r="C96" s="1799"/>
      <c r="D96" s="1799"/>
      <c r="E96" s="1799"/>
      <c r="F96" s="1799"/>
      <c r="G96" s="1799"/>
      <c r="H96" s="1799"/>
      <c r="I96" s="1799"/>
      <c r="J96" s="1799"/>
      <c r="K96" s="1799"/>
      <c r="L96" s="1799"/>
      <c r="M96" s="1799"/>
    </row>
    <row r="97" spans="1:13" ht="23.1" customHeight="1" x14ac:dyDescent="0.2">
      <c r="A97" s="1295" t="s">
        <v>199</v>
      </c>
      <c r="B97" s="1799" t="s">
        <v>207</v>
      </c>
      <c r="C97" s="1799"/>
      <c r="D97" s="1799"/>
      <c r="E97" s="1799"/>
      <c r="F97" s="1799"/>
      <c r="G97" s="1799"/>
      <c r="H97" s="1799"/>
      <c r="I97" s="1799"/>
      <c r="J97" s="1799"/>
      <c r="K97" s="1799"/>
      <c r="L97" s="1799"/>
      <c r="M97" s="1799"/>
    </row>
    <row r="98" spans="1:13" ht="23.1" customHeight="1" x14ac:dyDescent="0.2">
      <c r="A98" s="1295" t="s">
        <v>199</v>
      </c>
      <c r="B98" s="1799" t="s">
        <v>599</v>
      </c>
      <c r="C98" s="1799"/>
      <c r="D98" s="1799"/>
      <c r="E98" s="1799"/>
      <c r="F98" s="1799"/>
      <c r="G98" s="1799"/>
      <c r="H98" s="1799"/>
      <c r="I98" s="1799"/>
      <c r="J98" s="1799"/>
      <c r="K98" s="1799"/>
      <c r="L98" s="1799"/>
      <c r="M98" s="1799"/>
    </row>
    <row r="99" spans="1:13" ht="33" customHeight="1" x14ac:dyDescent="0.2">
      <c r="A99" s="1295" t="s">
        <v>199</v>
      </c>
      <c r="B99" s="1799" t="s">
        <v>208</v>
      </c>
      <c r="C99" s="1799"/>
      <c r="D99" s="1799"/>
      <c r="E99" s="1799"/>
      <c r="F99" s="1799"/>
      <c r="G99" s="1799"/>
      <c r="H99" s="1799"/>
      <c r="I99" s="1799"/>
      <c r="J99" s="1799"/>
      <c r="K99" s="1799"/>
      <c r="L99" s="1799"/>
      <c r="M99" s="1799"/>
    </row>
    <row r="100" spans="1:13" ht="20.100000000000001" customHeight="1" x14ac:dyDescent="0.2">
      <c r="A100" s="228"/>
      <c r="B100" s="1882"/>
      <c r="C100" s="1882"/>
      <c r="D100" s="1882"/>
      <c r="E100" s="1882"/>
      <c r="F100" s="1882"/>
      <c r="G100" s="1882"/>
      <c r="H100" s="1882"/>
      <c r="I100" s="1882"/>
      <c r="J100" s="1882"/>
    </row>
    <row r="101" spans="1:13" ht="20.100000000000001" customHeight="1" x14ac:dyDescent="0.2"/>
    <row r="102" spans="1:13" ht="23.1" customHeight="1" x14ac:dyDescent="0.25">
      <c r="A102" s="1800"/>
      <c r="B102" s="1800"/>
      <c r="C102" s="1800"/>
      <c r="E102" s="229"/>
    </row>
    <row r="103" spans="1:13" ht="20.100000000000001" customHeight="1" x14ac:dyDescent="0.2"/>
    <row r="104" spans="1:13" ht="20.100000000000001" customHeight="1" x14ac:dyDescent="0.2">
      <c r="G104" s="1057"/>
      <c r="J104" s="1003"/>
    </row>
    <row r="105" spans="1:13" ht="23.1" customHeight="1" thickBot="1" x14ac:dyDescent="0.3">
      <c r="A105" s="229"/>
      <c r="B105" s="1861"/>
      <c r="C105" s="1861"/>
      <c r="D105" s="1861"/>
      <c r="E105" s="1861"/>
      <c r="F105" s="1239"/>
      <c r="H105" s="1861"/>
      <c r="I105" s="1861"/>
      <c r="J105" s="1861"/>
      <c r="K105" s="1861"/>
      <c r="L105" s="1861"/>
      <c r="M105" s="1239"/>
    </row>
    <row r="106" spans="1:13" ht="23.1" customHeight="1" x14ac:dyDescent="0.2">
      <c r="B106" s="1801" t="s">
        <v>209</v>
      </c>
      <c r="C106" s="1801"/>
      <c r="D106" s="1801"/>
      <c r="E106" s="1801"/>
      <c r="F106" s="968"/>
      <c r="H106" s="1801" t="e">
        <f>VLOOKUP($M$105,'DATOS &lt;'!B131:G135,6,FALSE)</f>
        <v>#N/A</v>
      </c>
      <c r="I106" s="1801"/>
      <c r="J106" s="1801"/>
      <c r="K106" s="1801"/>
      <c r="L106" s="1801"/>
    </row>
    <row r="107" spans="1:13" ht="30" customHeight="1" x14ac:dyDescent="0.25">
      <c r="A107" s="229"/>
      <c r="B107" s="1802" t="e">
        <f>VLOOKUP($F$105,'DATOS &lt;'!$B$131:$E$135,4,FALSE)</f>
        <v>#N/A</v>
      </c>
      <c r="C107" s="1802"/>
      <c r="D107" s="1802"/>
      <c r="E107" s="1802"/>
      <c r="F107" s="276"/>
      <c r="H107" s="1802"/>
      <c r="I107" s="1802"/>
      <c r="J107" s="1802"/>
      <c r="K107" s="1802"/>
      <c r="L107" s="1802"/>
    </row>
    <row r="108" spans="1:13" ht="23.1" customHeight="1" x14ac:dyDescent="0.2">
      <c r="B108" s="1802" t="e">
        <f>VLOOKUP($F$105,'DATOS &lt;'!$B$131:$E$135,2,FALSE)</f>
        <v>#N/A</v>
      </c>
      <c r="C108" s="1802"/>
      <c r="D108" s="1802"/>
      <c r="E108" s="1802"/>
      <c r="F108" s="968"/>
      <c r="H108" s="1802" t="e">
        <f>VLOOKUP($M$105,'DATOS &lt;'!$B$131:$G$135,2,FALSE)</f>
        <v>#N/A</v>
      </c>
      <c r="I108" s="1802"/>
      <c r="J108" s="1802"/>
      <c r="K108" s="1802"/>
      <c r="L108" s="1802"/>
    </row>
    <row r="109" spans="1:13" x14ac:dyDescent="0.2">
      <c r="J109" s="1003"/>
    </row>
    <row r="110" spans="1:13" ht="23.1" customHeight="1" x14ac:dyDescent="0.2">
      <c r="B110" s="1860" t="s">
        <v>211</v>
      </c>
      <c r="C110" s="1860"/>
      <c r="D110" s="1858"/>
      <c r="E110" s="1858"/>
      <c r="F110" s="1002"/>
      <c r="G110" s="968"/>
      <c r="H110" s="1860" t="s">
        <v>212</v>
      </c>
      <c r="I110" s="1860"/>
      <c r="J110" s="1860"/>
      <c r="K110" s="1858"/>
      <c r="L110" s="1858"/>
    </row>
    <row r="111" spans="1:13" x14ac:dyDescent="0.2">
      <c r="J111" s="1003"/>
    </row>
    <row r="112" spans="1:13" ht="23.1" customHeight="1" x14ac:dyDescent="0.25">
      <c r="A112" s="1800" t="s">
        <v>213</v>
      </c>
      <c r="B112" s="1800"/>
      <c r="C112" s="1800"/>
      <c r="D112" s="1800"/>
      <c r="E112" s="1800"/>
      <c r="F112" s="1800"/>
      <c r="G112" s="1800"/>
      <c r="H112" s="1800"/>
      <c r="I112" s="1800"/>
      <c r="J112" s="1800"/>
      <c r="K112" s="1800"/>
      <c r="L112" s="1800"/>
      <c r="M112" s="1800"/>
    </row>
  </sheetData>
  <sheetProtection password="CF7A" sheet="1" objects="1" scenarios="1"/>
  <mergeCells count="101">
    <mergeCell ref="A112:M112"/>
    <mergeCell ref="B106:E106"/>
    <mergeCell ref="H106:L107"/>
    <mergeCell ref="B107:E107"/>
    <mergeCell ref="B108:E108"/>
    <mergeCell ref="H108:L108"/>
    <mergeCell ref="B110:C110"/>
    <mergeCell ref="D110:E110"/>
    <mergeCell ref="H110:J110"/>
    <mergeCell ref="K110:L110"/>
    <mergeCell ref="B98:M98"/>
    <mergeCell ref="B99:M99"/>
    <mergeCell ref="B100:J100"/>
    <mergeCell ref="A102:C102"/>
    <mergeCell ref="B105:E105"/>
    <mergeCell ref="H105:L105"/>
    <mergeCell ref="B92:M92"/>
    <mergeCell ref="B93:M93"/>
    <mergeCell ref="B94:M94"/>
    <mergeCell ref="B95:M95"/>
    <mergeCell ref="B96:M96"/>
    <mergeCell ref="B97:M97"/>
    <mergeCell ref="K57:L57"/>
    <mergeCell ref="A80:M80"/>
    <mergeCell ref="A87:D87"/>
    <mergeCell ref="B89:M89"/>
    <mergeCell ref="B90:M90"/>
    <mergeCell ref="B91:M91"/>
    <mergeCell ref="J54:K54"/>
    <mergeCell ref="L54:M54"/>
    <mergeCell ref="A55:J55"/>
    <mergeCell ref="A57:A58"/>
    <mergeCell ref="B57:B58"/>
    <mergeCell ref="C57:D57"/>
    <mergeCell ref="E57:E58"/>
    <mergeCell ref="F57:F58"/>
    <mergeCell ref="G57:H57"/>
    <mergeCell ref="I57:J57"/>
    <mergeCell ref="B46:D46"/>
    <mergeCell ref="H46:I46"/>
    <mergeCell ref="J46:K46"/>
    <mergeCell ref="A48:J48"/>
    <mergeCell ref="A50:M50"/>
    <mergeCell ref="A52:M52"/>
    <mergeCell ref="A40:J40"/>
    <mergeCell ref="A42:M42"/>
    <mergeCell ref="B44:D44"/>
    <mergeCell ref="H44:I44"/>
    <mergeCell ref="J44:K44"/>
    <mergeCell ref="B45:D45"/>
    <mergeCell ref="H45:I45"/>
    <mergeCell ref="J45:K45"/>
    <mergeCell ref="B37:C37"/>
    <mergeCell ref="D37:E37"/>
    <mergeCell ref="F37:G37"/>
    <mergeCell ref="A38:B38"/>
    <mergeCell ref="C38:D38"/>
    <mergeCell ref="E38:F38"/>
    <mergeCell ref="A28:M28"/>
    <mergeCell ref="J32:K32"/>
    <mergeCell ref="L32:M32"/>
    <mergeCell ref="A33:J33"/>
    <mergeCell ref="B35:C36"/>
    <mergeCell ref="D35:E36"/>
    <mergeCell ref="F35:G36"/>
    <mergeCell ref="H35:K35"/>
    <mergeCell ref="H36:I36"/>
    <mergeCell ref="J36:K36"/>
    <mergeCell ref="A21:F21"/>
    <mergeCell ref="A22:M22"/>
    <mergeCell ref="B23:E23"/>
    <mergeCell ref="A24:D24"/>
    <mergeCell ref="E24:F24"/>
    <mergeCell ref="A26:J26"/>
    <mergeCell ref="A16:C16"/>
    <mergeCell ref="D16:G16"/>
    <mergeCell ref="A17:C17"/>
    <mergeCell ref="D17:E17"/>
    <mergeCell ref="F17:G17"/>
    <mergeCell ref="A19:E19"/>
    <mergeCell ref="F19:J19"/>
    <mergeCell ref="A14:C14"/>
    <mergeCell ref="D14:J14"/>
    <mergeCell ref="A15:C15"/>
    <mergeCell ref="D15:G15"/>
    <mergeCell ref="A7:B7"/>
    <mergeCell ref="D7:J7"/>
    <mergeCell ref="A8:B8"/>
    <mergeCell ref="D8:G8"/>
    <mergeCell ref="A10:C10"/>
    <mergeCell ref="D10:E10"/>
    <mergeCell ref="H10:J10"/>
    <mergeCell ref="A1:M1"/>
    <mergeCell ref="J3:K3"/>
    <mergeCell ref="L3:M3"/>
    <mergeCell ref="A4:C4"/>
    <mergeCell ref="G4:H4"/>
    <mergeCell ref="A6:B6"/>
    <mergeCell ref="D6:J6"/>
    <mergeCell ref="K10:L10"/>
    <mergeCell ref="A12:J12"/>
  </mergeCells>
  <conditionalFormatting sqref="M59:M75">
    <cfRule type="containsText" dxfId="6" priority="1" operator="containsText" text="NO">
      <formula>NOT(ISERROR(SEARCH("NO",M59)))</formula>
    </cfRule>
  </conditionalFormatting>
  <printOptions horizontalCentered="1"/>
  <pageMargins left="0.70866141732283472" right="0.70866141732283472" top="0.74803149606299213" bottom="0.74803149606299213" header="0.31496062992125984" footer="0.31496062992125984"/>
  <pageSetup scale="63" orientation="portrait" r:id="rId1"/>
  <headerFooter>
    <oddHeader xml:space="preserve">&amp;C
&amp;16   MODIFICACIÓN AL CERTIFICADO DE CALIBRACIÓN DE PESAS
</oddHeader>
    <oddFooter xml:space="preserve">&amp;RRT03-F40 V.12 (2023-11-10)
&amp;P de 3 
</oddFooter>
  </headerFooter>
  <rowBreaks count="3" manualBreakCount="3">
    <brk id="29" max="12" man="1"/>
    <brk id="51" max="12" man="1"/>
    <brk id="83"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600-000000000000}">
          <x14:formula1>
            <xm:f>'DATOS &lt;'!$I$115:$I$118</xm:f>
          </x14:formula1>
          <xm:sqref>M40</xm:sqref>
        </x14:dataValidation>
        <x14:dataValidation type="list" allowBlank="1" showInputMessage="1" showErrorMessage="1" xr:uid="{00000000-0002-0000-2600-000001000000}">
          <x14:formula1>
            <xm:f>'DATOS &lt;'!$B$202:$B$215</xm:f>
          </x14:formula1>
          <xm:sqref>K34</xm:sqref>
        </x14:dataValidation>
        <x14:dataValidation type="list" allowBlank="1" showInputMessage="1" showErrorMessage="1" xr:uid="{00000000-0002-0000-2600-000002000000}">
          <x14:formula1>
            <xm:f>'DATOS &lt;'!$B$131:$B$135</xm:f>
          </x14:formula1>
          <xm:sqref>M105 F105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x14ac:dyDescent="0.2"/>
    <row r="18" spans="1:14" ht="31.5" customHeight="1" thickBot="1" x14ac:dyDescent="0.25">
      <c r="A18" s="1424" t="s">
        <v>32</v>
      </c>
      <c r="B18" s="1425"/>
      <c r="C18" s="1425"/>
      <c r="D18" s="1425"/>
      <c r="E18" s="1425"/>
      <c r="F18" s="1425"/>
      <c r="G18" s="1425"/>
      <c r="H18" s="1425"/>
      <c r="I18" s="1425"/>
      <c r="J18" s="1425"/>
      <c r="K18" s="1425"/>
      <c r="L18" s="1425"/>
      <c r="M18" s="1425"/>
      <c r="N18" s="1425"/>
    </row>
    <row r="19" spans="1:14" ht="46.5" customHeight="1" thickBot="1" x14ac:dyDescent="0.25">
      <c r="A19" s="783" t="s">
        <v>12</v>
      </c>
      <c r="B19" s="784" t="e">
        <f>VLOOKUP($J$19,'DATOS &lt;'!I202:V206,2,FALSE)</f>
        <v>#N/A</v>
      </c>
      <c r="C19" s="785" t="s">
        <v>33</v>
      </c>
      <c r="D19" s="786" t="e">
        <f>VLOOKUP(J19,'DATOS &lt;'!I202:V206,3,FALSE)</f>
        <v>#N/A</v>
      </c>
      <c r="E19" s="787" t="s">
        <v>8</v>
      </c>
      <c r="F19" s="1366" t="e">
        <f>VLOOKUP(J19,'DATOS &lt;'!I202:V206,5,FALSE)</f>
        <v>#N/A</v>
      </c>
      <c r="G19" s="1367"/>
      <c r="H19" s="785"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x14ac:dyDescent="0.2">
      <c r="A21" s="626"/>
      <c r="B21" s="626"/>
      <c r="C21" s="626"/>
      <c r="D21" s="626"/>
      <c r="E21" s="626"/>
      <c r="F21" s="626"/>
      <c r="G21" s="626"/>
      <c r="H21" s="626"/>
      <c r="I21" s="626"/>
      <c r="J21" s="626"/>
      <c r="K21" s="581"/>
    </row>
    <row r="22" spans="1:14" s="627" customFormat="1" ht="31.5" customHeight="1" thickBot="1" x14ac:dyDescent="0.25">
      <c r="A22" s="1424" t="s">
        <v>39</v>
      </c>
      <c r="B22" s="1425"/>
      <c r="C22" s="1425"/>
      <c r="D22" s="1425"/>
      <c r="E22" s="1425"/>
      <c r="F22" s="1425"/>
      <c r="G22" s="1425"/>
      <c r="H22" s="1425"/>
      <c r="I22" s="1425"/>
      <c r="J22" s="1425"/>
      <c r="K22" s="1425"/>
      <c r="L22" s="1425"/>
      <c r="M22" s="1425"/>
      <c r="N22" s="1425"/>
    </row>
    <row r="23" spans="1:14" s="626" customFormat="1" ht="2.25" customHeight="1" thickBot="1" x14ac:dyDescent="0.25">
      <c r="A23" s="777"/>
      <c r="B23" s="778"/>
      <c r="C23" s="778"/>
      <c r="D23" s="778"/>
      <c r="E23" s="778"/>
      <c r="F23" s="778"/>
      <c r="G23" s="778"/>
      <c r="H23" s="778"/>
      <c r="I23" s="778"/>
      <c r="J23" s="779"/>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4</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358" t="e">
        <f>VLOOKUP($I$26,'DATOS &lt;'!$B$131:$G$135,2,FALSE)</f>
        <v>#N/A</v>
      </c>
      <c r="I28" s="1359"/>
      <c r="J28" s="626"/>
    </row>
    <row r="29" spans="1:14" s="627" customFormat="1" ht="31.5" customHeight="1" x14ac:dyDescent="0.2">
      <c r="A29" s="1382"/>
      <c r="B29" s="638" t="s">
        <v>47</v>
      </c>
      <c r="C29" s="396"/>
      <c r="D29" s="107"/>
      <c r="E29" s="108"/>
      <c r="F29" s="626"/>
      <c r="G29" s="626"/>
      <c r="H29" s="626"/>
      <c r="I29" s="626"/>
      <c r="J29" s="626"/>
    </row>
    <row r="30" spans="1:14" s="627" customFormat="1" ht="31.5" customHeight="1" x14ac:dyDescent="0.2">
      <c r="A30" s="1382"/>
      <c r="B30" s="638" t="s">
        <v>47</v>
      </c>
      <c r="C30" s="396"/>
      <c r="D30" s="107"/>
      <c r="E30" s="108"/>
      <c r="F30" s="626"/>
      <c r="G30" s="626"/>
      <c r="H30" s="626"/>
      <c r="I30" s="626"/>
      <c r="J30" s="626"/>
    </row>
    <row r="31" spans="1:14" s="627" customFormat="1" ht="31.5" customHeight="1" thickBot="1" x14ac:dyDescent="0.25">
      <c r="A31" s="1383"/>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788">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762"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76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764"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24" t="s">
        <v>54</v>
      </c>
      <c r="B46" s="1425"/>
      <c r="C46" s="1425"/>
      <c r="D46" s="1425"/>
      <c r="E46" s="1425"/>
      <c r="F46" s="1425"/>
      <c r="G46" s="1425"/>
      <c r="H46" s="1425"/>
      <c r="I46" s="1425"/>
      <c r="J46" s="1425"/>
      <c r="K46" s="1425"/>
      <c r="L46" s="1425"/>
      <c r="M46" s="1425"/>
      <c r="N46" s="1425"/>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24" t="s">
        <v>63</v>
      </c>
      <c r="B52" s="1425"/>
      <c r="C52" s="1425"/>
      <c r="D52" s="1425"/>
      <c r="E52" s="1425"/>
      <c r="F52" s="1425"/>
      <c r="G52" s="1425"/>
      <c r="H52" s="1425"/>
      <c r="I52" s="1425"/>
      <c r="J52" s="1425"/>
      <c r="K52" s="1425"/>
      <c r="L52" s="1425"/>
      <c r="M52" s="1425"/>
      <c r="N52" s="1425"/>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57"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3</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452" t="e">
        <f>G70^4/((C59^4/F59)+(C62^4/F62)+(C66^4/F66)+(C67^4/F67)+(C68^4/F68))</f>
        <v>#DIV/0!</v>
      </c>
      <c r="K68" s="523" t="e">
        <f>(_xlfn.T.INV.2T(0.05,J68))</f>
        <v>#DIV/0!</v>
      </c>
      <c r="L68" s="524"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38"/>
      <c r="I76" s="782"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A47:B48"/>
    <mergeCell ref="C47:E47"/>
    <mergeCell ref="G48:H48"/>
    <mergeCell ref="H38:M38"/>
    <mergeCell ref="H39:M39"/>
    <mergeCell ref="H40:M42"/>
    <mergeCell ref="A50:B50"/>
    <mergeCell ref="G50:H50"/>
    <mergeCell ref="D53:E53"/>
    <mergeCell ref="H53:I5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13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'DATOS &lt;'!$B$7:$B$19</xm:f>
          </x14:formula1>
          <xm:sqref>I3:J4</xm:sqref>
        </x14:dataValidation>
        <x14:dataValidation type="list" allowBlank="1" showInputMessage="1" showErrorMessage="1" xr:uid="{00000000-0002-0000-0300-000001000000}">
          <x14:formula1>
            <xm:f>'DATOS &lt;'!$N$82:$N$134</xm:f>
          </x14:formula1>
          <xm:sqref>E6</xm:sqref>
        </x14:dataValidation>
        <x14:dataValidation type="list" allowBlank="1" showInputMessage="1" showErrorMessage="1" xr:uid="{00000000-0002-0000-0300-000002000000}">
          <x14:formula1>
            <xm:f>'DATOS &lt;'!$B$118:$B$124</xm:f>
          </x14:formula1>
          <xm:sqref>J13</xm:sqref>
        </x14:dataValidation>
        <x14:dataValidation type="list" allowBlank="1" showInputMessage="1" showErrorMessage="1" xr:uid="{00000000-0002-0000-0300-000003000000}">
          <x14:formula1>
            <xm:f>'DATOS &lt;'!$B$131:$B$135</xm:f>
          </x14:formula1>
          <xm:sqref>I26</xm:sqref>
        </x14:dataValidation>
        <x14:dataValidation type="list" allowBlank="1" showInputMessage="1" showErrorMessage="1" xr:uid="{00000000-0002-0000-0300-000004000000}">
          <x14:formula1>
            <xm:f>'DATOS &lt;'!$I$202:$I$205</xm:f>
          </x14:formula1>
          <xm:sqref>J19:J20</xm:sqref>
        </x14:dataValidation>
        <x14:dataValidation type="list" allowBlank="1" showInputMessage="1" showErrorMessage="1" xr:uid="{00000000-0002-0000-0300-000005000000}">
          <x14:formula1>
            <xm:f>'DATOS &lt;'!$I$129:$I$130</xm:f>
          </x14:formula1>
          <xm:sqref>N39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9">
    <tabColor theme="0" tint="-0.249977111117893"/>
  </sheetPr>
  <dimension ref="A1:U106"/>
  <sheetViews>
    <sheetView showGridLines="0" view="pageBreakPreview" topLeftCell="A27" zoomScale="80" zoomScaleNormal="60" zoomScaleSheetLayoutView="80" workbookViewId="0">
      <selection activeCell="H40" sqref="H40:M42"/>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5">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&lt;'!N27:AC134,8,FALSE)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&lt;'!N27:AC134,10,FALSE)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&lt;'!N27:AC134,12,FALSE)</f>
        <v>#N/A</v>
      </c>
      <c r="D12" s="602" t="s">
        <v>22</v>
      </c>
      <c r="E12" s="611"/>
      <c r="F12" s="611"/>
      <c r="G12" s="611"/>
      <c r="H12" s="611"/>
    </row>
    <row r="13" spans="1:16" s="609" customFormat="1" ht="31.5" customHeight="1" thickBot="1" x14ac:dyDescent="0.3">
      <c r="A13" s="1354" t="s">
        <v>25</v>
      </c>
      <c r="B13" s="1355"/>
      <c r="C13" s="610" t="e">
        <f>VLOOKUP($E$6,'DATOS &lt;'!N27:AC134,13,FALSE)</f>
        <v>#N/A</v>
      </c>
      <c r="D13" s="602" t="s">
        <v>20</v>
      </c>
      <c r="E13" s="611"/>
      <c r="F13" s="1386" t="s">
        <v>27</v>
      </c>
      <c r="G13" s="1387"/>
      <c r="H13" s="1387"/>
      <c r="I13" s="1388"/>
      <c r="J13" s="5"/>
    </row>
    <row r="14" spans="1:16" s="609" customFormat="1" ht="31.5" customHeight="1" x14ac:dyDescent="0.2">
      <c r="A14" s="1354" t="s">
        <v>28</v>
      </c>
      <c r="B14" s="1355"/>
      <c r="C14" s="600" t="e">
        <f>VLOOKUP($E$6,'DATOS &lt;'!N27:AC134,14,FALSE)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&lt;'!N27:AC134,15,FALSE)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&lt;'!N27:AC134,16,FALSE)</f>
        <v>#N/A</v>
      </c>
      <c r="D16" s="1533"/>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4</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542"/>
      <c r="D28" s="175"/>
      <c r="E28" s="176"/>
      <c r="F28" s="626"/>
      <c r="G28" s="626"/>
      <c r="H28" s="1358" t="e">
        <f>VLOOKUP($I$26,'DATOS &lt;'!$B$131:$G$135,2,FALSE)</f>
        <v>#N/A</v>
      </c>
      <c r="I28" s="1359"/>
      <c r="J28" s="626"/>
    </row>
    <row r="29" spans="1:14" s="627" customFormat="1" ht="31.5" customHeight="1" x14ac:dyDescent="0.2">
      <c r="A29" s="1382"/>
      <c r="B29" s="638" t="s">
        <v>47</v>
      </c>
      <c r="C29" s="543"/>
      <c r="D29" s="177"/>
      <c r="E29" s="178"/>
      <c r="F29" s="626"/>
      <c r="G29" s="626"/>
      <c r="H29" s="626"/>
      <c r="I29" s="626"/>
      <c r="J29" s="626"/>
    </row>
    <row r="30" spans="1:14" s="627" customFormat="1" ht="31.5" customHeight="1" x14ac:dyDescent="0.2">
      <c r="A30" s="1382"/>
      <c r="B30" s="638" t="s">
        <v>47</v>
      </c>
      <c r="C30" s="543"/>
      <c r="D30" s="177"/>
      <c r="E30" s="178"/>
      <c r="F30" s="626"/>
      <c r="G30" s="626"/>
      <c r="H30" s="626"/>
      <c r="I30" s="626"/>
      <c r="J30" s="626"/>
    </row>
    <row r="31" spans="1:14" s="627" customFormat="1" ht="31.5" customHeight="1" thickBot="1" x14ac:dyDescent="0.25">
      <c r="A31" s="1383"/>
      <c r="B31" s="639" t="s">
        <v>46</v>
      </c>
      <c r="C31" s="544"/>
      <c r="D31" s="179"/>
      <c r="E31" s="180"/>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9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96"/>
      <c r="G39" s="626"/>
      <c r="H39" s="1317" t="e">
        <f>VLOOKUP($N$39,'DATOS &lt;'!$I$127:$L$130,2,FALSE)</f>
        <v>#N/A</v>
      </c>
      <c r="I39" s="1318"/>
      <c r="J39" s="1318"/>
      <c r="K39" s="1318"/>
      <c r="L39" s="1318"/>
      <c r="M39" s="1319"/>
      <c r="N39" s="1293"/>
    </row>
    <row r="40" spans="1:14" s="627" customFormat="1" ht="31.5" customHeight="1" x14ac:dyDescent="0.2">
      <c r="A40" s="647"/>
      <c r="B40" s="648"/>
      <c r="C40" s="800" t="e">
        <f>+AVERAGE(C28,C31)</f>
        <v>#DIV/0!</v>
      </c>
      <c r="D40" s="801" t="e">
        <f>+AVERAGE(D28,D31)</f>
        <v>#DIV/0!</v>
      </c>
      <c r="E40" s="802" t="e">
        <f>+AVERAGE(E28,E31)</f>
        <v>#DIV/0!</v>
      </c>
      <c r="F40" s="696"/>
      <c r="G40" s="626"/>
      <c r="H40" s="1320" t="s">
        <v>532</v>
      </c>
      <c r="I40" s="1321"/>
      <c r="J40" s="1321"/>
      <c r="K40" s="1321"/>
      <c r="L40" s="1321"/>
      <c r="M40" s="1322"/>
    </row>
    <row r="41" spans="1:14" s="627" customFormat="1" ht="31.5" customHeight="1" x14ac:dyDescent="0.2">
      <c r="A41" s="647"/>
      <c r="B41" s="652"/>
      <c r="C41" s="803" t="e">
        <f>+AVERAGE(C29:C30)</f>
        <v>#DIV/0!</v>
      </c>
      <c r="D41" s="804" t="e">
        <f>+AVERAGE(D29:D30)</f>
        <v>#DIV/0!</v>
      </c>
      <c r="E41" s="805" t="e">
        <f>+AVERAGE(E29:E30)</f>
        <v>#DIV/0!</v>
      </c>
      <c r="F41" s="696"/>
      <c r="G41" s="626"/>
      <c r="H41" s="1323"/>
      <c r="I41" s="1324"/>
      <c r="J41" s="1324"/>
      <c r="K41" s="1324"/>
      <c r="L41" s="1324"/>
      <c r="M41" s="1325"/>
    </row>
    <row r="42" spans="1:14" s="627" customFormat="1" ht="31.5" customHeight="1" thickBot="1" x14ac:dyDescent="0.25">
      <c r="A42" s="647"/>
      <c r="B42" s="656"/>
      <c r="C42" s="806" t="e">
        <f>+C41-C40</f>
        <v>#DIV/0!</v>
      </c>
      <c r="D42" s="807" t="e">
        <f>+D41-D40</f>
        <v>#DIV/0!</v>
      </c>
      <c r="E42" s="808" t="e">
        <f>+E41-E40</f>
        <v>#DIV/0!</v>
      </c>
      <c r="F42" s="696"/>
      <c r="G42" s="626"/>
      <c r="H42" s="1326"/>
      <c r="I42" s="1327"/>
      <c r="J42" s="1327"/>
      <c r="K42" s="1327"/>
      <c r="L42" s="1327"/>
      <c r="M42" s="1328"/>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10"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3</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79</v>
      </c>
      <c r="F60" s="122" t="s">
        <v>548</v>
      </c>
      <c r="G60" s="518"/>
      <c r="H60" s="794" t="e">
        <f t="shared" ref="H60:H65" si="0">IFERROR(C60/$G$70,"--")^2</f>
        <v>#VALUE!</v>
      </c>
      <c r="I60" s="1410" t="s">
        <v>77</v>
      </c>
      <c r="J60" s="1411"/>
      <c r="K60" s="1411"/>
      <c r="L60" s="1411"/>
      <c r="M60" s="1411"/>
      <c r="N60" s="1412"/>
    </row>
    <row r="61" spans="1:21" s="627" customFormat="1" ht="57.95" customHeight="1" thickBot="1" x14ac:dyDescent="0.25">
      <c r="A61" s="702" t="s">
        <v>78</v>
      </c>
      <c r="B61" s="703"/>
      <c r="C61" s="704" t="e">
        <f>VLOOKUP($E$6,'DATOS &lt;'!N25:AC134,11,FALSE)</f>
        <v>#N/A</v>
      </c>
      <c r="D61" s="705" t="s">
        <v>22</v>
      </c>
      <c r="E61" s="422" t="s">
        <v>79</v>
      </c>
      <c r="F61" s="123" t="s">
        <v>548</v>
      </c>
      <c r="G61" s="518"/>
      <c r="H61" s="794"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79</v>
      </c>
      <c r="F63" s="122" t="s">
        <v>548</v>
      </c>
      <c r="G63" s="518"/>
      <c r="H63" s="794" t="e">
        <f t="shared" si="0"/>
        <v>#VALUE!</v>
      </c>
    </row>
    <row r="64" spans="1:21" s="627" customFormat="1" ht="57.95" customHeight="1" thickBot="1" x14ac:dyDescent="0.25">
      <c r="A64" s="710" t="s">
        <v>88</v>
      </c>
      <c r="B64" s="711"/>
      <c r="C64" s="712" t="e">
        <f>+H11/2</f>
        <v>#N/A</v>
      </c>
      <c r="D64" s="713" t="s">
        <v>58</v>
      </c>
      <c r="E64" s="241" t="s">
        <v>79</v>
      </c>
      <c r="F64" s="124" t="s">
        <v>548</v>
      </c>
      <c r="G64" s="518"/>
      <c r="H64" s="794" t="e">
        <f t="shared" si="0"/>
        <v>#VALUE!</v>
      </c>
      <c r="Q64" s="626"/>
      <c r="R64" s="626"/>
      <c r="S64" s="626"/>
      <c r="T64" s="626"/>
      <c r="U64" s="626"/>
    </row>
    <row r="65" spans="1:21" s="627" customFormat="1" ht="57.95" customHeight="1" thickBot="1" x14ac:dyDescent="0.25">
      <c r="A65" s="702" t="s">
        <v>89</v>
      </c>
      <c r="B65" s="714"/>
      <c r="C65" s="715" t="e">
        <f>+C14/2</f>
        <v>#N/A</v>
      </c>
      <c r="D65" s="705" t="s">
        <v>58</v>
      </c>
      <c r="E65" s="426" t="s">
        <v>79</v>
      </c>
      <c r="F65" s="123" t="s">
        <v>548</v>
      </c>
      <c r="G65" s="518"/>
      <c r="H65" s="794"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792" t="e">
        <f>IF(C67=MAX($C$59,$C$62,$C$66,$C$67,$C$68),"",C67)</f>
        <v>#N/A</v>
      </c>
      <c r="J67" s="721" t="s">
        <v>549</v>
      </c>
      <c r="K67" s="965" t="s">
        <v>93</v>
      </c>
      <c r="L67" s="722" t="s">
        <v>94</v>
      </c>
    </row>
    <row r="68" spans="1:21" s="627" customFormat="1" ht="65.25" customHeight="1" thickBot="1" x14ac:dyDescent="0.3">
      <c r="A68" s="723" t="s">
        <v>95</v>
      </c>
      <c r="B68" s="724"/>
      <c r="C68" s="725">
        <f>0.37/SQRT(45)</f>
        <v>5.5156343444994808E-2</v>
      </c>
      <c r="D68" s="720" t="s">
        <v>22</v>
      </c>
      <c r="E68" s="427" t="s">
        <v>74</v>
      </c>
      <c r="F68" s="726">
        <v>50</v>
      </c>
      <c r="G68" s="519" t="e">
        <f t="shared" si="1"/>
        <v>#VALUE!</v>
      </c>
      <c r="H68" s="792" t="e">
        <f>IF(C68=MAX($C$59,$C$62,$C$66,$C$67,$C$68),"",C68)</f>
        <v>#DIV/0!</v>
      </c>
      <c r="J68" s="535" t="e">
        <f>(G70^4/((C59^4/F59)+(C62^4/F62)+(C66^4/F66)+(C67^4/F67)+(C68^4/F68)))</f>
        <v>#DIV/0!</v>
      </c>
      <c r="K68" s="536" t="e">
        <f>(_xlfn.T.INV.2T(0.05,J68))</f>
        <v>#DIV/0!</v>
      </c>
      <c r="L68" s="527" t="e">
        <f>(1-_xlfn.T.DIST.2T(K68,J68))</f>
        <v>#DIV/0!</v>
      </c>
    </row>
    <row r="69" spans="1:21" s="92" customFormat="1" ht="51.75" customHeight="1" thickBot="1" x14ac:dyDescent="0.25">
      <c r="G69" s="461" t="e">
        <f>SUM(G59,G62,G66,G67,G68)</f>
        <v>#VALUE!</v>
      </c>
      <c r="H69" s="627"/>
      <c r="L69" s="627"/>
      <c r="M69" s="627"/>
      <c r="S69" s="627"/>
      <c r="T69" s="627"/>
      <c r="U69" s="627"/>
    </row>
    <row r="70" spans="1:21" s="92" customFormat="1" ht="35.1" customHeight="1" thickBot="1" x14ac:dyDescent="0.3">
      <c r="D70" s="1312" t="s">
        <v>96</v>
      </c>
      <c r="E70" s="1313"/>
      <c r="F70" s="727"/>
      <c r="G70" s="728" t="e">
        <f>+SQRT(SUMSQ(C59,C62,C66,C67,C68))</f>
        <v>#DIV/0!</v>
      </c>
      <c r="H70" s="729" t="s">
        <v>22</v>
      </c>
      <c r="K70" s="627"/>
      <c r="O70" s="627"/>
      <c r="P70" s="627"/>
      <c r="Q70" s="627"/>
      <c r="R70" s="627"/>
      <c r="S70" s="627"/>
      <c r="T70" s="627"/>
      <c r="U70" s="627"/>
    </row>
    <row r="71" spans="1:21" s="92" customFormat="1" ht="33.75" customHeight="1" thickBot="1" x14ac:dyDescent="4.45">
      <c r="D71" s="1312" t="s">
        <v>97</v>
      </c>
      <c r="E71" s="1313"/>
      <c r="F71" s="730"/>
      <c r="G71" s="728" t="e">
        <f>+G70*2</f>
        <v>#DIV/0!</v>
      </c>
      <c r="H71" s="731" t="s">
        <v>22</v>
      </c>
      <c r="K71" s="95"/>
      <c r="L71" s="732"/>
      <c r="O71" s="627"/>
      <c r="P71" s="627"/>
      <c r="Q71" s="627"/>
      <c r="R71" s="627"/>
      <c r="S71" s="627"/>
      <c r="T71" s="627"/>
      <c r="U71" s="627"/>
    </row>
    <row r="72" spans="1:21" s="92" customFormat="1" ht="35.1" customHeight="1" thickBot="1" x14ac:dyDescent="0.25">
      <c r="B72" s="1304" t="s">
        <v>98</v>
      </c>
      <c r="C72" s="1305"/>
      <c r="D72" s="1305"/>
      <c r="E72" s="1305"/>
      <c r="F72" s="1305"/>
      <c r="G72" s="1305"/>
      <c r="H72" s="1305"/>
      <c r="I72" s="1305"/>
      <c r="J72" s="1305"/>
      <c r="K72" s="1306"/>
      <c r="O72" s="627"/>
      <c r="P72" s="627"/>
      <c r="Q72" s="627"/>
      <c r="R72" s="627"/>
      <c r="S72" s="627"/>
      <c r="T72" s="627"/>
      <c r="U72" s="627"/>
    </row>
    <row r="73" spans="1:21" s="92" customFormat="1" ht="40.5"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35.1"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37"/>
      <c r="I75" s="811" t="e">
        <f>G71</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38"/>
      <c r="I76" s="745"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row>
    <row r="79" spans="1:21" s="92" customFormat="1" ht="35.1" customHeight="1" x14ac:dyDescent="0.2">
      <c r="A79" s="94"/>
      <c r="G79" s="626"/>
      <c r="H79" s="626"/>
    </row>
    <row r="80" spans="1:21" s="92" customFormat="1" ht="35.1" customHeight="1" x14ac:dyDescent="0.2">
      <c r="G80" s="626"/>
      <c r="H80" s="626"/>
    </row>
    <row r="81" spans="6:10" s="92" customFormat="1" ht="61.5" customHeight="1" x14ac:dyDescent="0.2"/>
    <row r="82" spans="6:10" s="92" customFormat="1" ht="35.1" customHeight="1" x14ac:dyDescent="0.2"/>
    <row r="83" spans="6:10" s="92" customFormat="1" ht="35.1" customHeight="1" x14ac:dyDescent="0.2"/>
    <row r="84" spans="6:10" s="92" customFormat="1" ht="35.1" customHeight="1" x14ac:dyDescent="0.2"/>
    <row r="85" spans="6:10" s="92" customFormat="1" ht="50.1" customHeight="1" x14ac:dyDescent="0.2"/>
    <row r="86" spans="6:10" s="92" customFormat="1" ht="57.75" customHeight="1" x14ac:dyDescent="0.2"/>
    <row r="87" spans="6:10" s="92" customFormat="1" ht="35.1" customHeight="1" x14ac:dyDescent="0.2"/>
    <row r="88" spans="6:10" s="92" customFormat="1" ht="35.1" customHeight="1" x14ac:dyDescent="0.2">
      <c r="F88" s="93"/>
      <c r="G88" s="93"/>
      <c r="H88" s="93"/>
      <c r="I88" s="93"/>
      <c r="J88" s="93"/>
    </row>
    <row r="89" spans="6:10" s="92" customFormat="1" ht="35.1" customHeight="1" x14ac:dyDescent="0.2"/>
    <row r="90" spans="6:10" s="92" customFormat="1" ht="50.1" customHeight="1" x14ac:dyDescent="0.2">
      <c r="J90" s="626"/>
    </row>
    <row r="91" spans="6:10" s="92" customFormat="1" ht="55.5" customHeight="1" x14ac:dyDescent="0.2"/>
    <row r="92" spans="6:10" s="92" customFormat="1" ht="50.1" customHeight="1" x14ac:dyDescent="0.2"/>
    <row r="93" spans="6:10" s="92" customFormat="1" ht="31.5" customHeight="1" x14ac:dyDescent="0.2"/>
    <row r="94" spans="6:10" s="92" customFormat="1" ht="35.1" customHeight="1" x14ac:dyDescent="0.2"/>
    <row r="95" spans="6:10" s="92" customFormat="1" ht="35.1" customHeight="1" x14ac:dyDescent="0.2"/>
    <row r="96" spans="6:10"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selectLockedCell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F19:G19"/>
    <mergeCell ref="J19:J20"/>
    <mergeCell ref="A20:B20"/>
    <mergeCell ref="E20:F20"/>
    <mergeCell ref="C16:D16"/>
    <mergeCell ref="A49:B49"/>
    <mergeCell ref="G49:H49"/>
    <mergeCell ref="A28:A31"/>
    <mergeCell ref="C33:D33"/>
    <mergeCell ref="F33:G33"/>
    <mergeCell ref="A47:B48"/>
    <mergeCell ref="C47:E47"/>
    <mergeCell ref="G48:H48"/>
    <mergeCell ref="A46:N46"/>
    <mergeCell ref="H28:I28"/>
    <mergeCell ref="H39:M39"/>
    <mergeCell ref="H40:M42"/>
    <mergeCell ref="A50:B50"/>
    <mergeCell ref="G50:H50"/>
    <mergeCell ref="D53:E53"/>
    <mergeCell ref="H53:I53"/>
    <mergeCell ref="A52:N52"/>
    <mergeCell ref="A58:B58"/>
    <mergeCell ref="C58:D58"/>
    <mergeCell ref="E58:F58"/>
    <mergeCell ref="I60:N60"/>
    <mergeCell ref="A56:N56"/>
    <mergeCell ref="F74:G74"/>
    <mergeCell ref="H74:H76"/>
    <mergeCell ref="I74:K74"/>
    <mergeCell ref="J75:K75"/>
    <mergeCell ref="J76:K76"/>
    <mergeCell ref="D70:E70"/>
    <mergeCell ref="D71:E71"/>
    <mergeCell ref="B72:K72"/>
    <mergeCell ref="B73:E73"/>
    <mergeCell ref="H73:K73"/>
    <mergeCell ref="C26:E26"/>
    <mergeCell ref="B38:E38"/>
    <mergeCell ref="A36:N36"/>
    <mergeCell ref="A22:N22"/>
    <mergeCell ref="A18:N18"/>
    <mergeCell ref="A27:B27"/>
    <mergeCell ref="C24:D24"/>
    <mergeCell ref="F24:G24"/>
    <mergeCell ref="H27:I27"/>
    <mergeCell ref="H38:M38"/>
  </mergeCells>
  <conditionalFormatting sqref="G59 G62 G66:G68">
    <cfRule type="cellIs" dxfId="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700-000000000000}">
          <x14:formula1>
            <xm:f>'DATOS &lt;'!$B$37:$B$40</xm:f>
          </x14:formula1>
          <xm:sqref>I3:J4</xm:sqref>
        </x14:dataValidation>
        <x14:dataValidation type="list" allowBlank="1" showInputMessage="1" showErrorMessage="1" xr:uid="{00000000-0002-0000-2700-000001000000}">
          <x14:formula1>
            <xm:f>'DATOS &lt;'!$B$118:$B$124</xm:f>
          </x14:formula1>
          <xm:sqref>J13</xm:sqref>
        </x14:dataValidation>
        <x14:dataValidation type="list" allowBlank="1" showInputMessage="1" showErrorMessage="1" xr:uid="{00000000-0002-0000-2700-000002000000}">
          <x14:formula1>
            <xm:f>'DATOS &lt;'!$B$131:$B$135</xm:f>
          </x14:formula1>
          <xm:sqref>I26</xm:sqref>
        </x14:dataValidation>
        <x14:dataValidation type="list" allowBlank="1" showInputMessage="1" showErrorMessage="1" xr:uid="{00000000-0002-0000-2700-000003000000}">
          <x14:formula1>
            <xm:f>'DATOS &lt;'!$N$27:$N$134</xm:f>
          </x14:formula1>
          <xm:sqref>E6</xm:sqref>
        </x14:dataValidation>
        <x14:dataValidation type="list" allowBlank="1" showInputMessage="1" showErrorMessage="1" xr:uid="{00000000-0002-0000-2700-000004000000}">
          <x14:formula1>
            <xm:f>'DATOS &lt;'!$I$202:$I$205</xm:f>
          </x14:formula1>
          <xm:sqref>J19:J20</xm:sqref>
        </x14:dataValidation>
        <x14:dataValidation type="list" allowBlank="1" showInputMessage="1" showErrorMessage="1" xr:uid="{00000000-0002-0000-2700-000005000000}">
          <x14:formula1>
            <xm:f>'DATOS &lt;'!$I$129:$I$130</xm:f>
          </x14:formula1>
          <xm:sqref>N39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9" tint="-0.249977111117893"/>
  </sheetPr>
  <dimension ref="A1:XEZ93"/>
  <sheetViews>
    <sheetView showGridLines="0" view="pageBreakPreview" topLeftCell="A76" zoomScale="80" zoomScaleNormal="100" zoomScaleSheetLayoutView="80" workbookViewId="0">
      <selection activeCell="L90" sqref="L90"/>
    </sheetView>
  </sheetViews>
  <sheetFormatPr baseColWidth="10" defaultColWidth="11.42578125" defaultRowHeight="15" x14ac:dyDescent="0.2"/>
  <cols>
    <col min="1" max="1" width="5.7109375" style="969" customWidth="1"/>
    <col min="2" max="2" width="15.42578125" style="969" customWidth="1"/>
    <col min="3" max="3" width="12.28515625" style="969" customWidth="1"/>
    <col min="4" max="4" width="10.140625" style="969" customWidth="1"/>
    <col min="5" max="5" width="16" style="969" customWidth="1"/>
    <col min="6" max="6" width="12" style="969" customWidth="1"/>
    <col min="7" max="12" width="9.7109375" style="969" customWidth="1"/>
    <col min="13" max="16384" width="11.42578125" style="969"/>
  </cols>
  <sheetData>
    <row r="1" spans="1:13" ht="125.1" customHeight="1" x14ac:dyDescent="0.2">
      <c r="A1" s="1825"/>
      <c r="B1" s="1825"/>
      <c r="C1" s="1825"/>
      <c r="D1" s="1825"/>
      <c r="E1" s="1825"/>
      <c r="F1" s="1825"/>
      <c r="G1" s="1825"/>
      <c r="H1" s="1825"/>
      <c r="I1" s="1825"/>
      <c r="J1" s="1825"/>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14" t="s">
        <v>8</v>
      </c>
      <c r="K3" s="1814"/>
      <c r="L3" s="1815">
        <f>'DATOS &lt;'!J37</f>
        <v>0</v>
      </c>
      <c r="M3" s="1815"/>
    </row>
    <row r="4" spans="1:13" ht="23.1" customHeight="1" x14ac:dyDescent="0.25">
      <c r="A4" s="1815" t="s">
        <v>152</v>
      </c>
      <c r="B4" s="1815"/>
      <c r="C4" s="1815"/>
      <c r="D4" s="1004"/>
      <c r="E4" s="1004"/>
      <c r="G4" s="1819"/>
      <c r="H4" s="1819"/>
    </row>
    <row r="5" spans="1:13" ht="20.100000000000001" customHeight="1" x14ac:dyDescent="0.2">
      <c r="A5" s="1005"/>
      <c r="B5" s="1004"/>
      <c r="C5" s="1004"/>
      <c r="D5" s="1004"/>
      <c r="E5" s="1004"/>
      <c r="F5" s="1004"/>
    </row>
    <row r="6" spans="1:13" ht="23.1" customHeight="1" x14ac:dyDescent="0.2">
      <c r="A6" s="1820" t="s">
        <v>153</v>
      </c>
      <c r="B6" s="1820"/>
      <c r="D6" s="1821">
        <f>('DATOS &lt;'!E37)</f>
        <v>0</v>
      </c>
      <c r="E6" s="1821"/>
      <c r="F6" s="1821"/>
      <c r="G6" s="1821"/>
      <c r="H6" s="1821"/>
      <c r="I6" s="1821"/>
      <c r="J6" s="1821"/>
    </row>
    <row r="7" spans="1:13" ht="23.1" customHeight="1" x14ac:dyDescent="0.2">
      <c r="A7" s="1820" t="s">
        <v>154</v>
      </c>
      <c r="B7" s="1820"/>
      <c r="C7" s="968"/>
      <c r="D7" s="1821">
        <f>'DATOS &lt;'!F37</f>
        <v>0</v>
      </c>
      <c r="E7" s="1821"/>
      <c r="F7" s="1821"/>
      <c r="G7" s="1821"/>
      <c r="H7" s="1821"/>
      <c r="I7" s="1821"/>
      <c r="J7" s="1821"/>
    </row>
    <row r="8" spans="1:13" ht="23.1" customHeight="1" x14ac:dyDescent="0.2">
      <c r="A8" s="1820" t="s">
        <v>155</v>
      </c>
      <c r="B8" s="1820"/>
      <c r="D8" s="1821" t="str">
        <f>PROPER('DATOS &lt;'!C37)</f>
        <v>0</v>
      </c>
      <c r="E8" s="1821"/>
      <c r="F8" s="1821"/>
      <c r="G8" s="1821"/>
    </row>
    <row r="9" spans="1:13" ht="20.100000000000001" customHeight="1" x14ac:dyDescent="0.2">
      <c r="A9" s="1005"/>
      <c r="B9" s="1005"/>
      <c r="D9" s="1005"/>
      <c r="E9" s="1005"/>
      <c r="F9" s="1004"/>
    </row>
    <row r="10" spans="1:13" ht="23.1" customHeight="1" x14ac:dyDescent="0.2">
      <c r="A10" s="1820" t="s">
        <v>156</v>
      </c>
      <c r="B10" s="1820"/>
      <c r="C10" s="1820"/>
      <c r="D10" s="1822">
        <f>'DATOS &lt;'!D37</f>
        <v>0</v>
      </c>
      <c r="E10" s="1822"/>
      <c r="G10" s="968"/>
      <c r="H10" s="1860" t="s">
        <v>157</v>
      </c>
      <c r="I10" s="1860"/>
      <c r="J10" s="1860"/>
      <c r="K10" s="1822" t="e">
        <f>'5 kg &lt; (C)'!E4</f>
        <v>#N/A</v>
      </c>
      <c r="L10" s="1822"/>
    </row>
    <row r="11" spans="1:13" ht="20.100000000000001" customHeight="1" x14ac:dyDescent="0.2">
      <c r="A11" s="1004"/>
      <c r="B11" s="1004"/>
      <c r="C11" s="1004"/>
      <c r="D11" s="1004"/>
      <c r="E11" s="1004"/>
      <c r="F11" s="1004"/>
    </row>
    <row r="12" spans="1:13" ht="23.1" customHeight="1" x14ac:dyDescent="0.2">
      <c r="A12" s="1815" t="s">
        <v>158</v>
      </c>
      <c r="B12" s="1815"/>
      <c r="C12" s="1815"/>
      <c r="D12" s="1815"/>
      <c r="E12" s="1815"/>
      <c r="F12" s="1815"/>
      <c r="G12" s="1815"/>
      <c r="H12" s="1815"/>
      <c r="I12" s="1815"/>
      <c r="J12" s="1815"/>
    </row>
    <row r="13" spans="1:13" ht="20.100000000000001" customHeight="1" x14ac:dyDescent="0.2">
      <c r="A13" s="411"/>
      <c r="B13" s="411"/>
      <c r="C13" s="411"/>
      <c r="D13" s="411"/>
      <c r="E13" s="411"/>
      <c r="F13" s="1004"/>
    </row>
    <row r="14" spans="1:13" ht="23.1" customHeight="1" x14ac:dyDescent="0.2">
      <c r="A14" s="1820" t="s">
        <v>159</v>
      </c>
      <c r="B14" s="1820"/>
      <c r="C14" s="1820"/>
      <c r="D14" s="1875" t="s">
        <v>550</v>
      </c>
      <c r="E14" s="1875"/>
      <c r="F14" s="1875"/>
      <c r="G14" s="1875"/>
      <c r="H14" s="1875"/>
      <c r="I14" s="1875"/>
      <c r="J14" s="1875"/>
    </row>
    <row r="15" spans="1:13" ht="23.1" customHeight="1" x14ac:dyDescent="0.2">
      <c r="A15" s="1820" t="s">
        <v>161</v>
      </c>
      <c r="B15" s="1820"/>
      <c r="C15" s="1820"/>
      <c r="D15" s="1828" t="str">
        <f>PROPER('DATOS &lt;'!D77)</f>
        <v>0</v>
      </c>
      <c r="E15" s="1874"/>
      <c r="F15" s="1874"/>
      <c r="G15" s="1874"/>
      <c r="H15" s="1005"/>
      <c r="I15" s="1005"/>
      <c r="J15" s="1005"/>
    </row>
    <row r="16" spans="1:13" ht="23.1" customHeight="1" x14ac:dyDescent="0.2">
      <c r="A16" s="1820" t="s">
        <v>162</v>
      </c>
      <c r="B16" s="1820"/>
      <c r="C16" s="1820"/>
      <c r="D16" s="1829">
        <f>'DATOS &lt;'!E77</f>
        <v>0</v>
      </c>
      <c r="E16" s="1829"/>
      <c r="F16" s="1829"/>
      <c r="G16" s="1829"/>
      <c r="H16" s="1005"/>
      <c r="I16" s="1005"/>
      <c r="J16" s="1005"/>
    </row>
    <row r="17" spans="1:13" ht="23.1" customHeight="1" x14ac:dyDescent="0.2">
      <c r="A17" s="1820" t="s">
        <v>163</v>
      </c>
      <c r="B17" s="1820"/>
      <c r="C17" s="1820"/>
      <c r="D17" s="1830" t="s">
        <v>593</v>
      </c>
      <c r="E17" s="1830"/>
      <c r="F17" s="1822"/>
      <c r="G17" s="1822"/>
    </row>
    <row r="18" spans="1:13" ht="20.100000000000001" customHeight="1" x14ac:dyDescent="0.2">
      <c r="A18" s="1005"/>
      <c r="B18" s="1005"/>
      <c r="C18" s="1005"/>
      <c r="D18" s="1006"/>
      <c r="E18" s="1005"/>
      <c r="F18" s="1005"/>
      <c r="G18" s="1005"/>
    </row>
    <row r="19" spans="1:13" ht="33" customHeight="1" x14ac:dyDescent="0.2">
      <c r="A19" s="1820" t="s">
        <v>164</v>
      </c>
      <c r="B19" s="1820"/>
      <c r="C19" s="1820"/>
      <c r="D19" s="1820"/>
      <c r="E19" s="1820"/>
      <c r="F19" s="1826">
        <f>'DATOS &lt;'!C80</f>
        <v>32</v>
      </c>
      <c r="G19" s="1826"/>
      <c r="H19" s="1826"/>
      <c r="I19" s="1826"/>
      <c r="J19" s="1826"/>
    </row>
    <row r="20" spans="1:13" ht="20.100000000000001" customHeight="1" x14ac:dyDescent="0.2">
      <c r="A20" s="1005"/>
      <c r="B20" s="1005"/>
      <c r="C20" s="1005"/>
      <c r="D20" s="1005"/>
      <c r="E20" s="1005"/>
      <c r="F20" s="1005"/>
      <c r="G20" s="1004"/>
    </row>
    <row r="21" spans="1:13" ht="23.1" customHeight="1" x14ac:dyDescent="0.2">
      <c r="A21" s="1815" t="s">
        <v>165</v>
      </c>
      <c r="B21" s="1815"/>
      <c r="C21" s="1815"/>
      <c r="D21" s="1815"/>
      <c r="E21" s="1815"/>
      <c r="F21" s="1815"/>
    </row>
    <row r="22" spans="1:13" ht="23.1" customHeight="1" x14ac:dyDescent="0.2">
      <c r="A22" s="1821">
        <f>'DATOS &lt;'!G8</f>
        <v>0</v>
      </c>
      <c r="B22" s="1821"/>
      <c r="C22" s="1821"/>
      <c r="D22" s="1821"/>
      <c r="E22" s="1821"/>
      <c r="F22" s="1821"/>
      <c r="G22" s="1821"/>
      <c r="H22" s="1821"/>
      <c r="I22" s="1821"/>
      <c r="J22" s="1821"/>
      <c r="K22" s="1821"/>
      <c r="L22" s="1821"/>
      <c r="M22" s="1821"/>
    </row>
    <row r="23" spans="1:13" ht="20.100000000000001" customHeight="1" x14ac:dyDescent="0.2">
      <c r="B23" s="1815"/>
      <c r="C23" s="1815"/>
      <c r="D23" s="1815"/>
      <c r="E23" s="1815"/>
      <c r="F23" s="411"/>
      <c r="G23" s="1005"/>
    </row>
    <row r="24" spans="1:13" ht="23.1" customHeight="1" x14ac:dyDescent="0.2">
      <c r="A24" s="1815" t="s">
        <v>166</v>
      </c>
      <c r="B24" s="1815"/>
      <c r="C24" s="1815"/>
      <c r="D24" s="1815"/>
      <c r="E24" s="1843">
        <f>'DATOS &lt;'!I25</f>
        <v>0</v>
      </c>
      <c r="F24" s="1843"/>
    </row>
    <row r="25" spans="1:13" ht="20.100000000000001" customHeight="1" x14ac:dyDescent="0.25">
      <c r="A25" s="1005"/>
      <c r="B25" s="1005"/>
      <c r="C25" s="1005"/>
      <c r="D25" s="1005"/>
      <c r="E25" s="1005"/>
      <c r="F25" s="1005"/>
      <c r="G25" s="412"/>
      <c r="H25" s="412"/>
      <c r="I25" s="1004"/>
      <c r="J25" s="1004"/>
    </row>
    <row r="26" spans="1:13" ht="23.1" customHeight="1" x14ac:dyDescent="0.2">
      <c r="A26" s="1816" t="s">
        <v>167</v>
      </c>
      <c r="B26" s="1816"/>
      <c r="C26" s="1816"/>
      <c r="D26" s="1816"/>
      <c r="E26" s="1816"/>
      <c r="F26" s="1816"/>
      <c r="G26" s="1816"/>
      <c r="H26" s="1816"/>
      <c r="I26" s="1816"/>
      <c r="J26" s="1816"/>
    </row>
    <row r="27" spans="1:13" ht="20.100000000000001" customHeight="1" x14ac:dyDescent="0.2">
      <c r="A27" s="408"/>
      <c r="B27" s="408"/>
      <c r="C27" s="408"/>
      <c r="D27" s="408"/>
      <c r="G27" s="1004"/>
    </row>
    <row r="28" spans="1:13" ht="33" customHeight="1" x14ac:dyDescent="0.2">
      <c r="A28" s="1824" t="s">
        <v>168</v>
      </c>
      <c r="B28" s="1824"/>
      <c r="C28" s="1824"/>
      <c r="D28" s="1824"/>
      <c r="E28" s="1824"/>
      <c r="F28" s="1824"/>
      <c r="G28" s="1824"/>
      <c r="H28" s="1824"/>
      <c r="I28" s="1824"/>
      <c r="J28" s="1824"/>
      <c r="K28" s="1824"/>
      <c r="L28" s="1824"/>
      <c r="M28" s="1824"/>
    </row>
    <row r="29" spans="1:13" ht="20.100000000000001" customHeight="1" x14ac:dyDescent="0.25">
      <c r="G29" s="412"/>
      <c r="H29" s="412"/>
      <c r="I29" s="1003"/>
      <c r="J29" s="1003"/>
    </row>
    <row r="30" spans="1:13" ht="23.1" customHeight="1" x14ac:dyDescent="0.2">
      <c r="A30" s="1816" t="s">
        <v>169</v>
      </c>
      <c r="B30" s="1816"/>
      <c r="C30" s="1816"/>
      <c r="D30" s="1816"/>
      <c r="E30" s="1816"/>
      <c r="F30" s="1816"/>
      <c r="G30" s="1816"/>
      <c r="H30" s="1816"/>
      <c r="I30" s="1816"/>
      <c r="J30" s="1816"/>
    </row>
    <row r="31" spans="1:13" ht="12" customHeight="1" x14ac:dyDescent="0.2">
      <c r="A31" s="1891"/>
      <c r="B31" s="1891"/>
      <c r="C31" s="1891"/>
      <c r="D31" s="1891"/>
      <c r="E31" s="1891"/>
      <c r="F31" s="1891"/>
      <c r="G31" s="1891"/>
      <c r="H31" s="1891"/>
      <c r="I31" s="1891"/>
      <c r="J31" s="1891"/>
    </row>
    <row r="32" spans="1:13" ht="12.95" customHeight="1" thickBot="1" x14ac:dyDescent="0.25">
      <c r="A32" s="1007"/>
      <c r="B32" s="1007"/>
      <c r="C32" s="1007"/>
      <c r="D32" s="1007"/>
      <c r="E32" s="1007"/>
      <c r="F32" s="1007"/>
      <c r="G32" s="1007"/>
      <c r="K32" s="1260"/>
    </row>
    <row r="33" spans="1:13" ht="21.75" customHeight="1" thickBot="1" x14ac:dyDescent="0.25">
      <c r="B33" s="1854" t="s">
        <v>170</v>
      </c>
      <c r="C33" s="1855"/>
      <c r="D33" s="1854" t="s">
        <v>171</v>
      </c>
      <c r="E33" s="1855"/>
      <c r="F33" s="1854" t="s">
        <v>172</v>
      </c>
      <c r="G33" s="1855"/>
      <c r="H33" s="1836" t="s">
        <v>173</v>
      </c>
      <c r="I33" s="1837"/>
      <c r="J33" s="1837"/>
      <c r="K33" s="1838"/>
    </row>
    <row r="34" spans="1:13" ht="39.950000000000003" customHeight="1" thickBot="1" x14ac:dyDescent="0.25">
      <c r="B34" s="1856"/>
      <c r="C34" s="1857"/>
      <c r="D34" s="1856"/>
      <c r="E34" s="1857"/>
      <c r="F34" s="1856"/>
      <c r="G34" s="1857"/>
      <c r="H34" s="1839" t="s">
        <v>174</v>
      </c>
      <c r="I34" s="1840"/>
      <c r="J34" s="1841" t="s">
        <v>601</v>
      </c>
      <c r="K34" s="1842"/>
    </row>
    <row r="35" spans="1:13" ht="39.950000000000003" customHeight="1" thickBot="1" x14ac:dyDescent="0.25">
      <c r="B35" s="1848" t="str">
        <f>D14</f>
        <v>Pesa de 5 kg</v>
      </c>
      <c r="C35" s="1849"/>
      <c r="D35" s="1850" t="s">
        <v>536</v>
      </c>
      <c r="E35" s="1851"/>
      <c r="F35" s="1852" t="e">
        <f>VLOOKUP($K$32,'DATOS &lt;'!B202:G215,1,FALSE)</f>
        <v>#N/A</v>
      </c>
      <c r="G35" s="1853"/>
      <c r="H35" s="1008" t="e">
        <f>VLOOKUP($K$32,'DATOS &lt;'!B202:G215,3,FALSE)</f>
        <v>#N/A</v>
      </c>
      <c r="I35" s="1009" t="s">
        <v>177</v>
      </c>
      <c r="J35" s="1010" t="e">
        <f>VLOOKUP($K$32,'DATOS &lt;'!B202:G215,5,FALSE)</f>
        <v>#N/A</v>
      </c>
      <c r="K35" s="1011" t="s">
        <v>178</v>
      </c>
    </row>
    <row r="36" spans="1:13" ht="39.950000000000003" hidden="1" customHeight="1" thickBot="1" x14ac:dyDescent="0.25">
      <c r="A36" s="1831"/>
      <c r="B36" s="1832"/>
      <c r="C36" s="1831"/>
      <c r="D36" s="1833"/>
      <c r="E36" s="1834"/>
      <c r="F36" s="1832"/>
      <c r="G36" s="1012"/>
      <c r="H36" s="1013"/>
      <c r="I36" s="1012"/>
      <c r="J36" s="1014"/>
    </row>
    <row r="37" spans="1:13" ht="20.100000000000001" customHeight="1" x14ac:dyDescent="0.2"/>
    <row r="38" spans="1:13" ht="125.1" customHeight="1" x14ac:dyDescent="0.2"/>
    <row r="39" spans="1:13" ht="35.1" customHeight="1" x14ac:dyDescent="0.2"/>
    <row r="40" spans="1:13" ht="65.099999999999994" customHeight="1" x14ac:dyDescent="0.2">
      <c r="J40" s="1814" t="s">
        <v>8</v>
      </c>
      <c r="K40" s="1814"/>
      <c r="L40" s="1815">
        <f>L3</f>
        <v>0</v>
      </c>
      <c r="M40" s="1815"/>
    </row>
    <row r="41" spans="1:13" ht="30" customHeight="1" x14ac:dyDescent="0.2">
      <c r="A41" s="1816" t="s">
        <v>179</v>
      </c>
      <c r="B41" s="1816"/>
      <c r="C41" s="1816"/>
      <c r="D41" s="1816"/>
      <c r="E41" s="1816"/>
      <c r="F41" s="1816"/>
      <c r="G41" s="1816"/>
      <c r="H41" s="1816"/>
      <c r="I41" s="1816"/>
      <c r="J41" s="1816"/>
      <c r="M41" s="1284"/>
    </row>
    <row r="42" spans="1:13" ht="19.5" customHeight="1" x14ac:dyDescent="0.2">
      <c r="A42" s="223"/>
    </row>
    <row r="43" spans="1:13" s="1157" customFormat="1" ht="90" customHeight="1" x14ac:dyDescent="0.2">
      <c r="A43" s="1835" t="e">
        <f>VLOOKUP($M$41,'DATOS &lt;'!$I$115:$L$118,2,FALSE)</f>
        <v>#N/A</v>
      </c>
      <c r="B43" s="1835"/>
      <c r="C43" s="1835"/>
      <c r="D43" s="1835"/>
      <c r="E43" s="1835"/>
      <c r="F43" s="1835"/>
      <c r="G43" s="1835"/>
      <c r="H43" s="1835"/>
      <c r="I43" s="1835"/>
      <c r="J43" s="1835"/>
      <c r="K43" s="1835"/>
      <c r="L43" s="1835"/>
      <c r="M43" s="1835"/>
    </row>
    <row r="44" spans="1:13" ht="7.5" customHeight="1" x14ac:dyDescent="0.2">
      <c r="A44" s="968"/>
      <c r="B44" s="968"/>
      <c r="C44" s="968"/>
      <c r="D44" s="968"/>
      <c r="E44" s="968"/>
      <c r="F44" s="968"/>
      <c r="G44" s="968"/>
      <c r="H44" s="968"/>
      <c r="I44" s="968"/>
      <c r="J44" s="968"/>
      <c r="K44" s="968"/>
      <c r="L44" s="968"/>
      <c r="M44" s="968"/>
    </row>
    <row r="45" spans="1:13" ht="7.5" customHeight="1" thickBot="1" x14ac:dyDescent="0.25">
      <c r="A45" s="1015"/>
      <c r="B45" s="1015"/>
      <c r="C45" s="1015"/>
      <c r="D45" s="1015"/>
      <c r="E45" s="1015"/>
      <c r="F45" s="1015"/>
      <c r="G45" s="1015"/>
      <c r="H45" s="1015"/>
      <c r="I45" s="1015"/>
      <c r="J45" s="1015"/>
    </row>
    <row r="46" spans="1:13" ht="65.099999999999994" customHeight="1" thickBot="1" x14ac:dyDescent="0.25">
      <c r="B46" s="1847" t="s">
        <v>180</v>
      </c>
      <c r="C46" s="1847"/>
      <c r="D46" s="1847"/>
      <c r="E46" s="242" t="s">
        <v>11</v>
      </c>
      <c r="F46" s="242" t="s">
        <v>12</v>
      </c>
      <c r="G46" s="224" t="s">
        <v>3</v>
      </c>
      <c r="H46" s="1847" t="s">
        <v>181</v>
      </c>
      <c r="I46" s="1847"/>
      <c r="J46" s="1847" t="s">
        <v>5</v>
      </c>
      <c r="K46" s="1847"/>
    </row>
    <row r="47" spans="1:13" ht="65.099999999999994" customHeight="1" thickBot="1" x14ac:dyDescent="0.25">
      <c r="B47" s="1880" t="s">
        <v>550</v>
      </c>
      <c r="C47" s="1880"/>
      <c r="D47" s="1880"/>
      <c r="E47" s="225" t="s">
        <v>538</v>
      </c>
      <c r="F47" s="413" t="e">
        <f>'5 kg &lt; (C)'!D7</f>
        <v>#N/A</v>
      </c>
      <c r="G47" s="1261" t="e">
        <f>'5 kg &lt; (C)'!C16</f>
        <v>#N/A</v>
      </c>
      <c r="H47" s="1845" t="e">
        <f>'5 kg &lt; (C)'!B9</f>
        <v>#N/A</v>
      </c>
      <c r="I47" s="1845"/>
      <c r="J47" s="1846" t="e">
        <f>'5 kg &lt; (C)'!D9</f>
        <v>#N/A</v>
      </c>
      <c r="K47" s="1846"/>
    </row>
    <row r="48" spans="1:13" ht="33" hidden="1" customHeight="1" thickBot="1" x14ac:dyDescent="0.25">
      <c r="A48" s="1888"/>
      <c r="B48" s="1888"/>
      <c r="C48" s="1888"/>
      <c r="D48" s="225"/>
      <c r="E48" s="413"/>
      <c r="F48" s="1261"/>
      <c r="G48" s="1889"/>
      <c r="H48" s="1890"/>
      <c r="I48" s="1846"/>
      <c r="J48" s="1846"/>
    </row>
    <row r="49" spans="1:1020 1029:2040 2049:3070 3079:4090 4099:5120 5129:6140 6149:7160 7169:8190 8199:9210 9219:10240 10249:11260 11269:12280 12289:13310 13319:14330 14339:15360 15369:16380" ht="26.1" customHeight="1" x14ac:dyDescent="0.2">
      <c r="A49" s="409"/>
      <c r="B49" s="409"/>
      <c r="C49" s="409"/>
      <c r="D49" s="226"/>
      <c r="E49" s="409"/>
      <c r="F49" s="409"/>
      <c r="G49" s="409"/>
      <c r="H49" s="409"/>
      <c r="I49" s="227"/>
      <c r="J49" s="227"/>
    </row>
    <row r="50" spans="1:1020 1029:2040 2049:3070 3079:4090 4099:5120 5129:6140 6149:7160 7169:8190 8199:9210 9219:10240 10249:11260 11269:12280 12289:13310 13319:14330 14339:15360 15369:16380" ht="30" customHeight="1" x14ac:dyDescent="0.2">
      <c r="A50" s="1815" t="s">
        <v>183</v>
      </c>
      <c r="B50" s="1815"/>
      <c r="C50" s="1815"/>
      <c r="D50" s="1815"/>
      <c r="E50" s="1815"/>
      <c r="F50" s="1815"/>
      <c r="G50" s="1815"/>
      <c r="H50" s="1815"/>
      <c r="I50" s="1815"/>
      <c r="J50" s="1815"/>
    </row>
    <row r="51" spans="1:1020 1029:2040 2049:3070 3079:4090 4099:5120 5129:6140 6149:7160 7169:8190 8199:9210 9219:10240 10249:11260 11269:12280 12289:13310 13319:14330 14339:15360 15369:16380" ht="7.5" customHeight="1" x14ac:dyDescent="0.2">
      <c r="A51" s="223"/>
      <c r="B51" s="223"/>
    </row>
    <row r="52" spans="1:1020 1029:2040 2049:3070 3079:4090 4099:5120 5129:6140 6149:7160 7169:8190 8199:9210 9219:10240 10249:11260 11269:12280 12289:13310 13319:14330 14339:15360 15369:16380" ht="39.950000000000003" customHeight="1" x14ac:dyDescent="0.2">
      <c r="A52" s="1824" t="s">
        <v>602</v>
      </c>
      <c r="B52" s="1824"/>
      <c r="C52" s="1824"/>
      <c r="D52" s="1824"/>
      <c r="E52" s="1824"/>
      <c r="F52" s="1824"/>
      <c r="G52" s="1824"/>
      <c r="H52" s="1824"/>
      <c r="I52" s="1824"/>
      <c r="J52" s="1824"/>
      <c r="K52" s="1824"/>
      <c r="L52" s="1824"/>
      <c r="M52" s="1824"/>
    </row>
    <row r="53" spans="1:1020 1029:2040 2049:3070 3079:4090 4099:5120 5129:6140 6149:7160 7169:8190 8199:9210 9219:10240 10249:11260 11269:12280 12289:13310 13319:14330 14339:15360 15369:16380" ht="39.950000000000003" customHeight="1" x14ac:dyDescent="0.2">
      <c r="A53" s="1824"/>
      <c r="B53" s="1824"/>
      <c r="C53" s="1824"/>
      <c r="D53" s="1824"/>
      <c r="E53" s="1824"/>
      <c r="F53" s="1824"/>
      <c r="G53" s="1824"/>
      <c r="H53" s="1824"/>
      <c r="I53" s="1824"/>
      <c r="J53" s="1824"/>
      <c r="K53" s="1824"/>
      <c r="L53" s="1824"/>
      <c r="M53" s="1824"/>
    </row>
    <row r="54" spans="1:1020 1029:2040 2049:3070 3079:4090 4099:5120 5129:6140 6149:7160 7169:8190 8199:9210 9219:10240 10249:11260 11269:12280 12289:13310 13319:14330 14339:15360 15369:16380" ht="26.1" customHeight="1" x14ac:dyDescent="0.2">
      <c r="A54" s="1017"/>
      <c r="B54" s="1017"/>
      <c r="C54" s="1017"/>
      <c r="D54" s="1017"/>
      <c r="E54" s="1017"/>
      <c r="F54" s="1017"/>
      <c r="G54" s="1017"/>
      <c r="H54" s="1017"/>
      <c r="I54" s="1017"/>
      <c r="J54" s="1017"/>
    </row>
    <row r="55" spans="1:1020 1029:2040 2049:3070 3079:4090 4099:5120 5129:6140 6149:7160 7169:8190 8199:9210 9219:10240 10249:11260 11269:12280 12289:13310 13319:14330 14339:15360 15369:16380" ht="30" customHeight="1" x14ac:dyDescent="0.2">
      <c r="A55" s="1815" t="s">
        <v>184</v>
      </c>
      <c r="B55" s="1815"/>
      <c r="C55" s="1815"/>
      <c r="D55" s="1815"/>
      <c r="E55" s="1815"/>
      <c r="F55" s="1815"/>
      <c r="G55" s="1815"/>
      <c r="H55" s="1815"/>
      <c r="I55" s="1815"/>
      <c r="J55" s="1815"/>
    </row>
    <row r="56" spans="1:1020 1029:2040 2049:3070 3079:4090 4099:5120 5129:6140 6149:7160 7169:8190 8199:9210 9219:10240 10249:11260 11269:12280 12289:13310 13319:14330 14339:15360 15369:16380" ht="20.100000000000001" customHeight="1" thickBot="1" x14ac:dyDescent="0.25">
      <c r="A56" s="223"/>
      <c r="B56" s="223"/>
      <c r="S56" s="223"/>
      <c r="T56" s="223"/>
      <c r="AC56" s="223"/>
      <c r="AD56" s="223"/>
      <c r="AM56" s="223"/>
      <c r="AN56" s="223"/>
      <c r="AW56" s="223"/>
      <c r="AX56" s="223"/>
      <c r="BG56" s="223"/>
      <c r="BH56" s="223"/>
      <c r="BQ56" s="223"/>
      <c r="BR56" s="223"/>
      <c r="CA56" s="223"/>
      <c r="CB56" s="223"/>
      <c r="CK56" s="223"/>
      <c r="CL56" s="223"/>
      <c r="CU56" s="223"/>
      <c r="CV56" s="223"/>
      <c r="DE56" s="223"/>
      <c r="DF56" s="223"/>
      <c r="DO56" s="223"/>
      <c r="DP56" s="223"/>
      <c r="DY56" s="223"/>
      <c r="DZ56" s="223"/>
      <c r="EI56" s="223"/>
      <c r="EJ56" s="223"/>
      <c r="ES56" s="223"/>
      <c r="ET56" s="223"/>
      <c r="FC56" s="223"/>
      <c r="FD56" s="223"/>
      <c r="FM56" s="223"/>
      <c r="FN56" s="223"/>
      <c r="FW56" s="223"/>
      <c r="FX56" s="223"/>
      <c r="GG56" s="223"/>
      <c r="GH56" s="223"/>
      <c r="GQ56" s="223"/>
      <c r="GR56" s="223"/>
      <c r="HA56" s="223"/>
      <c r="HB56" s="223"/>
      <c r="HK56" s="223"/>
      <c r="HL56" s="223"/>
      <c r="HU56" s="223"/>
      <c r="HV56" s="223"/>
      <c r="IE56" s="223"/>
      <c r="IF56" s="223"/>
      <c r="IO56" s="223"/>
      <c r="IP56" s="223"/>
      <c r="IY56" s="223"/>
      <c r="IZ56" s="223"/>
      <c r="JI56" s="223"/>
      <c r="JJ56" s="223"/>
      <c r="JS56" s="223"/>
      <c r="JT56" s="223"/>
      <c r="KC56" s="223"/>
      <c r="KD56" s="223"/>
      <c r="KM56" s="223"/>
      <c r="KN56" s="223"/>
      <c r="KW56" s="223"/>
      <c r="KX56" s="223"/>
      <c r="LG56" s="223"/>
      <c r="LH56" s="223"/>
      <c r="LQ56" s="223"/>
      <c r="LR56" s="223"/>
      <c r="MA56" s="223"/>
      <c r="MB56" s="223"/>
      <c r="MK56" s="223"/>
      <c r="ML56" s="223"/>
      <c r="MU56" s="223"/>
      <c r="MV56" s="223"/>
      <c r="NE56" s="223"/>
      <c r="NF56" s="223"/>
      <c r="NO56" s="223"/>
      <c r="NP56" s="223"/>
      <c r="NY56" s="223"/>
      <c r="NZ56" s="223"/>
      <c r="OI56" s="223"/>
      <c r="OJ56" s="223"/>
      <c r="OS56" s="223"/>
      <c r="OT56" s="223"/>
      <c r="PC56" s="223"/>
      <c r="PD56" s="223"/>
      <c r="PM56" s="223"/>
      <c r="PN56" s="223"/>
      <c r="PW56" s="223"/>
      <c r="PX56" s="223"/>
      <c r="QG56" s="223"/>
      <c r="QH56" s="223"/>
      <c r="QQ56" s="223"/>
      <c r="QR56" s="223"/>
      <c r="RA56" s="223"/>
      <c r="RB56" s="223"/>
      <c r="RK56" s="223"/>
      <c r="RL56" s="223"/>
      <c r="RU56" s="223"/>
      <c r="RV56" s="223"/>
      <c r="SE56" s="223"/>
      <c r="SF56" s="223"/>
      <c r="SO56" s="223"/>
      <c r="SP56" s="223"/>
      <c r="SY56" s="223"/>
      <c r="SZ56" s="223"/>
      <c r="TI56" s="223"/>
      <c r="TJ56" s="223"/>
      <c r="TS56" s="223"/>
      <c r="TT56" s="223"/>
      <c r="UC56" s="223"/>
      <c r="UD56" s="223"/>
      <c r="UM56" s="223"/>
      <c r="UN56" s="223"/>
      <c r="UW56" s="223"/>
      <c r="UX56" s="223"/>
      <c r="VG56" s="223"/>
      <c r="VH56" s="223"/>
      <c r="VQ56" s="223"/>
      <c r="VR56" s="223"/>
      <c r="WA56" s="223"/>
      <c r="WB56" s="223"/>
      <c r="WK56" s="223"/>
      <c r="WL56" s="223"/>
      <c r="WU56" s="223"/>
      <c r="WV56" s="223"/>
      <c r="XE56" s="223"/>
      <c r="XF56" s="223"/>
      <c r="XO56" s="223"/>
      <c r="XP56" s="223"/>
      <c r="XY56" s="223"/>
      <c r="XZ56" s="223"/>
      <c r="YI56" s="223"/>
      <c r="YJ56" s="223"/>
      <c r="YS56" s="223"/>
      <c r="YT56" s="223"/>
      <c r="ZC56" s="223"/>
      <c r="ZD56" s="223"/>
      <c r="ZM56" s="223"/>
      <c r="ZN56" s="223"/>
      <c r="ZW56" s="223"/>
      <c r="ZX56" s="223"/>
      <c r="AAG56" s="223"/>
      <c r="AAH56" s="223"/>
      <c r="AAQ56" s="223"/>
      <c r="AAR56" s="223"/>
      <c r="ABA56" s="223"/>
      <c r="ABB56" s="223"/>
      <c r="ABK56" s="223"/>
      <c r="ABL56" s="223"/>
      <c r="ABU56" s="223"/>
      <c r="ABV56" s="223"/>
      <c r="ACE56" s="223"/>
      <c r="ACF56" s="223"/>
      <c r="ACO56" s="223"/>
      <c r="ACP56" s="223"/>
      <c r="ACY56" s="223"/>
      <c r="ACZ56" s="223"/>
      <c r="ADI56" s="223"/>
      <c r="ADJ56" s="223"/>
      <c r="ADS56" s="223"/>
      <c r="ADT56" s="223"/>
      <c r="AEC56" s="223"/>
      <c r="AED56" s="223"/>
      <c r="AEM56" s="223"/>
      <c r="AEN56" s="223"/>
      <c r="AEW56" s="223"/>
      <c r="AEX56" s="223"/>
      <c r="AFG56" s="223"/>
      <c r="AFH56" s="223"/>
      <c r="AFQ56" s="223"/>
      <c r="AFR56" s="223"/>
      <c r="AGA56" s="223"/>
      <c r="AGB56" s="223"/>
      <c r="AGK56" s="223"/>
      <c r="AGL56" s="223"/>
      <c r="AGU56" s="223"/>
      <c r="AGV56" s="223"/>
      <c r="AHE56" s="223"/>
      <c r="AHF56" s="223"/>
      <c r="AHO56" s="223"/>
      <c r="AHP56" s="223"/>
      <c r="AHY56" s="223"/>
      <c r="AHZ56" s="223"/>
      <c r="AII56" s="223"/>
      <c r="AIJ56" s="223"/>
      <c r="AIS56" s="223"/>
      <c r="AIT56" s="223"/>
      <c r="AJC56" s="223"/>
      <c r="AJD56" s="223"/>
      <c r="AJM56" s="223"/>
      <c r="AJN56" s="223"/>
      <c r="AJW56" s="223"/>
      <c r="AJX56" s="223"/>
      <c r="AKG56" s="223"/>
      <c r="AKH56" s="223"/>
      <c r="AKQ56" s="223"/>
      <c r="AKR56" s="223"/>
      <c r="ALA56" s="223"/>
      <c r="ALB56" s="223"/>
      <c r="ALK56" s="223"/>
      <c r="ALL56" s="223"/>
      <c r="ALU56" s="223"/>
      <c r="ALV56" s="223"/>
      <c r="AME56" s="223"/>
      <c r="AMF56" s="223"/>
      <c r="AMO56" s="223"/>
      <c r="AMP56" s="223"/>
      <c r="AMY56" s="223"/>
      <c r="AMZ56" s="223"/>
      <c r="ANI56" s="223"/>
      <c r="ANJ56" s="223"/>
      <c r="ANS56" s="223"/>
      <c r="ANT56" s="223"/>
      <c r="AOC56" s="223"/>
      <c r="AOD56" s="223"/>
      <c r="AOM56" s="223"/>
      <c r="AON56" s="223"/>
      <c r="AOW56" s="223"/>
      <c r="AOX56" s="223"/>
      <c r="APG56" s="223"/>
      <c r="APH56" s="223"/>
      <c r="APQ56" s="223"/>
      <c r="APR56" s="223"/>
      <c r="AQA56" s="223"/>
      <c r="AQB56" s="223"/>
      <c r="AQK56" s="223"/>
      <c r="AQL56" s="223"/>
      <c r="AQU56" s="223"/>
      <c r="AQV56" s="223"/>
      <c r="ARE56" s="223"/>
      <c r="ARF56" s="223"/>
      <c r="ARO56" s="223"/>
      <c r="ARP56" s="223"/>
      <c r="ARY56" s="223"/>
      <c r="ARZ56" s="223"/>
      <c r="ASI56" s="223"/>
      <c r="ASJ56" s="223"/>
      <c r="ASS56" s="223"/>
      <c r="AST56" s="223"/>
      <c r="ATC56" s="223"/>
      <c r="ATD56" s="223"/>
      <c r="ATM56" s="223"/>
      <c r="ATN56" s="223"/>
      <c r="ATW56" s="223"/>
      <c r="ATX56" s="223"/>
      <c r="AUG56" s="223"/>
      <c r="AUH56" s="223"/>
      <c r="AUQ56" s="223"/>
      <c r="AUR56" s="223"/>
      <c r="AVA56" s="223"/>
      <c r="AVB56" s="223"/>
      <c r="AVK56" s="223"/>
      <c r="AVL56" s="223"/>
      <c r="AVU56" s="223"/>
      <c r="AVV56" s="223"/>
      <c r="AWE56" s="223"/>
      <c r="AWF56" s="223"/>
      <c r="AWO56" s="223"/>
      <c r="AWP56" s="223"/>
      <c r="AWY56" s="223"/>
      <c r="AWZ56" s="223"/>
      <c r="AXI56" s="223"/>
      <c r="AXJ56" s="223"/>
      <c r="AXS56" s="223"/>
      <c r="AXT56" s="223"/>
      <c r="AYC56" s="223"/>
      <c r="AYD56" s="223"/>
      <c r="AYM56" s="223"/>
      <c r="AYN56" s="223"/>
      <c r="AYW56" s="223"/>
      <c r="AYX56" s="223"/>
      <c r="AZG56" s="223"/>
      <c r="AZH56" s="223"/>
      <c r="AZQ56" s="223"/>
      <c r="AZR56" s="223"/>
      <c r="BAA56" s="223"/>
      <c r="BAB56" s="223"/>
      <c r="BAK56" s="223"/>
      <c r="BAL56" s="223"/>
      <c r="BAU56" s="223"/>
      <c r="BAV56" s="223"/>
      <c r="BBE56" s="223"/>
      <c r="BBF56" s="223"/>
      <c r="BBO56" s="223"/>
      <c r="BBP56" s="223"/>
      <c r="BBY56" s="223"/>
      <c r="BBZ56" s="223"/>
      <c r="BCI56" s="223"/>
      <c r="BCJ56" s="223"/>
      <c r="BCS56" s="223"/>
      <c r="BCT56" s="223"/>
      <c r="BDC56" s="223"/>
      <c r="BDD56" s="223"/>
      <c r="BDM56" s="223"/>
      <c r="BDN56" s="223"/>
      <c r="BDW56" s="223"/>
      <c r="BDX56" s="223"/>
      <c r="BEG56" s="223"/>
      <c r="BEH56" s="223"/>
      <c r="BEQ56" s="223"/>
      <c r="BER56" s="223"/>
      <c r="BFA56" s="223"/>
      <c r="BFB56" s="223"/>
      <c r="BFK56" s="223"/>
      <c r="BFL56" s="223"/>
      <c r="BFU56" s="223"/>
      <c r="BFV56" s="223"/>
      <c r="BGE56" s="223"/>
      <c r="BGF56" s="223"/>
      <c r="BGO56" s="223"/>
      <c r="BGP56" s="223"/>
      <c r="BGY56" s="223"/>
      <c r="BGZ56" s="223"/>
      <c r="BHI56" s="223"/>
      <c r="BHJ56" s="223"/>
      <c r="BHS56" s="223"/>
      <c r="BHT56" s="223"/>
      <c r="BIC56" s="223"/>
      <c r="BID56" s="223"/>
      <c r="BIM56" s="223"/>
      <c r="BIN56" s="223"/>
      <c r="BIW56" s="223"/>
      <c r="BIX56" s="223"/>
      <c r="BJG56" s="223"/>
      <c r="BJH56" s="223"/>
      <c r="BJQ56" s="223"/>
      <c r="BJR56" s="223"/>
      <c r="BKA56" s="223"/>
      <c r="BKB56" s="223"/>
      <c r="BKK56" s="223"/>
      <c r="BKL56" s="223"/>
      <c r="BKU56" s="223"/>
      <c r="BKV56" s="223"/>
      <c r="BLE56" s="223"/>
      <c r="BLF56" s="223"/>
      <c r="BLO56" s="223"/>
      <c r="BLP56" s="223"/>
      <c r="BLY56" s="223"/>
      <c r="BLZ56" s="223"/>
      <c r="BMI56" s="223"/>
      <c r="BMJ56" s="223"/>
      <c r="BMS56" s="223"/>
      <c r="BMT56" s="223"/>
      <c r="BNC56" s="223"/>
      <c r="BND56" s="223"/>
      <c r="BNM56" s="223"/>
      <c r="BNN56" s="223"/>
      <c r="BNW56" s="223"/>
      <c r="BNX56" s="223"/>
      <c r="BOG56" s="223"/>
      <c r="BOH56" s="223"/>
      <c r="BOQ56" s="223"/>
      <c r="BOR56" s="223"/>
      <c r="BPA56" s="223"/>
      <c r="BPB56" s="223"/>
      <c r="BPK56" s="223"/>
      <c r="BPL56" s="223"/>
      <c r="BPU56" s="223"/>
      <c r="BPV56" s="223"/>
      <c r="BQE56" s="223"/>
      <c r="BQF56" s="223"/>
      <c r="BQO56" s="223"/>
      <c r="BQP56" s="223"/>
      <c r="BQY56" s="223"/>
      <c r="BQZ56" s="223"/>
      <c r="BRI56" s="223"/>
      <c r="BRJ56" s="223"/>
      <c r="BRS56" s="223"/>
      <c r="BRT56" s="223"/>
      <c r="BSC56" s="223"/>
      <c r="BSD56" s="223"/>
      <c r="BSM56" s="223"/>
      <c r="BSN56" s="223"/>
      <c r="BSW56" s="223"/>
      <c r="BSX56" s="223"/>
      <c r="BTG56" s="223"/>
      <c r="BTH56" s="223"/>
      <c r="BTQ56" s="223"/>
      <c r="BTR56" s="223"/>
      <c r="BUA56" s="223"/>
      <c r="BUB56" s="223"/>
      <c r="BUK56" s="223"/>
      <c r="BUL56" s="223"/>
      <c r="BUU56" s="223"/>
      <c r="BUV56" s="223"/>
      <c r="BVE56" s="223"/>
      <c r="BVF56" s="223"/>
      <c r="BVO56" s="223"/>
      <c r="BVP56" s="223"/>
      <c r="BVY56" s="223"/>
      <c r="BVZ56" s="223"/>
      <c r="BWI56" s="223"/>
      <c r="BWJ56" s="223"/>
      <c r="BWS56" s="223"/>
      <c r="BWT56" s="223"/>
      <c r="BXC56" s="223"/>
      <c r="BXD56" s="223"/>
      <c r="BXM56" s="223"/>
      <c r="BXN56" s="223"/>
      <c r="BXW56" s="223"/>
      <c r="BXX56" s="223"/>
      <c r="BYG56" s="223"/>
      <c r="BYH56" s="223"/>
      <c r="BYQ56" s="223"/>
      <c r="BYR56" s="223"/>
      <c r="BZA56" s="223"/>
      <c r="BZB56" s="223"/>
      <c r="BZK56" s="223"/>
      <c r="BZL56" s="223"/>
      <c r="BZU56" s="223"/>
      <c r="BZV56" s="223"/>
      <c r="CAE56" s="223"/>
      <c r="CAF56" s="223"/>
      <c r="CAO56" s="223"/>
      <c r="CAP56" s="223"/>
      <c r="CAY56" s="223"/>
      <c r="CAZ56" s="223"/>
      <c r="CBI56" s="223"/>
      <c r="CBJ56" s="223"/>
      <c r="CBS56" s="223"/>
      <c r="CBT56" s="223"/>
      <c r="CCC56" s="223"/>
      <c r="CCD56" s="223"/>
      <c r="CCM56" s="223"/>
      <c r="CCN56" s="223"/>
      <c r="CCW56" s="223"/>
      <c r="CCX56" s="223"/>
      <c r="CDG56" s="223"/>
      <c r="CDH56" s="223"/>
      <c r="CDQ56" s="223"/>
      <c r="CDR56" s="223"/>
      <c r="CEA56" s="223"/>
      <c r="CEB56" s="223"/>
      <c r="CEK56" s="223"/>
      <c r="CEL56" s="223"/>
      <c r="CEU56" s="223"/>
      <c r="CEV56" s="223"/>
      <c r="CFE56" s="223"/>
      <c r="CFF56" s="223"/>
      <c r="CFO56" s="223"/>
      <c r="CFP56" s="223"/>
      <c r="CFY56" s="223"/>
      <c r="CFZ56" s="223"/>
      <c r="CGI56" s="223"/>
      <c r="CGJ56" s="223"/>
      <c r="CGS56" s="223"/>
      <c r="CGT56" s="223"/>
      <c r="CHC56" s="223"/>
      <c r="CHD56" s="223"/>
      <c r="CHM56" s="223"/>
      <c r="CHN56" s="223"/>
      <c r="CHW56" s="223"/>
      <c r="CHX56" s="223"/>
      <c r="CIG56" s="223"/>
      <c r="CIH56" s="223"/>
      <c r="CIQ56" s="223"/>
      <c r="CIR56" s="223"/>
      <c r="CJA56" s="223"/>
      <c r="CJB56" s="223"/>
      <c r="CJK56" s="223"/>
      <c r="CJL56" s="223"/>
      <c r="CJU56" s="223"/>
      <c r="CJV56" s="223"/>
      <c r="CKE56" s="223"/>
      <c r="CKF56" s="223"/>
      <c r="CKO56" s="223"/>
      <c r="CKP56" s="223"/>
      <c r="CKY56" s="223"/>
      <c r="CKZ56" s="223"/>
      <c r="CLI56" s="223"/>
      <c r="CLJ56" s="223"/>
      <c r="CLS56" s="223"/>
      <c r="CLT56" s="223"/>
      <c r="CMC56" s="223"/>
      <c r="CMD56" s="223"/>
      <c r="CMM56" s="223"/>
      <c r="CMN56" s="223"/>
      <c r="CMW56" s="223"/>
      <c r="CMX56" s="223"/>
      <c r="CNG56" s="223"/>
      <c r="CNH56" s="223"/>
      <c r="CNQ56" s="223"/>
      <c r="CNR56" s="223"/>
      <c r="COA56" s="223"/>
      <c r="COB56" s="223"/>
      <c r="COK56" s="223"/>
      <c r="COL56" s="223"/>
      <c r="COU56" s="223"/>
      <c r="COV56" s="223"/>
      <c r="CPE56" s="223"/>
      <c r="CPF56" s="223"/>
      <c r="CPO56" s="223"/>
      <c r="CPP56" s="223"/>
      <c r="CPY56" s="223"/>
      <c r="CPZ56" s="223"/>
      <c r="CQI56" s="223"/>
      <c r="CQJ56" s="223"/>
      <c r="CQS56" s="223"/>
      <c r="CQT56" s="223"/>
      <c r="CRC56" s="223"/>
      <c r="CRD56" s="223"/>
      <c r="CRM56" s="223"/>
      <c r="CRN56" s="223"/>
      <c r="CRW56" s="223"/>
      <c r="CRX56" s="223"/>
      <c r="CSG56" s="223"/>
      <c r="CSH56" s="223"/>
      <c r="CSQ56" s="223"/>
      <c r="CSR56" s="223"/>
      <c r="CTA56" s="223"/>
      <c r="CTB56" s="223"/>
      <c r="CTK56" s="223"/>
      <c r="CTL56" s="223"/>
      <c r="CTU56" s="223"/>
      <c r="CTV56" s="223"/>
      <c r="CUE56" s="223"/>
      <c r="CUF56" s="223"/>
      <c r="CUO56" s="223"/>
      <c r="CUP56" s="223"/>
      <c r="CUY56" s="223"/>
      <c r="CUZ56" s="223"/>
      <c r="CVI56" s="223"/>
      <c r="CVJ56" s="223"/>
      <c r="CVS56" s="223"/>
      <c r="CVT56" s="223"/>
      <c r="CWC56" s="223"/>
      <c r="CWD56" s="223"/>
      <c r="CWM56" s="223"/>
      <c r="CWN56" s="223"/>
      <c r="CWW56" s="223"/>
      <c r="CWX56" s="223"/>
      <c r="CXG56" s="223"/>
      <c r="CXH56" s="223"/>
      <c r="CXQ56" s="223"/>
      <c r="CXR56" s="223"/>
      <c r="CYA56" s="223"/>
      <c r="CYB56" s="223"/>
      <c r="CYK56" s="223"/>
      <c r="CYL56" s="223"/>
      <c r="CYU56" s="223"/>
      <c r="CYV56" s="223"/>
      <c r="CZE56" s="223"/>
      <c r="CZF56" s="223"/>
      <c r="CZO56" s="223"/>
      <c r="CZP56" s="223"/>
      <c r="CZY56" s="223"/>
      <c r="CZZ56" s="223"/>
      <c r="DAI56" s="223"/>
      <c r="DAJ56" s="223"/>
      <c r="DAS56" s="223"/>
      <c r="DAT56" s="223"/>
      <c r="DBC56" s="223"/>
      <c r="DBD56" s="223"/>
      <c r="DBM56" s="223"/>
      <c r="DBN56" s="223"/>
      <c r="DBW56" s="223"/>
      <c r="DBX56" s="223"/>
      <c r="DCG56" s="223"/>
      <c r="DCH56" s="223"/>
      <c r="DCQ56" s="223"/>
      <c r="DCR56" s="223"/>
      <c r="DDA56" s="223"/>
      <c r="DDB56" s="223"/>
      <c r="DDK56" s="223"/>
      <c r="DDL56" s="223"/>
      <c r="DDU56" s="223"/>
      <c r="DDV56" s="223"/>
      <c r="DEE56" s="223"/>
      <c r="DEF56" s="223"/>
      <c r="DEO56" s="223"/>
      <c r="DEP56" s="223"/>
      <c r="DEY56" s="223"/>
      <c r="DEZ56" s="223"/>
      <c r="DFI56" s="223"/>
      <c r="DFJ56" s="223"/>
      <c r="DFS56" s="223"/>
      <c r="DFT56" s="223"/>
      <c r="DGC56" s="223"/>
      <c r="DGD56" s="223"/>
      <c r="DGM56" s="223"/>
      <c r="DGN56" s="223"/>
      <c r="DGW56" s="223"/>
      <c r="DGX56" s="223"/>
      <c r="DHG56" s="223"/>
      <c r="DHH56" s="223"/>
      <c r="DHQ56" s="223"/>
      <c r="DHR56" s="223"/>
      <c r="DIA56" s="223"/>
      <c r="DIB56" s="223"/>
      <c r="DIK56" s="223"/>
      <c r="DIL56" s="223"/>
      <c r="DIU56" s="223"/>
      <c r="DIV56" s="223"/>
      <c r="DJE56" s="223"/>
      <c r="DJF56" s="223"/>
      <c r="DJO56" s="223"/>
      <c r="DJP56" s="223"/>
      <c r="DJY56" s="223"/>
      <c r="DJZ56" s="223"/>
      <c r="DKI56" s="223"/>
      <c r="DKJ56" s="223"/>
      <c r="DKS56" s="223"/>
      <c r="DKT56" s="223"/>
      <c r="DLC56" s="223"/>
      <c r="DLD56" s="223"/>
      <c r="DLM56" s="223"/>
      <c r="DLN56" s="223"/>
      <c r="DLW56" s="223"/>
      <c r="DLX56" s="223"/>
      <c r="DMG56" s="223"/>
      <c r="DMH56" s="223"/>
      <c r="DMQ56" s="223"/>
      <c r="DMR56" s="223"/>
      <c r="DNA56" s="223"/>
      <c r="DNB56" s="223"/>
      <c r="DNK56" s="223"/>
      <c r="DNL56" s="223"/>
      <c r="DNU56" s="223"/>
      <c r="DNV56" s="223"/>
      <c r="DOE56" s="223"/>
      <c r="DOF56" s="223"/>
      <c r="DOO56" s="223"/>
      <c r="DOP56" s="223"/>
      <c r="DOY56" s="223"/>
      <c r="DOZ56" s="223"/>
      <c r="DPI56" s="223"/>
      <c r="DPJ56" s="223"/>
      <c r="DPS56" s="223"/>
      <c r="DPT56" s="223"/>
      <c r="DQC56" s="223"/>
      <c r="DQD56" s="223"/>
      <c r="DQM56" s="223"/>
      <c r="DQN56" s="223"/>
      <c r="DQW56" s="223"/>
      <c r="DQX56" s="223"/>
      <c r="DRG56" s="223"/>
      <c r="DRH56" s="223"/>
      <c r="DRQ56" s="223"/>
      <c r="DRR56" s="223"/>
      <c r="DSA56" s="223"/>
      <c r="DSB56" s="223"/>
      <c r="DSK56" s="223"/>
      <c r="DSL56" s="223"/>
      <c r="DSU56" s="223"/>
      <c r="DSV56" s="223"/>
      <c r="DTE56" s="223"/>
      <c r="DTF56" s="223"/>
      <c r="DTO56" s="223"/>
      <c r="DTP56" s="223"/>
      <c r="DTY56" s="223"/>
      <c r="DTZ56" s="223"/>
      <c r="DUI56" s="223"/>
      <c r="DUJ56" s="223"/>
      <c r="DUS56" s="223"/>
      <c r="DUT56" s="223"/>
      <c r="DVC56" s="223"/>
      <c r="DVD56" s="223"/>
      <c r="DVM56" s="223"/>
      <c r="DVN56" s="223"/>
      <c r="DVW56" s="223"/>
      <c r="DVX56" s="223"/>
      <c r="DWG56" s="223"/>
      <c r="DWH56" s="223"/>
      <c r="DWQ56" s="223"/>
      <c r="DWR56" s="223"/>
      <c r="DXA56" s="223"/>
      <c r="DXB56" s="223"/>
      <c r="DXK56" s="223"/>
      <c r="DXL56" s="223"/>
      <c r="DXU56" s="223"/>
      <c r="DXV56" s="223"/>
      <c r="DYE56" s="223"/>
      <c r="DYF56" s="223"/>
      <c r="DYO56" s="223"/>
      <c r="DYP56" s="223"/>
      <c r="DYY56" s="223"/>
      <c r="DYZ56" s="223"/>
      <c r="DZI56" s="223"/>
      <c r="DZJ56" s="223"/>
      <c r="DZS56" s="223"/>
      <c r="DZT56" s="223"/>
      <c r="EAC56" s="223"/>
      <c r="EAD56" s="223"/>
      <c r="EAM56" s="223"/>
      <c r="EAN56" s="223"/>
      <c r="EAW56" s="223"/>
      <c r="EAX56" s="223"/>
      <c r="EBG56" s="223"/>
      <c r="EBH56" s="223"/>
      <c r="EBQ56" s="223"/>
      <c r="EBR56" s="223"/>
      <c r="ECA56" s="223"/>
      <c r="ECB56" s="223"/>
      <c r="ECK56" s="223"/>
      <c r="ECL56" s="223"/>
      <c r="ECU56" s="223"/>
      <c r="ECV56" s="223"/>
      <c r="EDE56" s="223"/>
      <c r="EDF56" s="223"/>
      <c r="EDO56" s="223"/>
      <c r="EDP56" s="223"/>
      <c r="EDY56" s="223"/>
      <c r="EDZ56" s="223"/>
      <c r="EEI56" s="223"/>
      <c r="EEJ56" s="223"/>
      <c r="EES56" s="223"/>
      <c r="EET56" s="223"/>
      <c r="EFC56" s="223"/>
      <c r="EFD56" s="223"/>
      <c r="EFM56" s="223"/>
      <c r="EFN56" s="223"/>
      <c r="EFW56" s="223"/>
      <c r="EFX56" s="223"/>
      <c r="EGG56" s="223"/>
      <c r="EGH56" s="223"/>
      <c r="EGQ56" s="223"/>
      <c r="EGR56" s="223"/>
      <c r="EHA56" s="223"/>
      <c r="EHB56" s="223"/>
      <c r="EHK56" s="223"/>
      <c r="EHL56" s="223"/>
      <c r="EHU56" s="223"/>
      <c r="EHV56" s="223"/>
      <c r="EIE56" s="223"/>
      <c r="EIF56" s="223"/>
      <c r="EIO56" s="223"/>
      <c r="EIP56" s="223"/>
      <c r="EIY56" s="223"/>
      <c r="EIZ56" s="223"/>
      <c r="EJI56" s="223"/>
      <c r="EJJ56" s="223"/>
      <c r="EJS56" s="223"/>
      <c r="EJT56" s="223"/>
      <c r="EKC56" s="223"/>
      <c r="EKD56" s="223"/>
      <c r="EKM56" s="223"/>
      <c r="EKN56" s="223"/>
      <c r="EKW56" s="223"/>
      <c r="EKX56" s="223"/>
      <c r="ELG56" s="223"/>
      <c r="ELH56" s="223"/>
      <c r="ELQ56" s="223"/>
      <c r="ELR56" s="223"/>
      <c r="EMA56" s="223"/>
      <c r="EMB56" s="223"/>
      <c r="EMK56" s="223"/>
      <c r="EML56" s="223"/>
      <c r="EMU56" s="223"/>
      <c r="EMV56" s="223"/>
      <c r="ENE56" s="223"/>
      <c r="ENF56" s="223"/>
      <c r="ENO56" s="223"/>
      <c r="ENP56" s="223"/>
      <c r="ENY56" s="223"/>
      <c r="ENZ56" s="223"/>
      <c r="EOI56" s="223"/>
      <c r="EOJ56" s="223"/>
      <c r="EOS56" s="223"/>
      <c r="EOT56" s="223"/>
      <c r="EPC56" s="223"/>
      <c r="EPD56" s="223"/>
      <c r="EPM56" s="223"/>
      <c r="EPN56" s="223"/>
      <c r="EPW56" s="223"/>
      <c r="EPX56" s="223"/>
      <c r="EQG56" s="223"/>
      <c r="EQH56" s="223"/>
      <c r="EQQ56" s="223"/>
      <c r="EQR56" s="223"/>
      <c r="ERA56" s="223"/>
      <c r="ERB56" s="223"/>
      <c r="ERK56" s="223"/>
      <c r="ERL56" s="223"/>
      <c r="ERU56" s="223"/>
      <c r="ERV56" s="223"/>
      <c r="ESE56" s="223"/>
      <c r="ESF56" s="223"/>
      <c r="ESO56" s="223"/>
      <c r="ESP56" s="223"/>
      <c r="ESY56" s="223"/>
      <c r="ESZ56" s="223"/>
      <c r="ETI56" s="223"/>
      <c r="ETJ56" s="223"/>
      <c r="ETS56" s="223"/>
      <c r="ETT56" s="223"/>
      <c r="EUC56" s="223"/>
      <c r="EUD56" s="223"/>
      <c r="EUM56" s="223"/>
      <c r="EUN56" s="223"/>
      <c r="EUW56" s="223"/>
      <c r="EUX56" s="223"/>
      <c r="EVG56" s="223"/>
      <c r="EVH56" s="223"/>
      <c r="EVQ56" s="223"/>
      <c r="EVR56" s="223"/>
      <c r="EWA56" s="223"/>
      <c r="EWB56" s="223"/>
      <c r="EWK56" s="223"/>
      <c r="EWL56" s="223"/>
      <c r="EWU56" s="223"/>
      <c r="EWV56" s="223"/>
      <c r="EXE56" s="223"/>
      <c r="EXF56" s="223"/>
      <c r="EXO56" s="223"/>
      <c r="EXP56" s="223"/>
      <c r="EXY56" s="223"/>
      <c r="EXZ56" s="223"/>
      <c r="EYI56" s="223"/>
      <c r="EYJ56" s="223"/>
      <c r="EYS56" s="223"/>
      <c r="EYT56" s="223"/>
      <c r="EZC56" s="223"/>
      <c r="EZD56" s="223"/>
      <c r="EZM56" s="223"/>
      <c r="EZN56" s="223"/>
      <c r="EZW56" s="223"/>
      <c r="EZX56" s="223"/>
      <c r="FAG56" s="223"/>
      <c r="FAH56" s="223"/>
      <c r="FAQ56" s="223"/>
      <c r="FAR56" s="223"/>
      <c r="FBA56" s="223"/>
      <c r="FBB56" s="223"/>
      <c r="FBK56" s="223"/>
      <c r="FBL56" s="223"/>
      <c r="FBU56" s="223"/>
      <c r="FBV56" s="223"/>
      <c r="FCE56" s="223"/>
      <c r="FCF56" s="223"/>
      <c r="FCO56" s="223"/>
      <c r="FCP56" s="223"/>
      <c r="FCY56" s="223"/>
      <c r="FCZ56" s="223"/>
      <c r="FDI56" s="223"/>
      <c r="FDJ56" s="223"/>
      <c r="FDS56" s="223"/>
      <c r="FDT56" s="223"/>
      <c r="FEC56" s="223"/>
      <c r="FED56" s="223"/>
      <c r="FEM56" s="223"/>
      <c r="FEN56" s="223"/>
      <c r="FEW56" s="223"/>
      <c r="FEX56" s="223"/>
      <c r="FFG56" s="223"/>
      <c r="FFH56" s="223"/>
      <c r="FFQ56" s="223"/>
      <c r="FFR56" s="223"/>
      <c r="FGA56" s="223"/>
      <c r="FGB56" s="223"/>
      <c r="FGK56" s="223"/>
      <c r="FGL56" s="223"/>
      <c r="FGU56" s="223"/>
      <c r="FGV56" s="223"/>
      <c r="FHE56" s="223"/>
      <c r="FHF56" s="223"/>
      <c r="FHO56" s="223"/>
      <c r="FHP56" s="223"/>
      <c r="FHY56" s="223"/>
      <c r="FHZ56" s="223"/>
      <c r="FII56" s="223"/>
      <c r="FIJ56" s="223"/>
      <c r="FIS56" s="223"/>
      <c r="FIT56" s="223"/>
      <c r="FJC56" s="223"/>
      <c r="FJD56" s="223"/>
      <c r="FJM56" s="223"/>
      <c r="FJN56" s="223"/>
      <c r="FJW56" s="223"/>
      <c r="FJX56" s="223"/>
      <c r="FKG56" s="223"/>
      <c r="FKH56" s="223"/>
      <c r="FKQ56" s="223"/>
      <c r="FKR56" s="223"/>
      <c r="FLA56" s="223"/>
      <c r="FLB56" s="223"/>
      <c r="FLK56" s="223"/>
      <c r="FLL56" s="223"/>
      <c r="FLU56" s="223"/>
      <c r="FLV56" s="223"/>
      <c r="FME56" s="223"/>
      <c r="FMF56" s="223"/>
      <c r="FMO56" s="223"/>
      <c r="FMP56" s="223"/>
      <c r="FMY56" s="223"/>
      <c r="FMZ56" s="223"/>
      <c r="FNI56" s="223"/>
      <c r="FNJ56" s="223"/>
      <c r="FNS56" s="223"/>
      <c r="FNT56" s="223"/>
      <c r="FOC56" s="223"/>
      <c r="FOD56" s="223"/>
      <c r="FOM56" s="223"/>
      <c r="FON56" s="223"/>
      <c r="FOW56" s="223"/>
      <c r="FOX56" s="223"/>
      <c r="FPG56" s="223"/>
      <c r="FPH56" s="223"/>
      <c r="FPQ56" s="223"/>
      <c r="FPR56" s="223"/>
      <c r="FQA56" s="223"/>
      <c r="FQB56" s="223"/>
      <c r="FQK56" s="223"/>
      <c r="FQL56" s="223"/>
      <c r="FQU56" s="223"/>
      <c r="FQV56" s="223"/>
      <c r="FRE56" s="223"/>
      <c r="FRF56" s="223"/>
      <c r="FRO56" s="223"/>
      <c r="FRP56" s="223"/>
      <c r="FRY56" s="223"/>
      <c r="FRZ56" s="223"/>
      <c r="FSI56" s="223"/>
      <c r="FSJ56" s="223"/>
      <c r="FSS56" s="223"/>
      <c r="FST56" s="223"/>
      <c r="FTC56" s="223"/>
      <c r="FTD56" s="223"/>
      <c r="FTM56" s="223"/>
      <c r="FTN56" s="223"/>
      <c r="FTW56" s="223"/>
      <c r="FTX56" s="223"/>
      <c r="FUG56" s="223"/>
      <c r="FUH56" s="223"/>
      <c r="FUQ56" s="223"/>
      <c r="FUR56" s="223"/>
      <c r="FVA56" s="223"/>
      <c r="FVB56" s="223"/>
      <c r="FVK56" s="223"/>
      <c r="FVL56" s="223"/>
      <c r="FVU56" s="223"/>
      <c r="FVV56" s="223"/>
      <c r="FWE56" s="223"/>
      <c r="FWF56" s="223"/>
      <c r="FWO56" s="223"/>
      <c r="FWP56" s="223"/>
      <c r="FWY56" s="223"/>
      <c r="FWZ56" s="223"/>
      <c r="FXI56" s="223"/>
      <c r="FXJ56" s="223"/>
      <c r="FXS56" s="223"/>
      <c r="FXT56" s="223"/>
      <c r="FYC56" s="223"/>
      <c r="FYD56" s="223"/>
      <c r="FYM56" s="223"/>
      <c r="FYN56" s="223"/>
      <c r="FYW56" s="223"/>
      <c r="FYX56" s="223"/>
      <c r="FZG56" s="223"/>
      <c r="FZH56" s="223"/>
      <c r="FZQ56" s="223"/>
      <c r="FZR56" s="223"/>
      <c r="GAA56" s="223"/>
      <c r="GAB56" s="223"/>
      <c r="GAK56" s="223"/>
      <c r="GAL56" s="223"/>
      <c r="GAU56" s="223"/>
      <c r="GAV56" s="223"/>
      <c r="GBE56" s="223"/>
      <c r="GBF56" s="223"/>
      <c r="GBO56" s="223"/>
      <c r="GBP56" s="223"/>
      <c r="GBY56" s="223"/>
      <c r="GBZ56" s="223"/>
      <c r="GCI56" s="223"/>
      <c r="GCJ56" s="223"/>
      <c r="GCS56" s="223"/>
      <c r="GCT56" s="223"/>
      <c r="GDC56" s="223"/>
      <c r="GDD56" s="223"/>
      <c r="GDM56" s="223"/>
      <c r="GDN56" s="223"/>
      <c r="GDW56" s="223"/>
      <c r="GDX56" s="223"/>
      <c r="GEG56" s="223"/>
      <c r="GEH56" s="223"/>
      <c r="GEQ56" s="223"/>
      <c r="GER56" s="223"/>
      <c r="GFA56" s="223"/>
      <c r="GFB56" s="223"/>
      <c r="GFK56" s="223"/>
      <c r="GFL56" s="223"/>
      <c r="GFU56" s="223"/>
      <c r="GFV56" s="223"/>
      <c r="GGE56" s="223"/>
      <c r="GGF56" s="223"/>
      <c r="GGO56" s="223"/>
      <c r="GGP56" s="223"/>
      <c r="GGY56" s="223"/>
      <c r="GGZ56" s="223"/>
      <c r="GHI56" s="223"/>
      <c r="GHJ56" s="223"/>
      <c r="GHS56" s="223"/>
      <c r="GHT56" s="223"/>
      <c r="GIC56" s="223"/>
      <c r="GID56" s="223"/>
      <c r="GIM56" s="223"/>
      <c r="GIN56" s="223"/>
      <c r="GIW56" s="223"/>
      <c r="GIX56" s="223"/>
      <c r="GJG56" s="223"/>
      <c r="GJH56" s="223"/>
      <c r="GJQ56" s="223"/>
      <c r="GJR56" s="223"/>
      <c r="GKA56" s="223"/>
      <c r="GKB56" s="223"/>
      <c r="GKK56" s="223"/>
      <c r="GKL56" s="223"/>
      <c r="GKU56" s="223"/>
      <c r="GKV56" s="223"/>
      <c r="GLE56" s="223"/>
      <c r="GLF56" s="223"/>
      <c r="GLO56" s="223"/>
      <c r="GLP56" s="223"/>
      <c r="GLY56" s="223"/>
      <c r="GLZ56" s="223"/>
      <c r="GMI56" s="223"/>
      <c r="GMJ56" s="223"/>
      <c r="GMS56" s="223"/>
      <c r="GMT56" s="223"/>
      <c r="GNC56" s="223"/>
      <c r="GND56" s="223"/>
      <c r="GNM56" s="223"/>
      <c r="GNN56" s="223"/>
      <c r="GNW56" s="223"/>
      <c r="GNX56" s="223"/>
      <c r="GOG56" s="223"/>
      <c r="GOH56" s="223"/>
      <c r="GOQ56" s="223"/>
      <c r="GOR56" s="223"/>
      <c r="GPA56" s="223"/>
      <c r="GPB56" s="223"/>
      <c r="GPK56" s="223"/>
      <c r="GPL56" s="223"/>
      <c r="GPU56" s="223"/>
      <c r="GPV56" s="223"/>
      <c r="GQE56" s="223"/>
      <c r="GQF56" s="223"/>
      <c r="GQO56" s="223"/>
      <c r="GQP56" s="223"/>
      <c r="GQY56" s="223"/>
      <c r="GQZ56" s="223"/>
      <c r="GRI56" s="223"/>
      <c r="GRJ56" s="223"/>
      <c r="GRS56" s="223"/>
      <c r="GRT56" s="223"/>
      <c r="GSC56" s="223"/>
      <c r="GSD56" s="223"/>
      <c r="GSM56" s="223"/>
      <c r="GSN56" s="223"/>
      <c r="GSW56" s="223"/>
      <c r="GSX56" s="223"/>
      <c r="GTG56" s="223"/>
      <c r="GTH56" s="223"/>
      <c r="GTQ56" s="223"/>
      <c r="GTR56" s="223"/>
      <c r="GUA56" s="223"/>
      <c r="GUB56" s="223"/>
      <c r="GUK56" s="223"/>
      <c r="GUL56" s="223"/>
      <c r="GUU56" s="223"/>
      <c r="GUV56" s="223"/>
      <c r="GVE56" s="223"/>
      <c r="GVF56" s="223"/>
      <c r="GVO56" s="223"/>
      <c r="GVP56" s="223"/>
      <c r="GVY56" s="223"/>
      <c r="GVZ56" s="223"/>
      <c r="GWI56" s="223"/>
      <c r="GWJ56" s="223"/>
      <c r="GWS56" s="223"/>
      <c r="GWT56" s="223"/>
      <c r="GXC56" s="223"/>
      <c r="GXD56" s="223"/>
      <c r="GXM56" s="223"/>
      <c r="GXN56" s="223"/>
      <c r="GXW56" s="223"/>
      <c r="GXX56" s="223"/>
      <c r="GYG56" s="223"/>
      <c r="GYH56" s="223"/>
      <c r="GYQ56" s="223"/>
      <c r="GYR56" s="223"/>
      <c r="GZA56" s="223"/>
      <c r="GZB56" s="223"/>
      <c r="GZK56" s="223"/>
      <c r="GZL56" s="223"/>
      <c r="GZU56" s="223"/>
      <c r="GZV56" s="223"/>
      <c r="HAE56" s="223"/>
      <c r="HAF56" s="223"/>
      <c r="HAO56" s="223"/>
      <c r="HAP56" s="223"/>
      <c r="HAY56" s="223"/>
      <c r="HAZ56" s="223"/>
      <c r="HBI56" s="223"/>
      <c r="HBJ56" s="223"/>
      <c r="HBS56" s="223"/>
      <c r="HBT56" s="223"/>
      <c r="HCC56" s="223"/>
      <c r="HCD56" s="223"/>
      <c r="HCM56" s="223"/>
      <c r="HCN56" s="223"/>
      <c r="HCW56" s="223"/>
      <c r="HCX56" s="223"/>
      <c r="HDG56" s="223"/>
      <c r="HDH56" s="223"/>
      <c r="HDQ56" s="223"/>
      <c r="HDR56" s="223"/>
      <c r="HEA56" s="223"/>
      <c r="HEB56" s="223"/>
      <c r="HEK56" s="223"/>
      <c r="HEL56" s="223"/>
      <c r="HEU56" s="223"/>
      <c r="HEV56" s="223"/>
      <c r="HFE56" s="223"/>
      <c r="HFF56" s="223"/>
      <c r="HFO56" s="223"/>
      <c r="HFP56" s="223"/>
      <c r="HFY56" s="223"/>
      <c r="HFZ56" s="223"/>
      <c r="HGI56" s="223"/>
      <c r="HGJ56" s="223"/>
      <c r="HGS56" s="223"/>
      <c r="HGT56" s="223"/>
      <c r="HHC56" s="223"/>
      <c r="HHD56" s="223"/>
      <c r="HHM56" s="223"/>
      <c r="HHN56" s="223"/>
      <c r="HHW56" s="223"/>
      <c r="HHX56" s="223"/>
      <c r="HIG56" s="223"/>
      <c r="HIH56" s="223"/>
      <c r="HIQ56" s="223"/>
      <c r="HIR56" s="223"/>
      <c r="HJA56" s="223"/>
      <c r="HJB56" s="223"/>
      <c r="HJK56" s="223"/>
      <c r="HJL56" s="223"/>
      <c r="HJU56" s="223"/>
      <c r="HJV56" s="223"/>
      <c r="HKE56" s="223"/>
      <c r="HKF56" s="223"/>
      <c r="HKO56" s="223"/>
      <c r="HKP56" s="223"/>
      <c r="HKY56" s="223"/>
      <c r="HKZ56" s="223"/>
      <c r="HLI56" s="223"/>
      <c r="HLJ56" s="223"/>
      <c r="HLS56" s="223"/>
      <c r="HLT56" s="223"/>
      <c r="HMC56" s="223"/>
      <c r="HMD56" s="223"/>
      <c r="HMM56" s="223"/>
      <c r="HMN56" s="223"/>
      <c r="HMW56" s="223"/>
      <c r="HMX56" s="223"/>
      <c r="HNG56" s="223"/>
      <c r="HNH56" s="223"/>
      <c r="HNQ56" s="223"/>
      <c r="HNR56" s="223"/>
      <c r="HOA56" s="223"/>
      <c r="HOB56" s="223"/>
      <c r="HOK56" s="223"/>
      <c r="HOL56" s="223"/>
      <c r="HOU56" s="223"/>
      <c r="HOV56" s="223"/>
      <c r="HPE56" s="223"/>
      <c r="HPF56" s="223"/>
      <c r="HPO56" s="223"/>
      <c r="HPP56" s="223"/>
      <c r="HPY56" s="223"/>
      <c r="HPZ56" s="223"/>
      <c r="HQI56" s="223"/>
      <c r="HQJ56" s="223"/>
      <c r="HQS56" s="223"/>
      <c r="HQT56" s="223"/>
      <c r="HRC56" s="223"/>
      <c r="HRD56" s="223"/>
      <c r="HRM56" s="223"/>
      <c r="HRN56" s="223"/>
      <c r="HRW56" s="223"/>
      <c r="HRX56" s="223"/>
      <c r="HSG56" s="223"/>
      <c r="HSH56" s="223"/>
      <c r="HSQ56" s="223"/>
      <c r="HSR56" s="223"/>
      <c r="HTA56" s="223"/>
      <c r="HTB56" s="223"/>
      <c r="HTK56" s="223"/>
      <c r="HTL56" s="223"/>
      <c r="HTU56" s="223"/>
      <c r="HTV56" s="223"/>
      <c r="HUE56" s="223"/>
      <c r="HUF56" s="223"/>
      <c r="HUO56" s="223"/>
      <c r="HUP56" s="223"/>
      <c r="HUY56" s="223"/>
      <c r="HUZ56" s="223"/>
      <c r="HVI56" s="223"/>
      <c r="HVJ56" s="223"/>
      <c r="HVS56" s="223"/>
      <c r="HVT56" s="223"/>
      <c r="HWC56" s="223"/>
      <c r="HWD56" s="223"/>
      <c r="HWM56" s="223"/>
      <c r="HWN56" s="223"/>
      <c r="HWW56" s="223"/>
      <c r="HWX56" s="223"/>
      <c r="HXG56" s="223"/>
      <c r="HXH56" s="223"/>
      <c r="HXQ56" s="223"/>
      <c r="HXR56" s="223"/>
      <c r="HYA56" s="223"/>
      <c r="HYB56" s="223"/>
      <c r="HYK56" s="223"/>
      <c r="HYL56" s="223"/>
      <c r="HYU56" s="223"/>
      <c r="HYV56" s="223"/>
      <c r="HZE56" s="223"/>
      <c r="HZF56" s="223"/>
      <c r="HZO56" s="223"/>
      <c r="HZP56" s="223"/>
      <c r="HZY56" s="223"/>
      <c r="HZZ56" s="223"/>
      <c r="IAI56" s="223"/>
      <c r="IAJ56" s="223"/>
      <c r="IAS56" s="223"/>
      <c r="IAT56" s="223"/>
      <c r="IBC56" s="223"/>
      <c r="IBD56" s="223"/>
      <c r="IBM56" s="223"/>
      <c r="IBN56" s="223"/>
      <c r="IBW56" s="223"/>
      <c r="IBX56" s="223"/>
      <c r="ICG56" s="223"/>
      <c r="ICH56" s="223"/>
      <c r="ICQ56" s="223"/>
      <c r="ICR56" s="223"/>
      <c r="IDA56" s="223"/>
      <c r="IDB56" s="223"/>
      <c r="IDK56" s="223"/>
      <c r="IDL56" s="223"/>
      <c r="IDU56" s="223"/>
      <c r="IDV56" s="223"/>
      <c r="IEE56" s="223"/>
      <c r="IEF56" s="223"/>
      <c r="IEO56" s="223"/>
      <c r="IEP56" s="223"/>
      <c r="IEY56" s="223"/>
      <c r="IEZ56" s="223"/>
      <c r="IFI56" s="223"/>
      <c r="IFJ56" s="223"/>
      <c r="IFS56" s="223"/>
      <c r="IFT56" s="223"/>
      <c r="IGC56" s="223"/>
      <c r="IGD56" s="223"/>
      <c r="IGM56" s="223"/>
      <c r="IGN56" s="223"/>
      <c r="IGW56" s="223"/>
      <c r="IGX56" s="223"/>
      <c r="IHG56" s="223"/>
      <c r="IHH56" s="223"/>
      <c r="IHQ56" s="223"/>
      <c r="IHR56" s="223"/>
      <c r="IIA56" s="223"/>
      <c r="IIB56" s="223"/>
      <c r="IIK56" s="223"/>
      <c r="IIL56" s="223"/>
      <c r="IIU56" s="223"/>
      <c r="IIV56" s="223"/>
      <c r="IJE56" s="223"/>
      <c r="IJF56" s="223"/>
      <c r="IJO56" s="223"/>
      <c r="IJP56" s="223"/>
      <c r="IJY56" s="223"/>
      <c r="IJZ56" s="223"/>
      <c r="IKI56" s="223"/>
      <c r="IKJ56" s="223"/>
      <c r="IKS56" s="223"/>
      <c r="IKT56" s="223"/>
      <c r="ILC56" s="223"/>
      <c r="ILD56" s="223"/>
      <c r="ILM56" s="223"/>
      <c r="ILN56" s="223"/>
      <c r="ILW56" s="223"/>
      <c r="ILX56" s="223"/>
      <c r="IMG56" s="223"/>
      <c r="IMH56" s="223"/>
      <c r="IMQ56" s="223"/>
      <c r="IMR56" s="223"/>
      <c r="INA56" s="223"/>
      <c r="INB56" s="223"/>
      <c r="INK56" s="223"/>
      <c r="INL56" s="223"/>
      <c r="INU56" s="223"/>
      <c r="INV56" s="223"/>
      <c r="IOE56" s="223"/>
      <c r="IOF56" s="223"/>
      <c r="IOO56" s="223"/>
      <c r="IOP56" s="223"/>
      <c r="IOY56" s="223"/>
      <c r="IOZ56" s="223"/>
      <c r="IPI56" s="223"/>
      <c r="IPJ56" s="223"/>
      <c r="IPS56" s="223"/>
      <c r="IPT56" s="223"/>
      <c r="IQC56" s="223"/>
      <c r="IQD56" s="223"/>
      <c r="IQM56" s="223"/>
      <c r="IQN56" s="223"/>
      <c r="IQW56" s="223"/>
      <c r="IQX56" s="223"/>
      <c r="IRG56" s="223"/>
      <c r="IRH56" s="223"/>
      <c r="IRQ56" s="223"/>
      <c r="IRR56" s="223"/>
      <c r="ISA56" s="223"/>
      <c r="ISB56" s="223"/>
      <c r="ISK56" s="223"/>
      <c r="ISL56" s="223"/>
      <c r="ISU56" s="223"/>
      <c r="ISV56" s="223"/>
      <c r="ITE56" s="223"/>
      <c r="ITF56" s="223"/>
      <c r="ITO56" s="223"/>
      <c r="ITP56" s="223"/>
      <c r="ITY56" s="223"/>
      <c r="ITZ56" s="223"/>
      <c r="IUI56" s="223"/>
      <c r="IUJ56" s="223"/>
      <c r="IUS56" s="223"/>
      <c r="IUT56" s="223"/>
      <c r="IVC56" s="223"/>
      <c r="IVD56" s="223"/>
      <c r="IVM56" s="223"/>
      <c r="IVN56" s="223"/>
      <c r="IVW56" s="223"/>
      <c r="IVX56" s="223"/>
      <c r="IWG56" s="223"/>
      <c r="IWH56" s="223"/>
      <c r="IWQ56" s="223"/>
      <c r="IWR56" s="223"/>
      <c r="IXA56" s="223"/>
      <c r="IXB56" s="223"/>
      <c r="IXK56" s="223"/>
      <c r="IXL56" s="223"/>
      <c r="IXU56" s="223"/>
      <c r="IXV56" s="223"/>
      <c r="IYE56" s="223"/>
      <c r="IYF56" s="223"/>
      <c r="IYO56" s="223"/>
      <c r="IYP56" s="223"/>
      <c r="IYY56" s="223"/>
      <c r="IYZ56" s="223"/>
      <c r="IZI56" s="223"/>
      <c r="IZJ56" s="223"/>
      <c r="IZS56" s="223"/>
      <c r="IZT56" s="223"/>
      <c r="JAC56" s="223"/>
      <c r="JAD56" s="223"/>
      <c r="JAM56" s="223"/>
      <c r="JAN56" s="223"/>
      <c r="JAW56" s="223"/>
      <c r="JAX56" s="223"/>
      <c r="JBG56" s="223"/>
      <c r="JBH56" s="223"/>
      <c r="JBQ56" s="223"/>
      <c r="JBR56" s="223"/>
      <c r="JCA56" s="223"/>
      <c r="JCB56" s="223"/>
      <c r="JCK56" s="223"/>
      <c r="JCL56" s="223"/>
      <c r="JCU56" s="223"/>
      <c r="JCV56" s="223"/>
      <c r="JDE56" s="223"/>
      <c r="JDF56" s="223"/>
      <c r="JDO56" s="223"/>
      <c r="JDP56" s="223"/>
      <c r="JDY56" s="223"/>
      <c r="JDZ56" s="223"/>
      <c r="JEI56" s="223"/>
      <c r="JEJ56" s="223"/>
      <c r="JES56" s="223"/>
      <c r="JET56" s="223"/>
      <c r="JFC56" s="223"/>
      <c r="JFD56" s="223"/>
      <c r="JFM56" s="223"/>
      <c r="JFN56" s="223"/>
      <c r="JFW56" s="223"/>
      <c r="JFX56" s="223"/>
      <c r="JGG56" s="223"/>
      <c r="JGH56" s="223"/>
      <c r="JGQ56" s="223"/>
      <c r="JGR56" s="223"/>
      <c r="JHA56" s="223"/>
      <c r="JHB56" s="223"/>
      <c r="JHK56" s="223"/>
      <c r="JHL56" s="223"/>
      <c r="JHU56" s="223"/>
      <c r="JHV56" s="223"/>
      <c r="JIE56" s="223"/>
      <c r="JIF56" s="223"/>
      <c r="JIO56" s="223"/>
      <c r="JIP56" s="223"/>
      <c r="JIY56" s="223"/>
      <c r="JIZ56" s="223"/>
      <c r="JJI56" s="223"/>
      <c r="JJJ56" s="223"/>
      <c r="JJS56" s="223"/>
      <c r="JJT56" s="223"/>
      <c r="JKC56" s="223"/>
      <c r="JKD56" s="223"/>
      <c r="JKM56" s="223"/>
      <c r="JKN56" s="223"/>
      <c r="JKW56" s="223"/>
      <c r="JKX56" s="223"/>
      <c r="JLG56" s="223"/>
      <c r="JLH56" s="223"/>
      <c r="JLQ56" s="223"/>
      <c r="JLR56" s="223"/>
      <c r="JMA56" s="223"/>
      <c r="JMB56" s="223"/>
      <c r="JMK56" s="223"/>
      <c r="JML56" s="223"/>
      <c r="JMU56" s="223"/>
      <c r="JMV56" s="223"/>
      <c r="JNE56" s="223"/>
      <c r="JNF56" s="223"/>
      <c r="JNO56" s="223"/>
      <c r="JNP56" s="223"/>
      <c r="JNY56" s="223"/>
      <c r="JNZ56" s="223"/>
      <c r="JOI56" s="223"/>
      <c r="JOJ56" s="223"/>
      <c r="JOS56" s="223"/>
      <c r="JOT56" s="223"/>
      <c r="JPC56" s="223"/>
      <c r="JPD56" s="223"/>
      <c r="JPM56" s="223"/>
      <c r="JPN56" s="223"/>
      <c r="JPW56" s="223"/>
      <c r="JPX56" s="223"/>
      <c r="JQG56" s="223"/>
      <c r="JQH56" s="223"/>
      <c r="JQQ56" s="223"/>
      <c r="JQR56" s="223"/>
      <c r="JRA56" s="223"/>
      <c r="JRB56" s="223"/>
      <c r="JRK56" s="223"/>
      <c r="JRL56" s="223"/>
      <c r="JRU56" s="223"/>
      <c r="JRV56" s="223"/>
      <c r="JSE56" s="223"/>
      <c r="JSF56" s="223"/>
      <c r="JSO56" s="223"/>
      <c r="JSP56" s="223"/>
      <c r="JSY56" s="223"/>
      <c r="JSZ56" s="223"/>
      <c r="JTI56" s="223"/>
      <c r="JTJ56" s="223"/>
      <c r="JTS56" s="223"/>
      <c r="JTT56" s="223"/>
      <c r="JUC56" s="223"/>
      <c r="JUD56" s="223"/>
      <c r="JUM56" s="223"/>
      <c r="JUN56" s="223"/>
      <c r="JUW56" s="223"/>
      <c r="JUX56" s="223"/>
      <c r="JVG56" s="223"/>
      <c r="JVH56" s="223"/>
      <c r="JVQ56" s="223"/>
      <c r="JVR56" s="223"/>
      <c r="JWA56" s="223"/>
      <c r="JWB56" s="223"/>
      <c r="JWK56" s="223"/>
      <c r="JWL56" s="223"/>
      <c r="JWU56" s="223"/>
      <c r="JWV56" s="223"/>
      <c r="JXE56" s="223"/>
      <c r="JXF56" s="223"/>
      <c r="JXO56" s="223"/>
      <c r="JXP56" s="223"/>
      <c r="JXY56" s="223"/>
      <c r="JXZ56" s="223"/>
      <c r="JYI56" s="223"/>
      <c r="JYJ56" s="223"/>
      <c r="JYS56" s="223"/>
      <c r="JYT56" s="223"/>
      <c r="JZC56" s="223"/>
      <c r="JZD56" s="223"/>
      <c r="JZM56" s="223"/>
      <c r="JZN56" s="223"/>
      <c r="JZW56" s="223"/>
      <c r="JZX56" s="223"/>
      <c r="KAG56" s="223"/>
      <c r="KAH56" s="223"/>
      <c r="KAQ56" s="223"/>
      <c r="KAR56" s="223"/>
      <c r="KBA56" s="223"/>
      <c r="KBB56" s="223"/>
      <c r="KBK56" s="223"/>
      <c r="KBL56" s="223"/>
      <c r="KBU56" s="223"/>
      <c r="KBV56" s="223"/>
      <c r="KCE56" s="223"/>
      <c r="KCF56" s="223"/>
      <c r="KCO56" s="223"/>
      <c r="KCP56" s="223"/>
      <c r="KCY56" s="223"/>
      <c r="KCZ56" s="223"/>
      <c r="KDI56" s="223"/>
      <c r="KDJ56" s="223"/>
      <c r="KDS56" s="223"/>
      <c r="KDT56" s="223"/>
      <c r="KEC56" s="223"/>
      <c r="KED56" s="223"/>
      <c r="KEM56" s="223"/>
      <c r="KEN56" s="223"/>
      <c r="KEW56" s="223"/>
      <c r="KEX56" s="223"/>
      <c r="KFG56" s="223"/>
      <c r="KFH56" s="223"/>
      <c r="KFQ56" s="223"/>
      <c r="KFR56" s="223"/>
      <c r="KGA56" s="223"/>
      <c r="KGB56" s="223"/>
      <c r="KGK56" s="223"/>
      <c r="KGL56" s="223"/>
      <c r="KGU56" s="223"/>
      <c r="KGV56" s="223"/>
      <c r="KHE56" s="223"/>
      <c r="KHF56" s="223"/>
      <c r="KHO56" s="223"/>
      <c r="KHP56" s="223"/>
      <c r="KHY56" s="223"/>
      <c r="KHZ56" s="223"/>
      <c r="KII56" s="223"/>
      <c r="KIJ56" s="223"/>
      <c r="KIS56" s="223"/>
      <c r="KIT56" s="223"/>
      <c r="KJC56" s="223"/>
      <c r="KJD56" s="223"/>
      <c r="KJM56" s="223"/>
      <c r="KJN56" s="223"/>
      <c r="KJW56" s="223"/>
      <c r="KJX56" s="223"/>
      <c r="KKG56" s="223"/>
      <c r="KKH56" s="223"/>
      <c r="KKQ56" s="223"/>
      <c r="KKR56" s="223"/>
      <c r="KLA56" s="223"/>
      <c r="KLB56" s="223"/>
      <c r="KLK56" s="223"/>
      <c r="KLL56" s="223"/>
      <c r="KLU56" s="223"/>
      <c r="KLV56" s="223"/>
      <c r="KME56" s="223"/>
      <c r="KMF56" s="223"/>
      <c r="KMO56" s="223"/>
      <c r="KMP56" s="223"/>
      <c r="KMY56" s="223"/>
      <c r="KMZ56" s="223"/>
      <c r="KNI56" s="223"/>
      <c r="KNJ56" s="223"/>
      <c r="KNS56" s="223"/>
      <c r="KNT56" s="223"/>
      <c r="KOC56" s="223"/>
      <c r="KOD56" s="223"/>
      <c r="KOM56" s="223"/>
      <c r="KON56" s="223"/>
      <c r="KOW56" s="223"/>
      <c r="KOX56" s="223"/>
      <c r="KPG56" s="223"/>
      <c r="KPH56" s="223"/>
      <c r="KPQ56" s="223"/>
      <c r="KPR56" s="223"/>
      <c r="KQA56" s="223"/>
      <c r="KQB56" s="223"/>
      <c r="KQK56" s="223"/>
      <c r="KQL56" s="223"/>
      <c r="KQU56" s="223"/>
      <c r="KQV56" s="223"/>
      <c r="KRE56" s="223"/>
      <c r="KRF56" s="223"/>
      <c r="KRO56" s="223"/>
      <c r="KRP56" s="223"/>
      <c r="KRY56" s="223"/>
      <c r="KRZ56" s="223"/>
      <c r="KSI56" s="223"/>
      <c r="KSJ56" s="223"/>
      <c r="KSS56" s="223"/>
      <c r="KST56" s="223"/>
      <c r="KTC56" s="223"/>
      <c r="KTD56" s="223"/>
      <c r="KTM56" s="223"/>
      <c r="KTN56" s="223"/>
      <c r="KTW56" s="223"/>
      <c r="KTX56" s="223"/>
      <c r="KUG56" s="223"/>
      <c r="KUH56" s="223"/>
      <c r="KUQ56" s="223"/>
      <c r="KUR56" s="223"/>
      <c r="KVA56" s="223"/>
      <c r="KVB56" s="223"/>
      <c r="KVK56" s="223"/>
      <c r="KVL56" s="223"/>
      <c r="KVU56" s="223"/>
      <c r="KVV56" s="223"/>
      <c r="KWE56" s="223"/>
      <c r="KWF56" s="223"/>
      <c r="KWO56" s="223"/>
      <c r="KWP56" s="223"/>
      <c r="KWY56" s="223"/>
      <c r="KWZ56" s="223"/>
      <c r="KXI56" s="223"/>
      <c r="KXJ56" s="223"/>
      <c r="KXS56" s="223"/>
      <c r="KXT56" s="223"/>
      <c r="KYC56" s="223"/>
      <c r="KYD56" s="223"/>
      <c r="KYM56" s="223"/>
      <c r="KYN56" s="223"/>
      <c r="KYW56" s="223"/>
      <c r="KYX56" s="223"/>
      <c r="KZG56" s="223"/>
      <c r="KZH56" s="223"/>
      <c r="KZQ56" s="223"/>
      <c r="KZR56" s="223"/>
      <c r="LAA56" s="223"/>
      <c r="LAB56" s="223"/>
      <c r="LAK56" s="223"/>
      <c r="LAL56" s="223"/>
      <c r="LAU56" s="223"/>
      <c r="LAV56" s="223"/>
      <c r="LBE56" s="223"/>
      <c r="LBF56" s="223"/>
      <c r="LBO56" s="223"/>
      <c r="LBP56" s="223"/>
      <c r="LBY56" s="223"/>
      <c r="LBZ56" s="223"/>
      <c r="LCI56" s="223"/>
      <c r="LCJ56" s="223"/>
      <c r="LCS56" s="223"/>
      <c r="LCT56" s="223"/>
      <c r="LDC56" s="223"/>
      <c r="LDD56" s="223"/>
      <c r="LDM56" s="223"/>
      <c r="LDN56" s="223"/>
      <c r="LDW56" s="223"/>
      <c r="LDX56" s="223"/>
      <c r="LEG56" s="223"/>
      <c r="LEH56" s="223"/>
      <c r="LEQ56" s="223"/>
      <c r="LER56" s="223"/>
      <c r="LFA56" s="223"/>
      <c r="LFB56" s="223"/>
      <c r="LFK56" s="223"/>
      <c r="LFL56" s="223"/>
      <c r="LFU56" s="223"/>
      <c r="LFV56" s="223"/>
      <c r="LGE56" s="223"/>
      <c r="LGF56" s="223"/>
      <c r="LGO56" s="223"/>
      <c r="LGP56" s="223"/>
      <c r="LGY56" s="223"/>
      <c r="LGZ56" s="223"/>
      <c r="LHI56" s="223"/>
      <c r="LHJ56" s="223"/>
      <c r="LHS56" s="223"/>
      <c r="LHT56" s="223"/>
      <c r="LIC56" s="223"/>
      <c r="LID56" s="223"/>
      <c r="LIM56" s="223"/>
      <c r="LIN56" s="223"/>
      <c r="LIW56" s="223"/>
      <c r="LIX56" s="223"/>
      <c r="LJG56" s="223"/>
      <c r="LJH56" s="223"/>
      <c r="LJQ56" s="223"/>
      <c r="LJR56" s="223"/>
      <c r="LKA56" s="223"/>
      <c r="LKB56" s="223"/>
      <c r="LKK56" s="223"/>
      <c r="LKL56" s="223"/>
      <c r="LKU56" s="223"/>
      <c r="LKV56" s="223"/>
      <c r="LLE56" s="223"/>
      <c r="LLF56" s="223"/>
      <c r="LLO56" s="223"/>
      <c r="LLP56" s="223"/>
      <c r="LLY56" s="223"/>
      <c r="LLZ56" s="223"/>
      <c r="LMI56" s="223"/>
      <c r="LMJ56" s="223"/>
      <c r="LMS56" s="223"/>
      <c r="LMT56" s="223"/>
      <c r="LNC56" s="223"/>
      <c r="LND56" s="223"/>
      <c r="LNM56" s="223"/>
      <c r="LNN56" s="223"/>
      <c r="LNW56" s="223"/>
      <c r="LNX56" s="223"/>
      <c r="LOG56" s="223"/>
      <c r="LOH56" s="223"/>
      <c r="LOQ56" s="223"/>
      <c r="LOR56" s="223"/>
      <c r="LPA56" s="223"/>
      <c r="LPB56" s="223"/>
      <c r="LPK56" s="223"/>
      <c r="LPL56" s="223"/>
      <c r="LPU56" s="223"/>
      <c r="LPV56" s="223"/>
      <c r="LQE56" s="223"/>
      <c r="LQF56" s="223"/>
      <c r="LQO56" s="223"/>
      <c r="LQP56" s="223"/>
      <c r="LQY56" s="223"/>
      <c r="LQZ56" s="223"/>
      <c r="LRI56" s="223"/>
      <c r="LRJ56" s="223"/>
      <c r="LRS56" s="223"/>
      <c r="LRT56" s="223"/>
      <c r="LSC56" s="223"/>
      <c r="LSD56" s="223"/>
      <c r="LSM56" s="223"/>
      <c r="LSN56" s="223"/>
      <c r="LSW56" s="223"/>
      <c r="LSX56" s="223"/>
      <c r="LTG56" s="223"/>
      <c r="LTH56" s="223"/>
      <c r="LTQ56" s="223"/>
      <c r="LTR56" s="223"/>
      <c r="LUA56" s="223"/>
      <c r="LUB56" s="223"/>
      <c r="LUK56" s="223"/>
      <c r="LUL56" s="223"/>
      <c r="LUU56" s="223"/>
      <c r="LUV56" s="223"/>
      <c r="LVE56" s="223"/>
      <c r="LVF56" s="223"/>
      <c r="LVO56" s="223"/>
      <c r="LVP56" s="223"/>
      <c r="LVY56" s="223"/>
      <c r="LVZ56" s="223"/>
      <c r="LWI56" s="223"/>
      <c r="LWJ56" s="223"/>
      <c r="LWS56" s="223"/>
      <c r="LWT56" s="223"/>
      <c r="LXC56" s="223"/>
      <c r="LXD56" s="223"/>
      <c r="LXM56" s="223"/>
      <c r="LXN56" s="223"/>
      <c r="LXW56" s="223"/>
      <c r="LXX56" s="223"/>
      <c r="LYG56" s="223"/>
      <c r="LYH56" s="223"/>
      <c r="LYQ56" s="223"/>
      <c r="LYR56" s="223"/>
      <c r="LZA56" s="223"/>
      <c r="LZB56" s="223"/>
      <c r="LZK56" s="223"/>
      <c r="LZL56" s="223"/>
      <c r="LZU56" s="223"/>
      <c r="LZV56" s="223"/>
      <c r="MAE56" s="223"/>
      <c r="MAF56" s="223"/>
      <c r="MAO56" s="223"/>
      <c r="MAP56" s="223"/>
      <c r="MAY56" s="223"/>
      <c r="MAZ56" s="223"/>
      <c r="MBI56" s="223"/>
      <c r="MBJ56" s="223"/>
      <c r="MBS56" s="223"/>
      <c r="MBT56" s="223"/>
      <c r="MCC56" s="223"/>
      <c r="MCD56" s="223"/>
      <c r="MCM56" s="223"/>
      <c r="MCN56" s="223"/>
      <c r="MCW56" s="223"/>
      <c r="MCX56" s="223"/>
      <c r="MDG56" s="223"/>
      <c r="MDH56" s="223"/>
      <c r="MDQ56" s="223"/>
      <c r="MDR56" s="223"/>
      <c r="MEA56" s="223"/>
      <c r="MEB56" s="223"/>
      <c r="MEK56" s="223"/>
      <c r="MEL56" s="223"/>
      <c r="MEU56" s="223"/>
      <c r="MEV56" s="223"/>
      <c r="MFE56" s="223"/>
      <c r="MFF56" s="223"/>
      <c r="MFO56" s="223"/>
      <c r="MFP56" s="223"/>
      <c r="MFY56" s="223"/>
      <c r="MFZ56" s="223"/>
      <c r="MGI56" s="223"/>
      <c r="MGJ56" s="223"/>
      <c r="MGS56" s="223"/>
      <c r="MGT56" s="223"/>
      <c r="MHC56" s="223"/>
      <c r="MHD56" s="223"/>
      <c r="MHM56" s="223"/>
      <c r="MHN56" s="223"/>
      <c r="MHW56" s="223"/>
      <c r="MHX56" s="223"/>
      <c r="MIG56" s="223"/>
      <c r="MIH56" s="223"/>
      <c r="MIQ56" s="223"/>
      <c r="MIR56" s="223"/>
      <c r="MJA56" s="223"/>
      <c r="MJB56" s="223"/>
      <c r="MJK56" s="223"/>
      <c r="MJL56" s="223"/>
      <c r="MJU56" s="223"/>
      <c r="MJV56" s="223"/>
      <c r="MKE56" s="223"/>
      <c r="MKF56" s="223"/>
      <c r="MKO56" s="223"/>
      <c r="MKP56" s="223"/>
      <c r="MKY56" s="223"/>
      <c r="MKZ56" s="223"/>
      <c r="MLI56" s="223"/>
      <c r="MLJ56" s="223"/>
      <c r="MLS56" s="223"/>
      <c r="MLT56" s="223"/>
      <c r="MMC56" s="223"/>
      <c r="MMD56" s="223"/>
      <c r="MMM56" s="223"/>
      <c r="MMN56" s="223"/>
      <c r="MMW56" s="223"/>
      <c r="MMX56" s="223"/>
      <c r="MNG56" s="223"/>
      <c r="MNH56" s="223"/>
      <c r="MNQ56" s="223"/>
      <c r="MNR56" s="223"/>
      <c r="MOA56" s="223"/>
      <c r="MOB56" s="223"/>
      <c r="MOK56" s="223"/>
      <c r="MOL56" s="223"/>
      <c r="MOU56" s="223"/>
      <c r="MOV56" s="223"/>
      <c r="MPE56" s="223"/>
      <c r="MPF56" s="223"/>
      <c r="MPO56" s="223"/>
      <c r="MPP56" s="223"/>
      <c r="MPY56" s="223"/>
      <c r="MPZ56" s="223"/>
      <c r="MQI56" s="223"/>
      <c r="MQJ56" s="223"/>
      <c r="MQS56" s="223"/>
      <c r="MQT56" s="223"/>
      <c r="MRC56" s="223"/>
      <c r="MRD56" s="223"/>
      <c r="MRM56" s="223"/>
      <c r="MRN56" s="223"/>
      <c r="MRW56" s="223"/>
      <c r="MRX56" s="223"/>
      <c r="MSG56" s="223"/>
      <c r="MSH56" s="223"/>
      <c r="MSQ56" s="223"/>
      <c r="MSR56" s="223"/>
      <c r="MTA56" s="223"/>
      <c r="MTB56" s="223"/>
      <c r="MTK56" s="223"/>
      <c r="MTL56" s="223"/>
      <c r="MTU56" s="223"/>
      <c r="MTV56" s="223"/>
      <c r="MUE56" s="223"/>
      <c r="MUF56" s="223"/>
      <c r="MUO56" s="223"/>
      <c r="MUP56" s="223"/>
      <c r="MUY56" s="223"/>
      <c r="MUZ56" s="223"/>
      <c r="MVI56" s="223"/>
      <c r="MVJ56" s="223"/>
      <c r="MVS56" s="223"/>
      <c r="MVT56" s="223"/>
      <c r="MWC56" s="223"/>
      <c r="MWD56" s="223"/>
      <c r="MWM56" s="223"/>
      <c r="MWN56" s="223"/>
      <c r="MWW56" s="223"/>
      <c r="MWX56" s="223"/>
      <c r="MXG56" s="223"/>
      <c r="MXH56" s="223"/>
      <c r="MXQ56" s="223"/>
      <c r="MXR56" s="223"/>
      <c r="MYA56" s="223"/>
      <c r="MYB56" s="223"/>
      <c r="MYK56" s="223"/>
      <c r="MYL56" s="223"/>
      <c r="MYU56" s="223"/>
      <c r="MYV56" s="223"/>
      <c r="MZE56" s="223"/>
      <c r="MZF56" s="223"/>
      <c r="MZO56" s="223"/>
      <c r="MZP56" s="223"/>
      <c r="MZY56" s="223"/>
      <c r="MZZ56" s="223"/>
      <c r="NAI56" s="223"/>
      <c r="NAJ56" s="223"/>
      <c r="NAS56" s="223"/>
      <c r="NAT56" s="223"/>
      <c r="NBC56" s="223"/>
      <c r="NBD56" s="223"/>
      <c r="NBM56" s="223"/>
      <c r="NBN56" s="223"/>
      <c r="NBW56" s="223"/>
      <c r="NBX56" s="223"/>
      <c r="NCG56" s="223"/>
      <c r="NCH56" s="223"/>
      <c r="NCQ56" s="223"/>
      <c r="NCR56" s="223"/>
      <c r="NDA56" s="223"/>
      <c r="NDB56" s="223"/>
      <c r="NDK56" s="223"/>
      <c r="NDL56" s="223"/>
      <c r="NDU56" s="223"/>
      <c r="NDV56" s="223"/>
      <c r="NEE56" s="223"/>
      <c r="NEF56" s="223"/>
      <c r="NEO56" s="223"/>
      <c r="NEP56" s="223"/>
      <c r="NEY56" s="223"/>
      <c r="NEZ56" s="223"/>
      <c r="NFI56" s="223"/>
      <c r="NFJ56" s="223"/>
      <c r="NFS56" s="223"/>
      <c r="NFT56" s="223"/>
      <c r="NGC56" s="223"/>
      <c r="NGD56" s="223"/>
      <c r="NGM56" s="223"/>
      <c r="NGN56" s="223"/>
      <c r="NGW56" s="223"/>
      <c r="NGX56" s="223"/>
      <c r="NHG56" s="223"/>
      <c r="NHH56" s="223"/>
      <c r="NHQ56" s="223"/>
      <c r="NHR56" s="223"/>
      <c r="NIA56" s="223"/>
      <c r="NIB56" s="223"/>
      <c r="NIK56" s="223"/>
      <c r="NIL56" s="223"/>
      <c r="NIU56" s="223"/>
      <c r="NIV56" s="223"/>
      <c r="NJE56" s="223"/>
      <c r="NJF56" s="223"/>
      <c r="NJO56" s="223"/>
      <c r="NJP56" s="223"/>
      <c r="NJY56" s="223"/>
      <c r="NJZ56" s="223"/>
      <c r="NKI56" s="223"/>
      <c r="NKJ56" s="223"/>
      <c r="NKS56" s="223"/>
      <c r="NKT56" s="223"/>
      <c r="NLC56" s="223"/>
      <c r="NLD56" s="223"/>
      <c r="NLM56" s="223"/>
      <c r="NLN56" s="223"/>
      <c r="NLW56" s="223"/>
      <c r="NLX56" s="223"/>
      <c r="NMG56" s="223"/>
      <c r="NMH56" s="223"/>
      <c r="NMQ56" s="223"/>
      <c r="NMR56" s="223"/>
      <c r="NNA56" s="223"/>
      <c r="NNB56" s="223"/>
      <c r="NNK56" s="223"/>
      <c r="NNL56" s="223"/>
      <c r="NNU56" s="223"/>
      <c r="NNV56" s="223"/>
      <c r="NOE56" s="223"/>
      <c r="NOF56" s="223"/>
      <c r="NOO56" s="223"/>
      <c r="NOP56" s="223"/>
      <c r="NOY56" s="223"/>
      <c r="NOZ56" s="223"/>
      <c r="NPI56" s="223"/>
      <c r="NPJ56" s="223"/>
      <c r="NPS56" s="223"/>
      <c r="NPT56" s="223"/>
      <c r="NQC56" s="223"/>
      <c r="NQD56" s="223"/>
      <c r="NQM56" s="223"/>
      <c r="NQN56" s="223"/>
      <c r="NQW56" s="223"/>
      <c r="NQX56" s="223"/>
      <c r="NRG56" s="223"/>
      <c r="NRH56" s="223"/>
      <c r="NRQ56" s="223"/>
      <c r="NRR56" s="223"/>
      <c r="NSA56" s="223"/>
      <c r="NSB56" s="223"/>
      <c r="NSK56" s="223"/>
      <c r="NSL56" s="223"/>
      <c r="NSU56" s="223"/>
      <c r="NSV56" s="223"/>
      <c r="NTE56" s="223"/>
      <c r="NTF56" s="223"/>
      <c r="NTO56" s="223"/>
      <c r="NTP56" s="223"/>
      <c r="NTY56" s="223"/>
      <c r="NTZ56" s="223"/>
      <c r="NUI56" s="223"/>
      <c r="NUJ56" s="223"/>
      <c r="NUS56" s="223"/>
      <c r="NUT56" s="223"/>
      <c r="NVC56" s="223"/>
      <c r="NVD56" s="223"/>
      <c r="NVM56" s="223"/>
      <c r="NVN56" s="223"/>
      <c r="NVW56" s="223"/>
      <c r="NVX56" s="223"/>
      <c r="NWG56" s="223"/>
      <c r="NWH56" s="223"/>
      <c r="NWQ56" s="223"/>
      <c r="NWR56" s="223"/>
      <c r="NXA56" s="223"/>
      <c r="NXB56" s="223"/>
      <c r="NXK56" s="223"/>
      <c r="NXL56" s="223"/>
      <c r="NXU56" s="223"/>
      <c r="NXV56" s="223"/>
      <c r="NYE56" s="223"/>
      <c r="NYF56" s="223"/>
      <c r="NYO56" s="223"/>
      <c r="NYP56" s="223"/>
      <c r="NYY56" s="223"/>
      <c r="NYZ56" s="223"/>
      <c r="NZI56" s="223"/>
      <c r="NZJ56" s="223"/>
      <c r="NZS56" s="223"/>
      <c r="NZT56" s="223"/>
      <c r="OAC56" s="223"/>
      <c r="OAD56" s="223"/>
      <c r="OAM56" s="223"/>
      <c r="OAN56" s="223"/>
      <c r="OAW56" s="223"/>
      <c r="OAX56" s="223"/>
      <c r="OBG56" s="223"/>
      <c r="OBH56" s="223"/>
      <c r="OBQ56" s="223"/>
      <c r="OBR56" s="223"/>
      <c r="OCA56" s="223"/>
      <c r="OCB56" s="223"/>
      <c r="OCK56" s="223"/>
      <c r="OCL56" s="223"/>
      <c r="OCU56" s="223"/>
      <c r="OCV56" s="223"/>
      <c r="ODE56" s="223"/>
      <c r="ODF56" s="223"/>
      <c r="ODO56" s="223"/>
      <c r="ODP56" s="223"/>
      <c r="ODY56" s="223"/>
      <c r="ODZ56" s="223"/>
      <c r="OEI56" s="223"/>
      <c r="OEJ56" s="223"/>
      <c r="OES56" s="223"/>
      <c r="OET56" s="223"/>
      <c r="OFC56" s="223"/>
      <c r="OFD56" s="223"/>
      <c r="OFM56" s="223"/>
      <c r="OFN56" s="223"/>
      <c r="OFW56" s="223"/>
      <c r="OFX56" s="223"/>
      <c r="OGG56" s="223"/>
      <c r="OGH56" s="223"/>
      <c r="OGQ56" s="223"/>
      <c r="OGR56" s="223"/>
      <c r="OHA56" s="223"/>
      <c r="OHB56" s="223"/>
      <c r="OHK56" s="223"/>
      <c r="OHL56" s="223"/>
      <c r="OHU56" s="223"/>
      <c r="OHV56" s="223"/>
      <c r="OIE56" s="223"/>
      <c r="OIF56" s="223"/>
      <c r="OIO56" s="223"/>
      <c r="OIP56" s="223"/>
      <c r="OIY56" s="223"/>
      <c r="OIZ56" s="223"/>
      <c r="OJI56" s="223"/>
      <c r="OJJ56" s="223"/>
      <c r="OJS56" s="223"/>
      <c r="OJT56" s="223"/>
      <c r="OKC56" s="223"/>
      <c r="OKD56" s="223"/>
      <c r="OKM56" s="223"/>
      <c r="OKN56" s="223"/>
      <c r="OKW56" s="223"/>
      <c r="OKX56" s="223"/>
      <c r="OLG56" s="223"/>
      <c r="OLH56" s="223"/>
      <c r="OLQ56" s="223"/>
      <c r="OLR56" s="223"/>
      <c r="OMA56" s="223"/>
      <c r="OMB56" s="223"/>
      <c r="OMK56" s="223"/>
      <c r="OML56" s="223"/>
      <c r="OMU56" s="223"/>
      <c r="OMV56" s="223"/>
      <c r="ONE56" s="223"/>
      <c r="ONF56" s="223"/>
      <c r="ONO56" s="223"/>
      <c r="ONP56" s="223"/>
      <c r="ONY56" s="223"/>
      <c r="ONZ56" s="223"/>
      <c r="OOI56" s="223"/>
      <c r="OOJ56" s="223"/>
      <c r="OOS56" s="223"/>
      <c r="OOT56" s="223"/>
      <c r="OPC56" s="223"/>
      <c r="OPD56" s="223"/>
      <c r="OPM56" s="223"/>
      <c r="OPN56" s="223"/>
      <c r="OPW56" s="223"/>
      <c r="OPX56" s="223"/>
      <c r="OQG56" s="223"/>
      <c r="OQH56" s="223"/>
      <c r="OQQ56" s="223"/>
      <c r="OQR56" s="223"/>
      <c r="ORA56" s="223"/>
      <c r="ORB56" s="223"/>
      <c r="ORK56" s="223"/>
      <c r="ORL56" s="223"/>
      <c r="ORU56" s="223"/>
      <c r="ORV56" s="223"/>
      <c r="OSE56" s="223"/>
      <c r="OSF56" s="223"/>
      <c r="OSO56" s="223"/>
      <c r="OSP56" s="223"/>
      <c r="OSY56" s="223"/>
      <c r="OSZ56" s="223"/>
      <c r="OTI56" s="223"/>
      <c r="OTJ56" s="223"/>
      <c r="OTS56" s="223"/>
      <c r="OTT56" s="223"/>
      <c r="OUC56" s="223"/>
      <c r="OUD56" s="223"/>
      <c r="OUM56" s="223"/>
      <c r="OUN56" s="223"/>
      <c r="OUW56" s="223"/>
      <c r="OUX56" s="223"/>
      <c r="OVG56" s="223"/>
      <c r="OVH56" s="223"/>
      <c r="OVQ56" s="223"/>
      <c r="OVR56" s="223"/>
      <c r="OWA56" s="223"/>
      <c r="OWB56" s="223"/>
      <c r="OWK56" s="223"/>
      <c r="OWL56" s="223"/>
      <c r="OWU56" s="223"/>
      <c r="OWV56" s="223"/>
      <c r="OXE56" s="223"/>
      <c r="OXF56" s="223"/>
      <c r="OXO56" s="223"/>
      <c r="OXP56" s="223"/>
      <c r="OXY56" s="223"/>
      <c r="OXZ56" s="223"/>
      <c r="OYI56" s="223"/>
      <c r="OYJ56" s="223"/>
      <c r="OYS56" s="223"/>
      <c r="OYT56" s="223"/>
      <c r="OZC56" s="223"/>
      <c r="OZD56" s="223"/>
      <c r="OZM56" s="223"/>
      <c r="OZN56" s="223"/>
      <c r="OZW56" s="223"/>
      <c r="OZX56" s="223"/>
      <c r="PAG56" s="223"/>
      <c r="PAH56" s="223"/>
      <c r="PAQ56" s="223"/>
      <c r="PAR56" s="223"/>
      <c r="PBA56" s="223"/>
      <c r="PBB56" s="223"/>
      <c r="PBK56" s="223"/>
      <c r="PBL56" s="223"/>
      <c r="PBU56" s="223"/>
      <c r="PBV56" s="223"/>
      <c r="PCE56" s="223"/>
      <c r="PCF56" s="223"/>
      <c r="PCO56" s="223"/>
      <c r="PCP56" s="223"/>
      <c r="PCY56" s="223"/>
      <c r="PCZ56" s="223"/>
      <c r="PDI56" s="223"/>
      <c r="PDJ56" s="223"/>
      <c r="PDS56" s="223"/>
      <c r="PDT56" s="223"/>
      <c r="PEC56" s="223"/>
      <c r="PED56" s="223"/>
      <c r="PEM56" s="223"/>
      <c r="PEN56" s="223"/>
      <c r="PEW56" s="223"/>
      <c r="PEX56" s="223"/>
      <c r="PFG56" s="223"/>
      <c r="PFH56" s="223"/>
      <c r="PFQ56" s="223"/>
      <c r="PFR56" s="223"/>
      <c r="PGA56" s="223"/>
      <c r="PGB56" s="223"/>
      <c r="PGK56" s="223"/>
      <c r="PGL56" s="223"/>
      <c r="PGU56" s="223"/>
      <c r="PGV56" s="223"/>
      <c r="PHE56" s="223"/>
      <c r="PHF56" s="223"/>
      <c r="PHO56" s="223"/>
      <c r="PHP56" s="223"/>
      <c r="PHY56" s="223"/>
      <c r="PHZ56" s="223"/>
      <c r="PII56" s="223"/>
      <c r="PIJ56" s="223"/>
      <c r="PIS56" s="223"/>
      <c r="PIT56" s="223"/>
      <c r="PJC56" s="223"/>
      <c r="PJD56" s="223"/>
      <c r="PJM56" s="223"/>
      <c r="PJN56" s="223"/>
      <c r="PJW56" s="223"/>
      <c r="PJX56" s="223"/>
      <c r="PKG56" s="223"/>
      <c r="PKH56" s="223"/>
      <c r="PKQ56" s="223"/>
      <c r="PKR56" s="223"/>
      <c r="PLA56" s="223"/>
      <c r="PLB56" s="223"/>
      <c r="PLK56" s="223"/>
      <c r="PLL56" s="223"/>
      <c r="PLU56" s="223"/>
      <c r="PLV56" s="223"/>
      <c r="PME56" s="223"/>
      <c r="PMF56" s="223"/>
      <c r="PMO56" s="223"/>
      <c r="PMP56" s="223"/>
      <c r="PMY56" s="223"/>
      <c r="PMZ56" s="223"/>
      <c r="PNI56" s="223"/>
      <c r="PNJ56" s="223"/>
      <c r="PNS56" s="223"/>
      <c r="PNT56" s="223"/>
      <c r="POC56" s="223"/>
      <c r="POD56" s="223"/>
      <c r="POM56" s="223"/>
      <c r="PON56" s="223"/>
      <c r="POW56" s="223"/>
      <c r="POX56" s="223"/>
      <c r="PPG56" s="223"/>
      <c r="PPH56" s="223"/>
      <c r="PPQ56" s="223"/>
      <c r="PPR56" s="223"/>
      <c r="PQA56" s="223"/>
      <c r="PQB56" s="223"/>
      <c r="PQK56" s="223"/>
      <c r="PQL56" s="223"/>
      <c r="PQU56" s="223"/>
      <c r="PQV56" s="223"/>
      <c r="PRE56" s="223"/>
      <c r="PRF56" s="223"/>
      <c r="PRO56" s="223"/>
      <c r="PRP56" s="223"/>
      <c r="PRY56" s="223"/>
      <c r="PRZ56" s="223"/>
      <c r="PSI56" s="223"/>
      <c r="PSJ56" s="223"/>
      <c r="PSS56" s="223"/>
      <c r="PST56" s="223"/>
      <c r="PTC56" s="223"/>
      <c r="PTD56" s="223"/>
      <c r="PTM56" s="223"/>
      <c r="PTN56" s="223"/>
      <c r="PTW56" s="223"/>
      <c r="PTX56" s="223"/>
      <c r="PUG56" s="223"/>
      <c r="PUH56" s="223"/>
      <c r="PUQ56" s="223"/>
      <c r="PUR56" s="223"/>
      <c r="PVA56" s="223"/>
      <c r="PVB56" s="223"/>
      <c r="PVK56" s="223"/>
      <c r="PVL56" s="223"/>
      <c r="PVU56" s="223"/>
      <c r="PVV56" s="223"/>
      <c r="PWE56" s="223"/>
      <c r="PWF56" s="223"/>
      <c r="PWO56" s="223"/>
      <c r="PWP56" s="223"/>
      <c r="PWY56" s="223"/>
      <c r="PWZ56" s="223"/>
      <c r="PXI56" s="223"/>
      <c r="PXJ56" s="223"/>
      <c r="PXS56" s="223"/>
      <c r="PXT56" s="223"/>
      <c r="PYC56" s="223"/>
      <c r="PYD56" s="223"/>
      <c r="PYM56" s="223"/>
      <c r="PYN56" s="223"/>
      <c r="PYW56" s="223"/>
      <c r="PYX56" s="223"/>
      <c r="PZG56" s="223"/>
      <c r="PZH56" s="223"/>
      <c r="PZQ56" s="223"/>
      <c r="PZR56" s="223"/>
      <c r="QAA56" s="223"/>
      <c r="QAB56" s="223"/>
      <c r="QAK56" s="223"/>
      <c r="QAL56" s="223"/>
      <c r="QAU56" s="223"/>
      <c r="QAV56" s="223"/>
      <c r="QBE56" s="223"/>
      <c r="QBF56" s="223"/>
      <c r="QBO56" s="223"/>
      <c r="QBP56" s="223"/>
      <c r="QBY56" s="223"/>
      <c r="QBZ56" s="223"/>
      <c r="QCI56" s="223"/>
      <c r="QCJ56" s="223"/>
      <c r="QCS56" s="223"/>
      <c r="QCT56" s="223"/>
      <c r="QDC56" s="223"/>
      <c r="QDD56" s="223"/>
      <c r="QDM56" s="223"/>
      <c r="QDN56" s="223"/>
      <c r="QDW56" s="223"/>
      <c r="QDX56" s="223"/>
      <c r="QEG56" s="223"/>
      <c r="QEH56" s="223"/>
      <c r="QEQ56" s="223"/>
      <c r="QER56" s="223"/>
      <c r="QFA56" s="223"/>
      <c r="QFB56" s="223"/>
      <c r="QFK56" s="223"/>
      <c r="QFL56" s="223"/>
      <c r="QFU56" s="223"/>
      <c r="QFV56" s="223"/>
      <c r="QGE56" s="223"/>
      <c r="QGF56" s="223"/>
      <c r="QGO56" s="223"/>
      <c r="QGP56" s="223"/>
      <c r="QGY56" s="223"/>
      <c r="QGZ56" s="223"/>
      <c r="QHI56" s="223"/>
      <c r="QHJ56" s="223"/>
      <c r="QHS56" s="223"/>
      <c r="QHT56" s="223"/>
      <c r="QIC56" s="223"/>
      <c r="QID56" s="223"/>
      <c r="QIM56" s="223"/>
      <c r="QIN56" s="223"/>
      <c r="QIW56" s="223"/>
      <c r="QIX56" s="223"/>
      <c r="QJG56" s="223"/>
      <c r="QJH56" s="223"/>
      <c r="QJQ56" s="223"/>
      <c r="QJR56" s="223"/>
      <c r="QKA56" s="223"/>
      <c r="QKB56" s="223"/>
      <c r="QKK56" s="223"/>
      <c r="QKL56" s="223"/>
      <c r="QKU56" s="223"/>
      <c r="QKV56" s="223"/>
      <c r="QLE56" s="223"/>
      <c r="QLF56" s="223"/>
      <c r="QLO56" s="223"/>
      <c r="QLP56" s="223"/>
      <c r="QLY56" s="223"/>
      <c r="QLZ56" s="223"/>
      <c r="QMI56" s="223"/>
      <c r="QMJ56" s="223"/>
      <c r="QMS56" s="223"/>
      <c r="QMT56" s="223"/>
      <c r="QNC56" s="223"/>
      <c r="QND56" s="223"/>
      <c r="QNM56" s="223"/>
      <c r="QNN56" s="223"/>
      <c r="QNW56" s="223"/>
      <c r="QNX56" s="223"/>
      <c r="QOG56" s="223"/>
      <c r="QOH56" s="223"/>
      <c r="QOQ56" s="223"/>
      <c r="QOR56" s="223"/>
      <c r="QPA56" s="223"/>
      <c r="QPB56" s="223"/>
      <c r="QPK56" s="223"/>
      <c r="QPL56" s="223"/>
      <c r="QPU56" s="223"/>
      <c r="QPV56" s="223"/>
      <c r="QQE56" s="223"/>
      <c r="QQF56" s="223"/>
      <c r="QQO56" s="223"/>
      <c r="QQP56" s="223"/>
      <c r="QQY56" s="223"/>
      <c r="QQZ56" s="223"/>
      <c r="QRI56" s="223"/>
      <c r="QRJ56" s="223"/>
      <c r="QRS56" s="223"/>
      <c r="QRT56" s="223"/>
      <c r="QSC56" s="223"/>
      <c r="QSD56" s="223"/>
      <c r="QSM56" s="223"/>
      <c r="QSN56" s="223"/>
      <c r="QSW56" s="223"/>
      <c r="QSX56" s="223"/>
      <c r="QTG56" s="223"/>
      <c r="QTH56" s="223"/>
      <c r="QTQ56" s="223"/>
      <c r="QTR56" s="223"/>
      <c r="QUA56" s="223"/>
      <c r="QUB56" s="223"/>
      <c r="QUK56" s="223"/>
      <c r="QUL56" s="223"/>
      <c r="QUU56" s="223"/>
      <c r="QUV56" s="223"/>
      <c r="QVE56" s="223"/>
      <c r="QVF56" s="223"/>
      <c r="QVO56" s="223"/>
      <c r="QVP56" s="223"/>
      <c r="QVY56" s="223"/>
      <c r="QVZ56" s="223"/>
      <c r="QWI56" s="223"/>
      <c r="QWJ56" s="223"/>
      <c r="QWS56" s="223"/>
      <c r="QWT56" s="223"/>
      <c r="QXC56" s="223"/>
      <c r="QXD56" s="223"/>
      <c r="QXM56" s="223"/>
      <c r="QXN56" s="223"/>
      <c r="QXW56" s="223"/>
      <c r="QXX56" s="223"/>
      <c r="QYG56" s="223"/>
      <c r="QYH56" s="223"/>
      <c r="QYQ56" s="223"/>
      <c r="QYR56" s="223"/>
      <c r="QZA56" s="223"/>
      <c r="QZB56" s="223"/>
      <c r="QZK56" s="223"/>
      <c r="QZL56" s="223"/>
      <c r="QZU56" s="223"/>
      <c r="QZV56" s="223"/>
      <c r="RAE56" s="223"/>
      <c r="RAF56" s="223"/>
      <c r="RAO56" s="223"/>
      <c r="RAP56" s="223"/>
      <c r="RAY56" s="223"/>
      <c r="RAZ56" s="223"/>
      <c r="RBI56" s="223"/>
      <c r="RBJ56" s="223"/>
      <c r="RBS56" s="223"/>
      <c r="RBT56" s="223"/>
      <c r="RCC56" s="223"/>
      <c r="RCD56" s="223"/>
      <c r="RCM56" s="223"/>
      <c r="RCN56" s="223"/>
      <c r="RCW56" s="223"/>
      <c r="RCX56" s="223"/>
      <c r="RDG56" s="223"/>
      <c r="RDH56" s="223"/>
      <c r="RDQ56" s="223"/>
      <c r="RDR56" s="223"/>
      <c r="REA56" s="223"/>
      <c r="REB56" s="223"/>
      <c r="REK56" s="223"/>
      <c r="REL56" s="223"/>
      <c r="REU56" s="223"/>
      <c r="REV56" s="223"/>
      <c r="RFE56" s="223"/>
      <c r="RFF56" s="223"/>
      <c r="RFO56" s="223"/>
      <c r="RFP56" s="223"/>
      <c r="RFY56" s="223"/>
      <c r="RFZ56" s="223"/>
      <c r="RGI56" s="223"/>
      <c r="RGJ56" s="223"/>
      <c r="RGS56" s="223"/>
      <c r="RGT56" s="223"/>
      <c r="RHC56" s="223"/>
      <c r="RHD56" s="223"/>
      <c r="RHM56" s="223"/>
      <c r="RHN56" s="223"/>
      <c r="RHW56" s="223"/>
      <c r="RHX56" s="223"/>
      <c r="RIG56" s="223"/>
      <c r="RIH56" s="223"/>
      <c r="RIQ56" s="223"/>
      <c r="RIR56" s="223"/>
      <c r="RJA56" s="223"/>
      <c r="RJB56" s="223"/>
      <c r="RJK56" s="223"/>
      <c r="RJL56" s="223"/>
      <c r="RJU56" s="223"/>
      <c r="RJV56" s="223"/>
      <c r="RKE56" s="223"/>
      <c r="RKF56" s="223"/>
      <c r="RKO56" s="223"/>
      <c r="RKP56" s="223"/>
      <c r="RKY56" s="223"/>
      <c r="RKZ56" s="223"/>
      <c r="RLI56" s="223"/>
      <c r="RLJ56" s="223"/>
      <c r="RLS56" s="223"/>
      <c r="RLT56" s="223"/>
      <c r="RMC56" s="223"/>
      <c r="RMD56" s="223"/>
      <c r="RMM56" s="223"/>
      <c r="RMN56" s="223"/>
      <c r="RMW56" s="223"/>
      <c r="RMX56" s="223"/>
      <c r="RNG56" s="223"/>
      <c r="RNH56" s="223"/>
      <c r="RNQ56" s="223"/>
      <c r="RNR56" s="223"/>
      <c r="ROA56" s="223"/>
      <c r="ROB56" s="223"/>
      <c r="ROK56" s="223"/>
      <c r="ROL56" s="223"/>
      <c r="ROU56" s="223"/>
      <c r="ROV56" s="223"/>
      <c r="RPE56" s="223"/>
      <c r="RPF56" s="223"/>
      <c r="RPO56" s="223"/>
      <c r="RPP56" s="223"/>
      <c r="RPY56" s="223"/>
      <c r="RPZ56" s="223"/>
      <c r="RQI56" s="223"/>
      <c r="RQJ56" s="223"/>
      <c r="RQS56" s="223"/>
      <c r="RQT56" s="223"/>
      <c r="RRC56" s="223"/>
      <c r="RRD56" s="223"/>
      <c r="RRM56" s="223"/>
      <c r="RRN56" s="223"/>
      <c r="RRW56" s="223"/>
      <c r="RRX56" s="223"/>
      <c r="RSG56" s="223"/>
      <c r="RSH56" s="223"/>
      <c r="RSQ56" s="223"/>
      <c r="RSR56" s="223"/>
      <c r="RTA56" s="223"/>
      <c r="RTB56" s="223"/>
      <c r="RTK56" s="223"/>
      <c r="RTL56" s="223"/>
      <c r="RTU56" s="223"/>
      <c r="RTV56" s="223"/>
      <c r="RUE56" s="223"/>
      <c r="RUF56" s="223"/>
      <c r="RUO56" s="223"/>
      <c r="RUP56" s="223"/>
      <c r="RUY56" s="223"/>
      <c r="RUZ56" s="223"/>
      <c r="RVI56" s="223"/>
      <c r="RVJ56" s="223"/>
      <c r="RVS56" s="223"/>
      <c r="RVT56" s="223"/>
      <c r="RWC56" s="223"/>
      <c r="RWD56" s="223"/>
      <c r="RWM56" s="223"/>
      <c r="RWN56" s="223"/>
      <c r="RWW56" s="223"/>
      <c r="RWX56" s="223"/>
      <c r="RXG56" s="223"/>
      <c r="RXH56" s="223"/>
      <c r="RXQ56" s="223"/>
      <c r="RXR56" s="223"/>
      <c r="RYA56" s="223"/>
      <c r="RYB56" s="223"/>
      <c r="RYK56" s="223"/>
      <c r="RYL56" s="223"/>
      <c r="RYU56" s="223"/>
      <c r="RYV56" s="223"/>
      <c r="RZE56" s="223"/>
      <c r="RZF56" s="223"/>
      <c r="RZO56" s="223"/>
      <c r="RZP56" s="223"/>
      <c r="RZY56" s="223"/>
      <c r="RZZ56" s="223"/>
      <c r="SAI56" s="223"/>
      <c r="SAJ56" s="223"/>
      <c r="SAS56" s="223"/>
      <c r="SAT56" s="223"/>
      <c r="SBC56" s="223"/>
      <c r="SBD56" s="223"/>
      <c r="SBM56" s="223"/>
      <c r="SBN56" s="223"/>
      <c r="SBW56" s="223"/>
      <c r="SBX56" s="223"/>
      <c r="SCG56" s="223"/>
      <c r="SCH56" s="223"/>
      <c r="SCQ56" s="223"/>
      <c r="SCR56" s="223"/>
      <c r="SDA56" s="223"/>
      <c r="SDB56" s="223"/>
      <c r="SDK56" s="223"/>
      <c r="SDL56" s="223"/>
      <c r="SDU56" s="223"/>
      <c r="SDV56" s="223"/>
      <c r="SEE56" s="223"/>
      <c r="SEF56" s="223"/>
      <c r="SEO56" s="223"/>
      <c r="SEP56" s="223"/>
      <c r="SEY56" s="223"/>
      <c r="SEZ56" s="223"/>
      <c r="SFI56" s="223"/>
      <c r="SFJ56" s="223"/>
      <c r="SFS56" s="223"/>
      <c r="SFT56" s="223"/>
      <c r="SGC56" s="223"/>
      <c r="SGD56" s="223"/>
      <c r="SGM56" s="223"/>
      <c r="SGN56" s="223"/>
      <c r="SGW56" s="223"/>
      <c r="SGX56" s="223"/>
      <c r="SHG56" s="223"/>
      <c r="SHH56" s="223"/>
      <c r="SHQ56" s="223"/>
      <c r="SHR56" s="223"/>
      <c r="SIA56" s="223"/>
      <c r="SIB56" s="223"/>
      <c r="SIK56" s="223"/>
      <c r="SIL56" s="223"/>
      <c r="SIU56" s="223"/>
      <c r="SIV56" s="223"/>
      <c r="SJE56" s="223"/>
      <c r="SJF56" s="223"/>
      <c r="SJO56" s="223"/>
      <c r="SJP56" s="223"/>
      <c r="SJY56" s="223"/>
      <c r="SJZ56" s="223"/>
      <c r="SKI56" s="223"/>
      <c r="SKJ56" s="223"/>
      <c r="SKS56" s="223"/>
      <c r="SKT56" s="223"/>
      <c r="SLC56" s="223"/>
      <c r="SLD56" s="223"/>
      <c r="SLM56" s="223"/>
      <c r="SLN56" s="223"/>
      <c r="SLW56" s="223"/>
      <c r="SLX56" s="223"/>
      <c r="SMG56" s="223"/>
      <c r="SMH56" s="223"/>
      <c r="SMQ56" s="223"/>
      <c r="SMR56" s="223"/>
      <c r="SNA56" s="223"/>
      <c r="SNB56" s="223"/>
      <c r="SNK56" s="223"/>
      <c r="SNL56" s="223"/>
      <c r="SNU56" s="223"/>
      <c r="SNV56" s="223"/>
      <c r="SOE56" s="223"/>
      <c r="SOF56" s="223"/>
      <c r="SOO56" s="223"/>
      <c r="SOP56" s="223"/>
      <c r="SOY56" s="223"/>
      <c r="SOZ56" s="223"/>
      <c r="SPI56" s="223"/>
      <c r="SPJ56" s="223"/>
      <c r="SPS56" s="223"/>
      <c r="SPT56" s="223"/>
      <c r="SQC56" s="223"/>
      <c r="SQD56" s="223"/>
      <c r="SQM56" s="223"/>
      <c r="SQN56" s="223"/>
      <c r="SQW56" s="223"/>
      <c r="SQX56" s="223"/>
      <c r="SRG56" s="223"/>
      <c r="SRH56" s="223"/>
      <c r="SRQ56" s="223"/>
      <c r="SRR56" s="223"/>
      <c r="SSA56" s="223"/>
      <c r="SSB56" s="223"/>
      <c r="SSK56" s="223"/>
      <c r="SSL56" s="223"/>
      <c r="SSU56" s="223"/>
      <c r="SSV56" s="223"/>
      <c r="STE56" s="223"/>
      <c r="STF56" s="223"/>
      <c r="STO56" s="223"/>
      <c r="STP56" s="223"/>
      <c r="STY56" s="223"/>
      <c r="STZ56" s="223"/>
      <c r="SUI56" s="223"/>
      <c r="SUJ56" s="223"/>
      <c r="SUS56" s="223"/>
      <c r="SUT56" s="223"/>
      <c r="SVC56" s="223"/>
      <c r="SVD56" s="223"/>
      <c r="SVM56" s="223"/>
      <c r="SVN56" s="223"/>
      <c r="SVW56" s="223"/>
      <c r="SVX56" s="223"/>
      <c r="SWG56" s="223"/>
      <c r="SWH56" s="223"/>
      <c r="SWQ56" s="223"/>
      <c r="SWR56" s="223"/>
      <c r="SXA56" s="223"/>
      <c r="SXB56" s="223"/>
      <c r="SXK56" s="223"/>
      <c r="SXL56" s="223"/>
      <c r="SXU56" s="223"/>
      <c r="SXV56" s="223"/>
      <c r="SYE56" s="223"/>
      <c r="SYF56" s="223"/>
      <c r="SYO56" s="223"/>
      <c r="SYP56" s="223"/>
      <c r="SYY56" s="223"/>
      <c r="SYZ56" s="223"/>
      <c r="SZI56" s="223"/>
      <c r="SZJ56" s="223"/>
      <c r="SZS56" s="223"/>
      <c r="SZT56" s="223"/>
      <c r="TAC56" s="223"/>
      <c r="TAD56" s="223"/>
      <c r="TAM56" s="223"/>
      <c r="TAN56" s="223"/>
      <c r="TAW56" s="223"/>
      <c r="TAX56" s="223"/>
      <c r="TBG56" s="223"/>
      <c r="TBH56" s="223"/>
      <c r="TBQ56" s="223"/>
      <c r="TBR56" s="223"/>
      <c r="TCA56" s="223"/>
      <c r="TCB56" s="223"/>
      <c r="TCK56" s="223"/>
      <c r="TCL56" s="223"/>
      <c r="TCU56" s="223"/>
      <c r="TCV56" s="223"/>
      <c r="TDE56" s="223"/>
      <c r="TDF56" s="223"/>
      <c r="TDO56" s="223"/>
      <c r="TDP56" s="223"/>
      <c r="TDY56" s="223"/>
      <c r="TDZ56" s="223"/>
      <c r="TEI56" s="223"/>
      <c r="TEJ56" s="223"/>
      <c r="TES56" s="223"/>
      <c r="TET56" s="223"/>
      <c r="TFC56" s="223"/>
      <c r="TFD56" s="223"/>
      <c r="TFM56" s="223"/>
      <c r="TFN56" s="223"/>
      <c r="TFW56" s="223"/>
      <c r="TFX56" s="223"/>
      <c r="TGG56" s="223"/>
      <c r="TGH56" s="223"/>
      <c r="TGQ56" s="223"/>
      <c r="TGR56" s="223"/>
      <c r="THA56" s="223"/>
      <c r="THB56" s="223"/>
      <c r="THK56" s="223"/>
      <c r="THL56" s="223"/>
      <c r="THU56" s="223"/>
      <c r="THV56" s="223"/>
      <c r="TIE56" s="223"/>
      <c r="TIF56" s="223"/>
      <c r="TIO56" s="223"/>
      <c r="TIP56" s="223"/>
      <c r="TIY56" s="223"/>
      <c r="TIZ56" s="223"/>
      <c r="TJI56" s="223"/>
      <c r="TJJ56" s="223"/>
      <c r="TJS56" s="223"/>
      <c r="TJT56" s="223"/>
      <c r="TKC56" s="223"/>
      <c r="TKD56" s="223"/>
      <c r="TKM56" s="223"/>
      <c r="TKN56" s="223"/>
      <c r="TKW56" s="223"/>
      <c r="TKX56" s="223"/>
      <c r="TLG56" s="223"/>
      <c r="TLH56" s="223"/>
      <c r="TLQ56" s="223"/>
      <c r="TLR56" s="223"/>
      <c r="TMA56" s="223"/>
      <c r="TMB56" s="223"/>
      <c r="TMK56" s="223"/>
      <c r="TML56" s="223"/>
      <c r="TMU56" s="223"/>
      <c r="TMV56" s="223"/>
      <c r="TNE56" s="223"/>
      <c r="TNF56" s="223"/>
      <c r="TNO56" s="223"/>
      <c r="TNP56" s="223"/>
      <c r="TNY56" s="223"/>
      <c r="TNZ56" s="223"/>
      <c r="TOI56" s="223"/>
      <c r="TOJ56" s="223"/>
      <c r="TOS56" s="223"/>
      <c r="TOT56" s="223"/>
      <c r="TPC56" s="223"/>
      <c r="TPD56" s="223"/>
      <c r="TPM56" s="223"/>
      <c r="TPN56" s="223"/>
      <c r="TPW56" s="223"/>
      <c r="TPX56" s="223"/>
      <c r="TQG56" s="223"/>
      <c r="TQH56" s="223"/>
      <c r="TQQ56" s="223"/>
      <c r="TQR56" s="223"/>
      <c r="TRA56" s="223"/>
      <c r="TRB56" s="223"/>
      <c r="TRK56" s="223"/>
      <c r="TRL56" s="223"/>
      <c r="TRU56" s="223"/>
      <c r="TRV56" s="223"/>
      <c r="TSE56" s="223"/>
      <c r="TSF56" s="223"/>
      <c r="TSO56" s="223"/>
      <c r="TSP56" s="223"/>
      <c r="TSY56" s="223"/>
      <c r="TSZ56" s="223"/>
      <c r="TTI56" s="223"/>
      <c r="TTJ56" s="223"/>
      <c r="TTS56" s="223"/>
      <c r="TTT56" s="223"/>
      <c r="TUC56" s="223"/>
      <c r="TUD56" s="223"/>
      <c r="TUM56" s="223"/>
      <c r="TUN56" s="223"/>
      <c r="TUW56" s="223"/>
      <c r="TUX56" s="223"/>
      <c r="TVG56" s="223"/>
      <c r="TVH56" s="223"/>
      <c r="TVQ56" s="223"/>
      <c r="TVR56" s="223"/>
      <c r="TWA56" s="223"/>
      <c r="TWB56" s="223"/>
      <c r="TWK56" s="223"/>
      <c r="TWL56" s="223"/>
      <c r="TWU56" s="223"/>
      <c r="TWV56" s="223"/>
      <c r="TXE56" s="223"/>
      <c r="TXF56" s="223"/>
      <c r="TXO56" s="223"/>
      <c r="TXP56" s="223"/>
      <c r="TXY56" s="223"/>
      <c r="TXZ56" s="223"/>
      <c r="TYI56" s="223"/>
      <c r="TYJ56" s="223"/>
      <c r="TYS56" s="223"/>
      <c r="TYT56" s="223"/>
      <c r="TZC56" s="223"/>
      <c r="TZD56" s="223"/>
      <c r="TZM56" s="223"/>
      <c r="TZN56" s="223"/>
      <c r="TZW56" s="223"/>
      <c r="TZX56" s="223"/>
      <c r="UAG56" s="223"/>
      <c r="UAH56" s="223"/>
      <c r="UAQ56" s="223"/>
      <c r="UAR56" s="223"/>
      <c r="UBA56" s="223"/>
      <c r="UBB56" s="223"/>
      <c r="UBK56" s="223"/>
      <c r="UBL56" s="223"/>
      <c r="UBU56" s="223"/>
      <c r="UBV56" s="223"/>
      <c r="UCE56" s="223"/>
      <c r="UCF56" s="223"/>
      <c r="UCO56" s="223"/>
      <c r="UCP56" s="223"/>
      <c r="UCY56" s="223"/>
      <c r="UCZ56" s="223"/>
      <c r="UDI56" s="223"/>
      <c r="UDJ56" s="223"/>
      <c r="UDS56" s="223"/>
      <c r="UDT56" s="223"/>
      <c r="UEC56" s="223"/>
      <c r="UED56" s="223"/>
      <c r="UEM56" s="223"/>
      <c r="UEN56" s="223"/>
      <c r="UEW56" s="223"/>
      <c r="UEX56" s="223"/>
      <c r="UFG56" s="223"/>
      <c r="UFH56" s="223"/>
      <c r="UFQ56" s="223"/>
      <c r="UFR56" s="223"/>
      <c r="UGA56" s="223"/>
      <c r="UGB56" s="223"/>
      <c r="UGK56" s="223"/>
      <c r="UGL56" s="223"/>
      <c r="UGU56" s="223"/>
      <c r="UGV56" s="223"/>
      <c r="UHE56" s="223"/>
      <c r="UHF56" s="223"/>
      <c r="UHO56" s="223"/>
      <c r="UHP56" s="223"/>
      <c r="UHY56" s="223"/>
      <c r="UHZ56" s="223"/>
      <c r="UII56" s="223"/>
      <c r="UIJ56" s="223"/>
      <c r="UIS56" s="223"/>
      <c r="UIT56" s="223"/>
      <c r="UJC56" s="223"/>
      <c r="UJD56" s="223"/>
      <c r="UJM56" s="223"/>
      <c r="UJN56" s="223"/>
      <c r="UJW56" s="223"/>
      <c r="UJX56" s="223"/>
      <c r="UKG56" s="223"/>
      <c r="UKH56" s="223"/>
      <c r="UKQ56" s="223"/>
      <c r="UKR56" s="223"/>
      <c r="ULA56" s="223"/>
      <c r="ULB56" s="223"/>
      <c r="ULK56" s="223"/>
      <c r="ULL56" s="223"/>
      <c r="ULU56" s="223"/>
      <c r="ULV56" s="223"/>
      <c r="UME56" s="223"/>
      <c r="UMF56" s="223"/>
      <c r="UMO56" s="223"/>
      <c r="UMP56" s="223"/>
      <c r="UMY56" s="223"/>
      <c r="UMZ56" s="223"/>
      <c r="UNI56" s="223"/>
      <c r="UNJ56" s="223"/>
      <c r="UNS56" s="223"/>
      <c r="UNT56" s="223"/>
      <c r="UOC56" s="223"/>
      <c r="UOD56" s="223"/>
      <c r="UOM56" s="223"/>
      <c r="UON56" s="223"/>
      <c r="UOW56" s="223"/>
      <c r="UOX56" s="223"/>
      <c r="UPG56" s="223"/>
      <c r="UPH56" s="223"/>
      <c r="UPQ56" s="223"/>
      <c r="UPR56" s="223"/>
      <c r="UQA56" s="223"/>
      <c r="UQB56" s="223"/>
      <c r="UQK56" s="223"/>
      <c r="UQL56" s="223"/>
      <c r="UQU56" s="223"/>
      <c r="UQV56" s="223"/>
      <c r="URE56" s="223"/>
      <c r="URF56" s="223"/>
      <c r="URO56" s="223"/>
      <c r="URP56" s="223"/>
      <c r="URY56" s="223"/>
      <c r="URZ56" s="223"/>
      <c r="USI56" s="223"/>
      <c r="USJ56" s="223"/>
      <c r="USS56" s="223"/>
      <c r="UST56" s="223"/>
      <c r="UTC56" s="223"/>
      <c r="UTD56" s="223"/>
      <c r="UTM56" s="223"/>
      <c r="UTN56" s="223"/>
      <c r="UTW56" s="223"/>
      <c r="UTX56" s="223"/>
      <c r="UUG56" s="223"/>
      <c r="UUH56" s="223"/>
      <c r="UUQ56" s="223"/>
      <c r="UUR56" s="223"/>
      <c r="UVA56" s="223"/>
      <c r="UVB56" s="223"/>
      <c r="UVK56" s="223"/>
      <c r="UVL56" s="223"/>
      <c r="UVU56" s="223"/>
      <c r="UVV56" s="223"/>
      <c r="UWE56" s="223"/>
      <c r="UWF56" s="223"/>
      <c r="UWO56" s="223"/>
      <c r="UWP56" s="223"/>
      <c r="UWY56" s="223"/>
      <c r="UWZ56" s="223"/>
      <c r="UXI56" s="223"/>
      <c r="UXJ56" s="223"/>
      <c r="UXS56" s="223"/>
      <c r="UXT56" s="223"/>
      <c r="UYC56" s="223"/>
      <c r="UYD56" s="223"/>
      <c r="UYM56" s="223"/>
      <c r="UYN56" s="223"/>
      <c r="UYW56" s="223"/>
      <c r="UYX56" s="223"/>
      <c r="UZG56" s="223"/>
      <c r="UZH56" s="223"/>
      <c r="UZQ56" s="223"/>
      <c r="UZR56" s="223"/>
      <c r="VAA56" s="223"/>
      <c r="VAB56" s="223"/>
      <c r="VAK56" s="223"/>
      <c r="VAL56" s="223"/>
      <c r="VAU56" s="223"/>
      <c r="VAV56" s="223"/>
      <c r="VBE56" s="223"/>
      <c r="VBF56" s="223"/>
      <c r="VBO56" s="223"/>
      <c r="VBP56" s="223"/>
      <c r="VBY56" s="223"/>
      <c r="VBZ56" s="223"/>
      <c r="VCI56" s="223"/>
      <c r="VCJ56" s="223"/>
      <c r="VCS56" s="223"/>
      <c r="VCT56" s="223"/>
      <c r="VDC56" s="223"/>
      <c r="VDD56" s="223"/>
      <c r="VDM56" s="223"/>
      <c r="VDN56" s="223"/>
      <c r="VDW56" s="223"/>
      <c r="VDX56" s="223"/>
      <c r="VEG56" s="223"/>
      <c r="VEH56" s="223"/>
      <c r="VEQ56" s="223"/>
      <c r="VER56" s="223"/>
      <c r="VFA56" s="223"/>
      <c r="VFB56" s="223"/>
      <c r="VFK56" s="223"/>
      <c r="VFL56" s="223"/>
      <c r="VFU56" s="223"/>
      <c r="VFV56" s="223"/>
      <c r="VGE56" s="223"/>
      <c r="VGF56" s="223"/>
      <c r="VGO56" s="223"/>
      <c r="VGP56" s="223"/>
      <c r="VGY56" s="223"/>
      <c r="VGZ56" s="223"/>
      <c r="VHI56" s="223"/>
      <c r="VHJ56" s="223"/>
      <c r="VHS56" s="223"/>
      <c r="VHT56" s="223"/>
      <c r="VIC56" s="223"/>
      <c r="VID56" s="223"/>
      <c r="VIM56" s="223"/>
      <c r="VIN56" s="223"/>
      <c r="VIW56" s="223"/>
      <c r="VIX56" s="223"/>
      <c r="VJG56" s="223"/>
      <c r="VJH56" s="223"/>
      <c r="VJQ56" s="223"/>
      <c r="VJR56" s="223"/>
      <c r="VKA56" s="223"/>
      <c r="VKB56" s="223"/>
      <c r="VKK56" s="223"/>
      <c r="VKL56" s="223"/>
      <c r="VKU56" s="223"/>
      <c r="VKV56" s="223"/>
      <c r="VLE56" s="223"/>
      <c r="VLF56" s="223"/>
      <c r="VLO56" s="223"/>
      <c r="VLP56" s="223"/>
      <c r="VLY56" s="223"/>
      <c r="VLZ56" s="223"/>
      <c r="VMI56" s="223"/>
      <c r="VMJ56" s="223"/>
      <c r="VMS56" s="223"/>
      <c r="VMT56" s="223"/>
      <c r="VNC56" s="223"/>
      <c r="VND56" s="223"/>
      <c r="VNM56" s="223"/>
      <c r="VNN56" s="223"/>
      <c r="VNW56" s="223"/>
      <c r="VNX56" s="223"/>
      <c r="VOG56" s="223"/>
      <c r="VOH56" s="223"/>
      <c r="VOQ56" s="223"/>
      <c r="VOR56" s="223"/>
      <c r="VPA56" s="223"/>
      <c r="VPB56" s="223"/>
      <c r="VPK56" s="223"/>
      <c r="VPL56" s="223"/>
      <c r="VPU56" s="223"/>
      <c r="VPV56" s="223"/>
      <c r="VQE56" s="223"/>
      <c r="VQF56" s="223"/>
      <c r="VQO56" s="223"/>
      <c r="VQP56" s="223"/>
      <c r="VQY56" s="223"/>
      <c r="VQZ56" s="223"/>
      <c r="VRI56" s="223"/>
      <c r="VRJ56" s="223"/>
      <c r="VRS56" s="223"/>
      <c r="VRT56" s="223"/>
      <c r="VSC56" s="223"/>
      <c r="VSD56" s="223"/>
      <c r="VSM56" s="223"/>
      <c r="VSN56" s="223"/>
      <c r="VSW56" s="223"/>
      <c r="VSX56" s="223"/>
      <c r="VTG56" s="223"/>
      <c r="VTH56" s="223"/>
      <c r="VTQ56" s="223"/>
      <c r="VTR56" s="223"/>
      <c r="VUA56" s="223"/>
      <c r="VUB56" s="223"/>
      <c r="VUK56" s="223"/>
      <c r="VUL56" s="223"/>
      <c r="VUU56" s="223"/>
      <c r="VUV56" s="223"/>
      <c r="VVE56" s="223"/>
      <c r="VVF56" s="223"/>
      <c r="VVO56" s="223"/>
      <c r="VVP56" s="223"/>
      <c r="VVY56" s="223"/>
      <c r="VVZ56" s="223"/>
      <c r="VWI56" s="223"/>
      <c r="VWJ56" s="223"/>
      <c r="VWS56" s="223"/>
      <c r="VWT56" s="223"/>
      <c r="VXC56" s="223"/>
      <c r="VXD56" s="223"/>
      <c r="VXM56" s="223"/>
      <c r="VXN56" s="223"/>
      <c r="VXW56" s="223"/>
      <c r="VXX56" s="223"/>
      <c r="VYG56" s="223"/>
      <c r="VYH56" s="223"/>
      <c r="VYQ56" s="223"/>
      <c r="VYR56" s="223"/>
      <c r="VZA56" s="223"/>
      <c r="VZB56" s="223"/>
      <c r="VZK56" s="223"/>
      <c r="VZL56" s="223"/>
      <c r="VZU56" s="223"/>
      <c r="VZV56" s="223"/>
      <c r="WAE56" s="223"/>
      <c r="WAF56" s="223"/>
      <c r="WAO56" s="223"/>
      <c r="WAP56" s="223"/>
      <c r="WAY56" s="223"/>
      <c r="WAZ56" s="223"/>
      <c r="WBI56" s="223"/>
      <c r="WBJ56" s="223"/>
      <c r="WBS56" s="223"/>
      <c r="WBT56" s="223"/>
      <c r="WCC56" s="223"/>
      <c r="WCD56" s="223"/>
      <c r="WCM56" s="223"/>
      <c r="WCN56" s="223"/>
      <c r="WCW56" s="223"/>
      <c r="WCX56" s="223"/>
      <c r="WDG56" s="223"/>
      <c r="WDH56" s="223"/>
      <c r="WDQ56" s="223"/>
      <c r="WDR56" s="223"/>
      <c r="WEA56" s="223"/>
      <c r="WEB56" s="223"/>
      <c r="WEK56" s="223"/>
      <c r="WEL56" s="223"/>
      <c r="WEU56" s="223"/>
      <c r="WEV56" s="223"/>
      <c r="WFE56" s="223"/>
      <c r="WFF56" s="223"/>
      <c r="WFO56" s="223"/>
      <c r="WFP56" s="223"/>
      <c r="WFY56" s="223"/>
      <c r="WFZ56" s="223"/>
      <c r="WGI56" s="223"/>
      <c r="WGJ56" s="223"/>
      <c r="WGS56" s="223"/>
      <c r="WGT56" s="223"/>
      <c r="WHC56" s="223"/>
      <c r="WHD56" s="223"/>
      <c r="WHM56" s="223"/>
      <c r="WHN56" s="223"/>
      <c r="WHW56" s="223"/>
      <c r="WHX56" s="223"/>
      <c r="WIG56" s="223"/>
      <c r="WIH56" s="223"/>
      <c r="WIQ56" s="223"/>
      <c r="WIR56" s="223"/>
      <c r="WJA56" s="223"/>
      <c r="WJB56" s="223"/>
      <c r="WJK56" s="223"/>
      <c r="WJL56" s="223"/>
      <c r="WJU56" s="223"/>
      <c r="WJV56" s="223"/>
      <c r="WKE56" s="223"/>
      <c r="WKF56" s="223"/>
      <c r="WKO56" s="223"/>
      <c r="WKP56" s="223"/>
      <c r="WKY56" s="223"/>
      <c r="WKZ56" s="223"/>
      <c r="WLI56" s="223"/>
      <c r="WLJ56" s="223"/>
      <c r="WLS56" s="223"/>
      <c r="WLT56" s="223"/>
      <c r="WMC56" s="223"/>
      <c r="WMD56" s="223"/>
      <c r="WMM56" s="223"/>
      <c r="WMN56" s="223"/>
      <c r="WMW56" s="223"/>
      <c r="WMX56" s="223"/>
      <c r="WNG56" s="223"/>
      <c r="WNH56" s="223"/>
      <c r="WNQ56" s="223"/>
      <c r="WNR56" s="223"/>
      <c r="WOA56" s="223"/>
      <c r="WOB56" s="223"/>
      <c r="WOK56" s="223"/>
      <c r="WOL56" s="223"/>
      <c r="WOU56" s="223"/>
      <c r="WOV56" s="223"/>
      <c r="WPE56" s="223"/>
      <c r="WPF56" s="223"/>
      <c r="WPO56" s="223"/>
      <c r="WPP56" s="223"/>
      <c r="WPY56" s="223"/>
      <c r="WPZ56" s="223"/>
      <c r="WQI56" s="223"/>
      <c r="WQJ56" s="223"/>
      <c r="WQS56" s="223"/>
      <c r="WQT56" s="223"/>
      <c r="WRC56" s="223"/>
      <c r="WRD56" s="223"/>
      <c r="WRM56" s="223"/>
      <c r="WRN56" s="223"/>
      <c r="WRW56" s="223"/>
      <c r="WRX56" s="223"/>
      <c r="WSG56" s="223"/>
      <c r="WSH56" s="223"/>
      <c r="WSQ56" s="223"/>
      <c r="WSR56" s="223"/>
      <c r="WTA56" s="223"/>
      <c r="WTB56" s="223"/>
      <c r="WTK56" s="223"/>
      <c r="WTL56" s="223"/>
      <c r="WTU56" s="223"/>
      <c r="WTV56" s="223"/>
      <c r="WUE56" s="223"/>
      <c r="WUF56" s="223"/>
      <c r="WUO56" s="223"/>
      <c r="WUP56" s="223"/>
      <c r="WUY56" s="223"/>
      <c r="WUZ56" s="223"/>
      <c r="WVI56" s="223"/>
      <c r="WVJ56" s="223"/>
      <c r="WVS56" s="223"/>
      <c r="WVT56" s="223"/>
      <c r="WWC56" s="223"/>
      <c r="WWD56" s="223"/>
      <c r="WWM56" s="223"/>
      <c r="WWN56" s="223"/>
      <c r="WWW56" s="223"/>
      <c r="WWX56" s="223"/>
      <c r="WXG56" s="223"/>
      <c r="WXH56" s="223"/>
      <c r="WXQ56" s="223"/>
      <c r="WXR56" s="223"/>
      <c r="WYA56" s="223"/>
      <c r="WYB56" s="223"/>
      <c r="WYK56" s="223"/>
      <c r="WYL56" s="223"/>
      <c r="WYU56" s="223"/>
      <c r="WYV56" s="223"/>
      <c r="WZE56" s="223"/>
      <c r="WZF56" s="223"/>
      <c r="WZO56" s="223"/>
      <c r="WZP56" s="223"/>
      <c r="WZY56" s="223"/>
      <c r="WZZ56" s="223"/>
      <c r="XAI56" s="223"/>
      <c r="XAJ56" s="223"/>
      <c r="XAS56" s="223"/>
      <c r="XAT56" s="223"/>
      <c r="XBC56" s="223"/>
      <c r="XBD56" s="223"/>
      <c r="XBM56" s="223"/>
      <c r="XBN56" s="223"/>
      <c r="XBW56" s="223"/>
      <c r="XBX56" s="223"/>
      <c r="XCG56" s="223"/>
      <c r="XCH56" s="223"/>
      <c r="XCQ56" s="223"/>
      <c r="XCR56" s="223"/>
      <c r="XDA56" s="223"/>
      <c r="XDB56" s="223"/>
      <c r="XDK56" s="223"/>
      <c r="XDL56" s="223"/>
      <c r="XDU56" s="223"/>
      <c r="XDV56" s="223"/>
      <c r="XEE56" s="223"/>
      <c r="XEF56" s="223"/>
      <c r="XEO56" s="223"/>
      <c r="XEP56" s="223"/>
      <c r="XEY56" s="223"/>
      <c r="XEZ56" s="223"/>
    </row>
    <row r="57" spans="1:1020 1029:2040 2049:3070 3079:4090 4099:5120 5129:6140 6149:7160 7169:8190 8199:9210 9219:10240 10249:11260 11269:12280 12289:13310 13319:14330 14339:15360 15369:16380" ht="60" customHeight="1" thickBot="1" x14ac:dyDescent="0.25">
      <c r="A57" s="1817" t="s">
        <v>185</v>
      </c>
      <c r="B57" s="1806" t="s">
        <v>140</v>
      </c>
      <c r="C57" s="1808" t="s">
        <v>186</v>
      </c>
      <c r="D57" s="1809"/>
      <c r="E57" s="1878" t="s">
        <v>551</v>
      </c>
      <c r="F57" s="1817" t="s">
        <v>188</v>
      </c>
      <c r="G57" s="1803" t="s">
        <v>189</v>
      </c>
      <c r="H57" s="1804"/>
      <c r="I57" s="1803" t="s">
        <v>190</v>
      </c>
      <c r="J57" s="1804"/>
      <c r="K57" s="1803" t="s">
        <v>191</v>
      </c>
      <c r="L57" s="1804"/>
      <c r="M57" s="1264" t="s">
        <v>192</v>
      </c>
    </row>
    <row r="58" spans="1:1020 1029:2040 2049:3070 3079:4090 4099:5120 5129:6140 6149:7160 7169:8190 8199:9210 9219:10240 10249:11260 11269:12280 12289:13310 13319:14330 14339:15360 15369:16380" ht="60" customHeight="1" thickBot="1" x14ac:dyDescent="0.25">
      <c r="A58" s="1885"/>
      <c r="B58" s="1886"/>
      <c r="C58" s="242" t="s">
        <v>193</v>
      </c>
      <c r="D58" s="242" t="s">
        <v>194</v>
      </c>
      <c r="E58" s="1887"/>
      <c r="F58" s="1885"/>
      <c r="G58" s="478" t="s">
        <v>195</v>
      </c>
      <c r="H58" s="478" t="s">
        <v>196</v>
      </c>
      <c r="I58" s="478" t="s">
        <v>195</v>
      </c>
      <c r="J58" s="478" t="s">
        <v>196</v>
      </c>
      <c r="K58" s="478" t="s">
        <v>195</v>
      </c>
      <c r="L58" s="478" t="s">
        <v>196</v>
      </c>
      <c r="M58" s="1265" t="s">
        <v>197</v>
      </c>
    </row>
    <row r="59" spans="1:1020 1029:2040 2049:3070 3079:4090 4099:5120 5129:6140 6149:7160 7169:8190 8199:9210 9219:10240 10249:11260 11269:12280 12289:13310 13319:14330 14339:15360 15369:16380" ht="65.099999999999994" customHeight="1" thickBot="1" x14ac:dyDescent="0.25">
      <c r="A59" s="454">
        <v>1</v>
      </c>
      <c r="B59" s="455" t="str">
        <f>'DATOS &lt;'!F77</f>
        <v>5 kg Pex</v>
      </c>
      <c r="C59" s="455" t="str">
        <f>'DATOS &lt;'!B75</f>
        <v>5 kg</v>
      </c>
      <c r="D59" s="872" t="e">
        <f>'5 kg &lt; (C)'!$F$75</f>
        <v>#N/A</v>
      </c>
      <c r="E59" s="872">
        <f>'DATOS &lt;'!C108</f>
        <v>83</v>
      </c>
      <c r="F59" s="872">
        <f>'DATOS &lt;'!D108</f>
        <v>250</v>
      </c>
      <c r="G59" s="457" t="e">
        <f>'gramo Max-Min &lt; '!AA21</f>
        <v>#N/A</v>
      </c>
      <c r="H59" s="457" t="e">
        <f>'gramo Max-Min &lt; '!AA20</f>
        <v>#N/A</v>
      </c>
      <c r="I59" s="457" t="e">
        <f>'gramo Max-Min &lt; '!AB21</f>
        <v>#N/A</v>
      </c>
      <c r="J59" s="458" t="e">
        <f>'gramo Max-Min &lt; '!AB20</f>
        <v>#N/A</v>
      </c>
      <c r="K59" s="458" t="e">
        <f>'gramo Max-Min &lt; '!AC21</f>
        <v>#N/A</v>
      </c>
      <c r="L59" s="458" t="e">
        <f>'gramo Max-Min &lt; '!AC20</f>
        <v>#N/A</v>
      </c>
      <c r="M59" s="454" t="e">
        <f>IF(ABS(D59)+E59&gt;=((F59)),"NO","SI")</f>
        <v>#N/A</v>
      </c>
    </row>
    <row r="60" spans="1:1020 1029:2040 2049:3070 3079:4090 4099:5120 5129:6140 6149:7160 7169:8190 8199:9210 9219:10240 10249:11260 11269:12280 12289:13310 13319:14330 14339:15360 15369:16380" ht="20.100000000000001" customHeight="1" x14ac:dyDescent="0.2">
      <c r="A60" s="1051"/>
      <c r="B60" s="1051"/>
      <c r="C60" s="1051"/>
      <c r="D60" s="1051"/>
      <c r="E60" s="1051"/>
      <c r="F60" s="1051"/>
      <c r="G60" s="1052"/>
      <c r="H60" s="1052"/>
      <c r="I60" s="1052"/>
      <c r="J60" s="1053"/>
    </row>
    <row r="61" spans="1:1020 1029:2040 2049:3070 3079:4090 4099:5120 5129:6140 6149:7160 7169:8190 8199:9210 9219:10240 10249:11260 11269:12280 12289:13310 13319:14330 14339:15360 15369:16380" s="1015" customFormat="1" ht="30" customHeight="1" x14ac:dyDescent="0.25">
      <c r="A61" s="1805" t="s">
        <v>598</v>
      </c>
      <c r="B61" s="1805"/>
      <c r="C61" s="1805"/>
      <c r="D61" s="1805"/>
      <c r="E61" s="1805"/>
      <c r="F61" s="1805"/>
      <c r="G61" s="1805"/>
      <c r="H61" s="1805"/>
      <c r="I61" s="1805"/>
      <c r="J61" s="1805"/>
      <c r="K61" s="1805"/>
      <c r="L61" s="1805"/>
      <c r="M61" s="1805"/>
    </row>
    <row r="62" spans="1:1020 1029:2040 2049:3070 3079:4090 4099:5120 5129:6140 6149:7160 7169:8190 8199:9210 9219:10240 10249:11260 11269:12280 12289:13310 13319:14330 14339:15360 15369:16380" s="1015" customFormat="1" ht="30" customHeight="1" x14ac:dyDescent="0.25">
      <c r="A62" s="1805"/>
      <c r="B62" s="1805"/>
      <c r="C62" s="1805"/>
      <c r="D62" s="1805"/>
      <c r="E62" s="1805"/>
      <c r="F62" s="1805"/>
      <c r="G62" s="1805"/>
      <c r="H62" s="1805"/>
      <c r="I62" s="1805"/>
      <c r="J62" s="1805"/>
      <c r="K62" s="1805"/>
      <c r="L62" s="1805"/>
      <c r="M62" s="1805"/>
    </row>
    <row r="63" spans="1:1020 1029:2040 2049:3070 3079:4090 4099:5120 5129:6140 6149:7160 7169:8190 8199:9210 9219:10240 10249:11260 11269:12280 12289:13310 13319:14330 14339:15360 15369:16380" s="1015" customFormat="1" ht="30" customHeight="1" x14ac:dyDescent="0.25">
      <c r="A63" s="1805"/>
      <c r="B63" s="1805"/>
      <c r="C63" s="1805"/>
      <c r="D63" s="1805"/>
      <c r="E63" s="1805"/>
      <c r="F63" s="1805"/>
      <c r="G63" s="1805"/>
      <c r="H63" s="1805"/>
      <c r="I63" s="1805"/>
      <c r="J63" s="1805"/>
      <c r="K63" s="1805"/>
      <c r="L63" s="1805"/>
      <c r="M63" s="1805"/>
    </row>
    <row r="64" spans="1:1020 1029:2040 2049:3070 3079:4090 4099:5120 5129:6140 6149:7160 7169:8190 8199:9210 9219:10240 10249:11260 11269:12280 12289:13310 13319:14330 14339:15360 15369:16380" ht="20.100000000000001" customHeight="1" x14ac:dyDescent="0.2">
      <c r="A64" s="1054"/>
      <c r="B64" s="1054"/>
      <c r="C64" s="1054"/>
      <c r="D64" s="1054"/>
      <c r="E64" s="1054"/>
      <c r="F64" s="1054"/>
      <c r="G64" s="1054"/>
      <c r="H64" s="1054"/>
      <c r="I64" s="1054"/>
      <c r="J64" s="1054"/>
    </row>
    <row r="65" spans="1:13" ht="23.1" customHeight="1" x14ac:dyDescent="0.2">
      <c r="A65" s="1054"/>
      <c r="B65" s="1054"/>
      <c r="C65" s="1054"/>
      <c r="D65" s="1054"/>
      <c r="E65" s="1054"/>
      <c r="F65" s="1054"/>
      <c r="G65" s="1054"/>
      <c r="H65" s="1054"/>
      <c r="I65" s="1054"/>
      <c r="J65" s="1054"/>
    </row>
    <row r="66" spans="1:13" ht="125.1" customHeight="1" x14ac:dyDescent="0.2">
      <c r="A66" s="1055"/>
      <c r="B66" s="1055"/>
      <c r="C66" s="1055"/>
      <c r="D66" s="1055"/>
      <c r="E66" s="1055"/>
      <c r="F66" s="1055"/>
      <c r="G66" s="1055"/>
      <c r="H66" s="1055"/>
      <c r="I66" s="1055"/>
      <c r="J66" s="1055"/>
    </row>
    <row r="67" spans="1:13" ht="35.1" customHeight="1" x14ac:dyDescent="0.2">
      <c r="A67" s="1055"/>
      <c r="B67" s="1055"/>
      <c r="C67" s="1055"/>
      <c r="D67" s="1055"/>
      <c r="E67" s="1055"/>
      <c r="F67" s="1055"/>
      <c r="G67" s="1055"/>
      <c r="H67" s="1055"/>
      <c r="I67" s="1055"/>
      <c r="J67" s="1055"/>
    </row>
    <row r="68" spans="1:13" ht="65.099999999999994" customHeight="1" x14ac:dyDescent="0.2">
      <c r="A68" s="1055"/>
      <c r="B68" s="1055"/>
      <c r="C68" s="1055"/>
      <c r="D68" s="1055"/>
      <c r="E68" s="1055"/>
      <c r="F68" s="1055"/>
      <c r="J68" s="1814" t="s">
        <v>8</v>
      </c>
      <c r="K68" s="1814"/>
      <c r="L68" s="1815">
        <f>L3</f>
        <v>0</v>
      </c>
      <c r="M68" s="1815"/>
    </row>
    <row r="69" spans="1:13" ht="30" customHeight="1" x14ac:dyDescent="0.2">
      <c r="A69" s="1816" t="s">
        <v>198</v>
      </c>
      <c r="B69" s="1816"/>
      <c r="C69" s="1816"/>
      <c r="D69" s="1816"/>
    </row>
    <row r="70" spans="1:13" ht="20.100000000000001" customHeight="1" x14ac:dyDescent="0.2"/>
    <row r="71" spans="1:13" s="1056" customFormat="1" ht="33" customHeight="1" x14ac:dyDescent="0.25">
      <c r="A71" s="1295" t="s">
        <v>199</v>
      </c>
      <c r="B71" s="1799" t="s">
        <v>200</v>
      </c>
      <c r="C71" s="1799"/>
      <c r="D71" s="1799"/>
      <c r="E71" s="1799"/>
      <c r="F71" s="1799"/>
      <c r="G71" s="1799"/>
      <c r="H71" s="1799"/>
      <c r="I71" s="1799"/>
      <c r="J71" s="1799"/>
      <c r="K71" s="1799"/>
      <c r="L71" s="1799"/>
      <c r="M71" s="1799"/>
    </row>
    <row r="72" spans="1:13" s="1056" customFormat="1" ht="23.1" customHeight="1" x14ac:dyDescent="0.25">
      <c r="A72" s="1295" t="s">
        <v>199</v>
      </c>
      <c r="B72" s="1799" t="s">
        <v>201</v>
      </c>
      <c r="C72" s="1799"/>
      <c r="D72" s="1799"/>
      <c r="E72" s="1799"/>
      <c r="F72" s="1799"/>
      <c r="G72" s="1799"/>
      <c r="H72" s="1799"/>
      <c r="I72" s="1799"/>
      <c r="J72" s="1799"/>
      <c r="K72" s="1799"/>
      <c r="L72" s="1799"/>
      <c r="M72" s="1799"/>
    </row>
    <row r="73" spans="1:13" s="1056" customFormat="1" ht="33" customHeight="1" x14ac:dyDescent="0.25">
      <c r="A73" s="1295" t="s">
        <v>199</v>
      </c>
      <c r="B73" s="1799" t="s">
        <v>202</v>
      </c>
      <c r="C73" s="1799"/>
      <c r="D73" s="1799"/>
      <c r="E73" s="1799"/>
      <c r="F73" s="1799"/>
      <c r="G73" s="1799"/>
      <c r="H73" s="1799"/>
      <c r="I73" s="1799"/>
      <c r="J73" s="1799"/>
      <c r="K73" s="1799"/>
      <c r="L73" s="1799"/>
      <c r="M73" s="1799"/>
    </row>
    <row r="74" spans="1:13" s="1056" customFormat="1" ht="23.1" customHeight="1" x14ac:dyDescent="0.25">
      <c r="A74" s="1295" t="s">
        <v>199</v>
      </c>
      <c r="B74" s="1799" t="s">
        <v>203</v>
      </c>
      <c r="C74" s="1799"/>
      <c r="D74" s="1799"/>
      <c r="E74" s="1799"/>
      <c r="F74" s="1799"/>
      <c r="G74" s="1799"/>
      <c r="H74" s="1799"/>
      <c r="I74" s="1799"/>
      <c r="J74" s="1799"/>
      <c r="K74" s="1799"/>
      <c r="L74" s="1799"/>
      <c r="M74" s="1799"/>
    </row>
    <row r="75" spans="1:13" s="1056" customFormat="1" ht="23.1" customHeight="1" x14ac:dyDescent="0.25">
      <c r="A75" s="1295" t="s">
        <v>199</v>
      </c>
      <c r="B75" s="1799" t="s">
        <v>204</v>
      </c>
      <c r="C75" s="1799"/>
      <c r="D75" s="1799"/>
      <c r="E75" s="1799"/>
      <c r="F75" s="1799"/>
      <c r="G75" s="1799"/>
      <c r="H75" s="1799"/>
      <c r="I75" s="1799"/>
      <c r="J75" s="1799"/>
      <c r="K75" s="1799"/>
      <c r="L75" s="1799"/>
      <c r="M75" s="1799"/>
    </row>
    <row r="76" spans="1:13" s="1056" customFormat="1" ht="33" customHeight="1" x14ac:dyDescent="0.25">
      <c r="A76" s="1295" t="s">
        <v>199</v>
      </c>
      <c r="B76" s="1799" t="s">
        <v>205</v>
      </c>
      <c r="C76" s="1799"/>
      <c r="D76" s="1799"/>
      <c r="E76" s="1799"/>
      <c r="F76" s="1799"/>
      <c r="G76" s="1799"/>
      <c r="H76" s="1799"/>
      <c r="I76" s="1799"/>
      <c r="J76" s="1799"/>
      <c r="K76" s="1799"/>
      <c r="L76" s="1799"/>
      <c r="M76" s="1799"/>
    </row>
    <row r="77" spans="1:13" s="1056" customFormat="1" ht="23.1" customHeight="1" x14ac:dyDescent="0.25">
      <c r="A77" s="1295" t="s">
        <v>199</v>
      </c>
      <c r="B77" s="1799" t="s">
        <v>206</v>
      </c>
      <c r="C77" s="1799"/>
      <c r="D77" s="1799"/>
      <c r="E77" s="1799"/>
      <c r="F77" s="1799"/>
      <c r="G77" s="1799"/>
      <c r="H77" s="1799"/>
      <c r="I77" s="1799"/>
      <c r="J77" s="1799"/>
      <c r="K77" s="1799"/>
      <c r="L77" s="1799"/>
      <c r="M77" s="1799"/>
    </row>
    <row r="78" spans="1:13" s="1056" customFormat="1" ht="23.1" customHeight="1" x14ac:dyDescent="0.25">
      <c r="A78" s="1295" t="s">
        <v>199</v>
      </c>
      <c r="B78" s="1799" t="s">
        <v>568</v>
      </c>
      <c r="C78" s="1799"/>
      <c r="D78" s="1799"/>
      <c r="E78" s="1799"/>
      <c r="F78" s="1799"/>
      <c r="G78" s="1799"/>
      <c r="H78" s="1799"/>
      <c r="I78" s="1799"/>
      <c r="J78" s="1799"/>
      <c r="K78" s="1799"/>
      <c r="L78" s="1799"/>
      <c r="M78" s="1799"/>
    </row>
    <row r="79" spans="1:13" ht="23.1" customHeight="1" x14ac:dyDescent="0.2">
      <c r="A79" s="1295" t="s">
        <v>199</v>
      </c>
      <c r="B79" s="1799" t="s">
        <v>207</v>
      </c>
      <c r="C79" s="1799"/>
      <c r="D79" s="1799"/>
      <c r="E79" s="1799"/>
      <c r="F79" s="1799"/>
      <c r="G79" s="1799"/>
      <c r="H79" s="1799"/>
      <c r="I79" s="1799"/>
      <c r="J79" s="1799"/>
      <c r="K79" s="1799"/>
      <c r="L79" s="1799"/>
      <c r="M79" s="1799"/>
    </row>
    <row r="80" spans="1:13" ht="23.1" customHeight="1" x14ac:dyDescent="0.2">
      <c r="A80" s="1295" t="s">
        <v>199</v>
      </c>
      <c r="B80" s="1799" t="s">
        <v>599</v>
      </c>
      <c r="C80" s="1799"/>
      <c r="D80" s="1799"/>
      <c r="E80" s="1799"/>
      <c r="F80" s="1799"/>
      <c r="G80" s="1799"/>
      <c r="H80" s="1799"/>
      <c r="I80" s="1799"/>
      <c r="J80" s="1799"/>
      <c r="K80" s="1799"/>
      <c r="L80" s="1799"/>
      <c r="M80" s="1799"/>
    </row>
    <row r="81" spans="1:13" ht="33" customHeight="1" x14ac:dyDescent="0.2">
      <c r="A81" s="1295" t="s">
        <v>199</v>
      </c>
      <c r="B81" s="1799" t="s">
        <v>208</v>
      </c>
      <c r="C81" s="1799"/>
      <c r="D81" s="1799"/>
      <c r="E81" s="1799"/>
      <c r="F81" s="1799"/>
      <c r="G81" s="1799"/>
      <c r="H81" s="1799"/>
      <c r="I81" s="1799"/>
      <c r="J81" s="1799"/>
      <c r="K81" s="1799"/>
      <c r="L81" s="1799"/>
      <c r="M81" s="1799"/>
    </row>
    <row r="82" spans="1:13" ht="20.100000000000001" customHeight="1" x14ac:dyDescent="0.2"/>
    <row r="83" spans="1:13" ht="30" customHeight="1" x14ac:dyDescent="0.25">
      <c r="A83" s="1800"/>
      <c r="B83" s="1800"/>
      <c r="C83" s="1800"/>
      <c r="E83" s="229"/>
    </row>
    <row r="84" spans="1:13" ht="20.100000000000001" customHeight="1" x14ac:dyDescent="0.2"/>
    <row r="85" spans="1:13" ht="20.100000000000001" customHeight="1" x14ac:dyDescent="0.2">
      <c r="G85" s="1057"/>
      <c r="J85" s="1003"/>
    </row>
    <row r="86" spans="1:13" ht="23.1" customHeight="1" thickBot="1" x14ac:dyDescent="0.3">
      <c r="A86" s="229"/>
      <c r="B86" s="1861"/>
      <c r="C86" s="1861"/>
      <c r="D86" s="1861"/>
      <c r="E86" s="1861"/>
      <c r="F86" s="1262"/>
      <c r="H86" s="1861"/>
      <c r="I86" s="1861"/>
      <c r="J86" s="1861"/>
      <c r="K86" s="1861"/>
      <c r="L86" s="1861"/>
      <c r="M86" s="1262"/>
    </row>
    <row r="87" spans="1:13" ht="23.1" customHeight="1" x14ac:dyDescent="0.2">
      <c r="B87" s="1801" t="s">
        <v>209</v>
      </c>
      <c r="C87" s="1801"/>
      <c r="D87" s="1801"/>
      <c r="E87" s="1801"/>
      <c r="F87" s="1004"/>
      <c r="G87" s="1004"/>
      <c r="H87" s="1801" t="e">
        <f>VLOOKUP($M$86,'DATOS &lt;'!B131:G135,6,FALSE)</f>
        <v>#N/A</v>
      </c>
      <c r="I87" s="1801"/>
      <c r="J87" s="1801"/>
      <c r="K87" s="1801"/>
      <c r="L87" s="1801"/>
    </row>
    <row r="88" spans="1:13" ht="28.5" customHeight="1" x14ac:dyDescent="0.2">
      <c r="B88" s="1802" t="e">
        <f>VLOOKUP($F$86,'DATOS &lt;'!$B$131:$E$135,4,FALSE)</f>
        <v>#N/A</v>
      </c>
      <c r="C88" s="1802"/>
      <c r="D88" s="1802"/>
      <c r="E88" s="1802"/>
      <c r="F88" s="409"/>
      <c r="G88" s="1004"/>
      <c r="H88" s="1802"/>
      <c r="I88" s="1802"/>
      <c r="J88" s="1802"/>
      <c r="K88" s="1802"/>
      <c r="L88" s="1802"/>
    </row>
    <row r="89" spans="1:13" ht="23.1" customHeight="1" x14ac:dyDescent="0.2">
      <c r="B89" s="1802" t="e">
        <f>VLOOKUP($F$86,'DATOS &lt;'!$B$131:$E$135,2,FALSE)</f>
        <v>#N/A</v>
      </c>
      <c r="C89" s="1802"/>
      <c r="D89" s="1802"/>
      <c r="E89" s="1802"/>
      <c r="F89" s="1004"/>
      <c r="G89" s="1004"/>
      <c r="H89" s="1802" t="e">
        <f>VLOOKUP($M$86,'DATOS &lt;'!$B$131:$G$135,2,FALSE)</f>
        <v>#N/A</v>
      </c>
      <c r="I89" s="1802"/>
      <c r="J89" s="1802"/>
      <c r="K89" s="1802"/>
      <c r="L89" s="1802"/>
    </row>
    <row r="90" spans="1:13" x14ac:dyDescent="0.2">
      <c r="J90" s="1003"/>
    </row>
    <row r="91" spans="1:13" ht="23.1" customHeight="1" x14ac:dyDescent="0.2">
      <c r="B91" s="1884" t="s">
        <v>211</v>
      </c>
      <c r="C91" s="1884"/>
      <c r="D91" s="1858"/>
      <c r="E91" s="1858"/>
      <c r="H91" s="1860" t="s">
        <v>212</v>
      </c>
      <c r="I91" s="1860"/>
      <c r="J91" s="1860"/>
      <c r="K91" s="1858"/>
      <c r="L91" s="1858"/>
    </row>
    <row r="92" spans="1:13" x14ac:dyDescent="0.2">
      <c r="J92" s="1003"/>
    </row>
    <row r="93" spans="1:13" ht="23.1" customHeight="1" x14ac:dyDescent="0.25">
      <c r="A93" s="1800" t="s">
        <v>213</v>
      </c>
      <c r="B93" s="1800"/>
      <c r="C93" s="1800"/>
      <c r="D93" s="1800"/>
      <c r="E93" s="1800"/>
      <c r="F93" s="1800"/>
      <c r="G93" s="1800"/>
      <c r="H93" s="1800"/>
      <c r="I93" s="1800"/>
      <c r="J93" s="1800"/>
      <c r="K93" s="1800"/>
      <c r="L93" s="1800"/>
      <c r="M93" s="1800"/>
    </row>
  </sheetData>
  <sheetProtection password="CF7A" sheet="1" objects="1" scenarios="1"/>
  <mergeCells count="100">
    <mergeCell ref="A6:B6"/>
    <mergeCell ref="D6:J6"/>
    <mergeCell ref="A12:J12"/>
    <mergeCell ref="A14:C14"/>
    <mergeCell ref="D14:J14"/>
    <mergeCell ref="A7:B7"/>
    <mergeCell ref="D7:J7"/>
    <mergeCell ref="A8:B8"/>
    <mergeCell ref="D8:G8"/>
    <mergeCell ref="A10:C10"/>
    <mergeCell ref="D10:E10"/>
    <mergeCell ref="A1:J1"/>
    <mergeCell ref="J3:K3"/>
    <mergeCell ref="L3:M3"/>
    <mergeCell ref="A4:C4"/>
    <mergeCell ref="G4:H4"/>
    <mergeCell ref="K10:L10"/>
    <mergeCell ref="H10:J10"/>
    <mergeCell ref="A15:C15"/>
    <mergeCell ref="D15:G15"/>
    <mergeCell ref="A22:M22"/>
    <mergeCell ref="A17:C17"/>
    <mergeCell ref="D17:E17"/>
    <mergeCell ref="F17:G17"/>
    <mergeCell ref="A19:E19"/>
    <mergeCell ref="F19:J19"/>
    <mergeCell ref="A28:M28"/>
    <mergeCell ref="A16:C16"/>
    <mergeCell ref="D16:G16"/>
    <mergeCell ref="B23:E23"/>
    <mergeCell ref="A24:D24"/>
    <mergeCell ref="E24:F24"/>
    <mergeCell ref="A26:J26"/>
    <mergeCell ref="A21:F21"/>
    <mergeCell ref="A41:J41"/>
    <mergeCell ref="B46:D46"/>
    <mergeCell ref="H46:I46"/>
    <mergeCell ref="J46:K46"/>
    <mergeCell ref="A43:M43"/>
    <mergeCell ref="A30:J30"/>
    <mergeCell ref="A31:J31"/>
    <mergeCell ref="B33:C34"/>
    <mergeCell ref="D33:E34"/>
    <mergeCell ref="F33:G34"/>
    <mergeCell ref="H33:K33"/>
    <mergeCell ref="H34:I34"/>
    <mergeCell ref="J34:K34"/>
    <mergeCell ref="B35:C35"/>
    <mergeCell ref="D35:E35"/>
    <mergeCell ref="F35:G35"/>
    <mergeCell ref="A36:B36"/>
    <mergeCell ref="C36:D36"/>
    <mergeCell ref="E36:F36"/>
    <mergeCell ref="J40:K40"/>
    <mergeCell ref="L40:M40"/>
    <mergeCell ref="A61:M63"/>
    <mergeCell ref="B71:M71"/>
    <mergeCell ref="B72:M72"/>
    <mergeCell ref="B47:D47"/>
    <mergeCell ref="H47:I47"/>
    <mergeCell ref="J47:K47"/>
    <mergeCell ref="A69:D69"/>
    <mergeCell ref="A48:C48"/>
    <mergeCell ref="G48:H48"/>
    <mergeCell ref="I48:J48"/>
    <mergeCell ref="A50:J50"/>
    <mergeCell ref="A52:M53"/>
    <mergeCell ref="K57:L57"/>
    <mergeCell ref="A55:J55"/>
    <mergeCell ref="A57:A58"/>
    <mergeCell ref="B57:B58"/>
    <mergeCell ref="J68:K68"/>
    <mergeCell ref="L68:M68"/>
    <mergeCell ref="D91:E91"/>
    <mergeCell ref="K91:L91"/>
    <mergeCell ref="B73:M73"/>
    <mergeCell ref="B74:M74"/>
    <mergeCell ref="B75:M75"/>
    <mergeCell ref="C57:D57"/>
    <mergeCell ref="E57:E58"/>
    <mergeCell ref="F57:F58"/>
    <mergeCell ref="G57:H57"/>
    <mergeCell ref="I57:J57"/>
    <mergeCell ref="H87:L88"/>
    <mergeCell ref="B88:E88"/>
    <mergeCell ref="A93:M93"/>
    <mergeCell ref="B76:M76"/>
    <mergeCell ref="B77:M77"/>
    <mergeCell ref="B78:M78"/>
    <mergeCell ref="B79:M79"/>
    <mergeCell ref="B80:M80"/>
    <mergeCell ref="B89:E89"/>
    <mergeCell ref="B91:C91"/>
    <mergeCell ref="H91:J91"/>
    <mergeCell ref="B87:E87"/>
    <mergeCell ref="A83:C83"/>
    <mergeCell ref="B86:E86"/>
    <mergeCell ref="B81:M81"/>
    <mergeCell ref="H86:L86"/>
    <mergeCell ref="H89:L89"/>
  </mergeCells>
  <conditionalFormatting sqref="M59">
    <cfRule type="containsText" dxfId="4" priority="1" operator="containsText" text="NO">
      <formula>NOT(ISERROR(SEARCH("NO",M59)))</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V.16 (2023-11-10)
&amp;P de 3
</oddFooter>
  </headerFooter>
  <rowBreaks count="2" manualBreakCount="2">
    <brk id="37" max="16383" man="1"/>
    <brk id="65"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800-000000000000}">
          <x14:formula1>
            <xm:f>'DATOS &lt;'!$B$131:$B$135</xm:f>
          </x14:formula1>
          <xm:sqref>M86 F86</xm:sqref>
        </x14:dataValidation>
        <x14:dataValidation type="list" allowBlank="1" showInputMessage="1" showErrorMessage="1" xr:uid="{00000000-0002-0000-2800-000001000000}">
          <x14:formula1>
            <xm:f>'DATOS &lt;'!$B$202:$B$215</xm:f>
          </x14:formula1>
          <xm:sqref>K32</xm:sqref>
        </x14:dataValidation>
        <x14:dataValidation type="list" allowBlank="1" showInputMessage="1" showErrorMessage="1" xr:uid="{00000000-0002-0000-2800-000002000000}">
          <x14:formula1>
            <xm:f>'DATOS &lt;'!$I$115:$I$118</xm:f>
          </x14:formula1>
          <xm:sqref>M41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1">
    <tabColor rgb="FFFFC000"/>
  </sheetPr>
  <dimension ref="A1:U106"/>
  <sheetViews>
    <sheetView showGridLines="0" view="pageBreakPreview" topLeftCell="A17" zoomScale="80" zoomScaleNormal="60" zoomScaleSheetLayoutView="80" workbookViewId="0">
      <selection activeCell="C31" sqref="C31"/>
    </sheetView>
  </sheetViews>
  <sheetFormatPr baseColWidth="10" defaultColWidth="11.42578125" defaultRowHeight="31.5" customHeight="1" x14ac:dyDescent="0.2"/>
  <cols>
    <col min="1" max="1" width="15.28515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6">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&lt;'!N25:V134,4,FALSE)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&lt;'!N25:V134,6,FALSE)</f>
        <v>#N/A</v>
      </c>
      <c r="C9" s="605" t="s">
        <v>15</v>
      </c>
      <c r="D9" s="606" t="e">
        <f>VLOOKUP($E$6,'DATOS &lt;'!N25:V134,7,FALSE)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357"/>
      <c r="C27" s="635">
        <v>1</v>
      </c>
      <c r="D27" s="635">
        <v>2</v>
      </c>
      <c r="E27" s="635">
        <v>3</v>
      </c>
      <c r="F27" s="626"/>
      <c r="H27" s="1376" t="s">
        <v>44</v>
      </c>
      <c r="I27" s="1377"/>
    </row>
    <row r="28" spans="1:14" s="627" customFormat="1" ht="31.5" customHeight="1" thickBot="1" x14ac:dyDescent="0.25">
      <c r="A28" s="1381" t="s">
        <v>45</v>
      </c>
      <c r="B28" s="645" t="s">
        <v>46</v>
      </c>
      <c r="C28" s="175"/>
      <c r="D28" s="175"/>
      <c r="E28" s="176"/>
      <c r="F28" s="626"/>
      <c r="G28" s="626"/>
      <c r="H28" s="1358" t="e">
        <f>VLOOKUP($I$26,'DATOS &lt;'!$B$131:$G$135,2,FALSE)</f>
        <v>#N/A</v>
      </c>
      <c r="I28" s="1359"/>
      <c r="J28" s="626"/>
    </row>
    <row r="29" spans="1:14" s="627" customFormat="1" ht="31.5" customHeight="1" x14ac:dyDescent="0.2">
      <c r="A29" s="1382"/>
      <c r="B29" s="790" t="s">
        <v>47</v>
      </c>
      <c r="C29" s="177"/>
      <c r="D29" s="177"/>
      <c r="E29" s="178"/>
      <c r="F29" s="626"/>
      <c r="G29" s="626"/>
      <c r="H29" s="626"/>
      <c r="I29" s="626"/>
      <c r="J29" s="626"/>
    </row>
    <row r="30" spans="1:14" s="627" customFormat="1" ht="31.5" customHeight="1" x14ac:dyDescent="0.2">
      <c r="A30" s="1382"/>
      <c r="B30" s="790" t="s">
        <v>47</v>
      </c>
      <c r="C30" s="177"/>
      <c r="D30" s="177"/>
      <c r="E30" s="178"/>
      <c r="F30" s="626"/>
      <c r="G30" s="626"/>
      <c r="H30" s="626"/>
      <c r="I30" s="626"/>
      <c r="J30" s="626"/>
    </row>
    <row r="31" spans="1:14" s="627" customFormat="1" ht="31.5" customHeight="1" thickBot="1" x14ac:dyDescent="0.25">
      <c r="A31" s="1383"/>
      <c r="B31" s="791" t="s">
        <v>46</v>
      </c>
      <c r="C31" s="179"/>
      <c r="D31" s="179"/>
      <c r="E31" s="180"/>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79"/>
      <c r="F38" s="69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96"/>
      <c r="G39" s="626"/>
      <c r="H39" s="1317" t="e">
        <f>VLOOKUP($N$39,'DATOS &lt;'!$I$127:$L$130,2,FALSE)</f>
        <v>#N/A</v>
      </c>
      <c r="I39" s="1318"/>
      <c r="J39" s="1318"/>
      <c r="K39" s="1318"/>
      <c r="L39" s="1318"/>
      <c r="M39" s="1319"/>
      <c r="N39" s="1293"/>
    </row>
    <row r="40" spans="1:14" s="627" customFormat="1" ht="31.5" customHeight="1" x14ac:dyDescent="0.2">
      <c r="A40" s="647"/>
      <c r="B40" s="648"/>
      <c r="C40" s="800" t="e">
        <f>+AVERAGE(C28,C31)</f>
        <v>#DIV/0!</v>
      </c>
      <c r="D40" s="801" t="e">
        <f>+AVERAGE(D28,D31)</f>
        <v>#DIV/0!</v>
      </c>
      <c r="E40" s="802" t="e">
        <f>+AVERAGE(E28,E31)</f>
        <v>#DIV/0!</v>
      </c>
      <c r="F40" s="696"/>
      <c r="G40" s="626"/>
      <c r="H40" s="1320" t="s">
        <v>532</v>
      </c>
      <c r="I40" s="1321"/>
      <c r="J40" s="1321"/>
      <c r="K40" s="1321"/>
      <c r="L40" s="1321"/>
      <c r="M40" s="1322"/>
    </row>
    <row r="41" spans="1:14" s="627" customFormat="1" ht="31.5" customHeight="1" x14ac:dyDescent="0.2">
      <c r="A41" s="647"/>
      <c r="B41" s="652"/>
      <c r="C41" s="803" t="e">
        <f>+AVERAGE(C29:C30)</f>
        <v>#DIV/0!</v>
      </c>
      <c r="D41" s="804" t="e">
        <f>+AVERAGE(D29:D30)</f>
        <v>#DIV/0!</v>
      </c>
      <c r="E41" s="805" t="e">
        <f>+AVERAGE(E29:E30)</f>
        <v>#DIV/0!</v>
      </c>
      <c r="F41" s="696"/>
      <c r="G41" s="626"/>
      <c r="H41" s="1323"/>
      <c r="I41" s="1324"/>
      <c r="J41" s="1324"/>
      <c r="K41" s="1324"/>
      <c r="L41" s="1324"/>
      <c r="M41" s="1325"/>
    </row>
    <row r="42" spans="1:14" s="627" customFormat="1" ht="31.5" customHeight="1" thickBot="1" x14ac:dyDescent="0.25">
      <c r="A42" s="647"/>
      <c r="B42" s="656"/>
      <c r="C42" s="806" t="e">
        <f>+C41-C40</f>
        <v>#DIV/0!</v>
      </c>
      <c r="D42" s="807" t="e">
        <f>+D41-D40</f>
        <v>#DIV/0!</v>
      </c>
      <c r="E42" s="808" t="e">
        <f>+E41-E40</f>
        <v>#DIV/0!</v>
      </c>
      <c r="F42" s="696"/>
      <c r="G42" s="626"/>
      <c r="H42" s="1326"/>
      <c r="I42" s="1327"/>
      <c r="J42" s="1327"/>
      <c r="K42" s="1327"/>
      <c r="L42" s="1327"/>
      <c r="M42" s="1328"/>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22"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79</v>
      </c>
      <c r="F60" s="122" t="s">
        <v>548</v>
      </c>
      <c r="G60" s="518"/>
      <c r="H60" s="794" t="e">
        <f t="shared" ref="H60:H65" si="0">IFERROR(C60/$G$70,"--")^2</f>
        <v>#VALUE!</v>
      </c>
      <c r="I60" s="1540" t="s">
        <v>77</v>
      </c>
      <c r="J60" s="1455"/>
      <c r="K60" s="1455"/>
      <c r="L60" s="1455"/>
      <c r="M60" s="1455"/>
      <c r="N60" s="1456"/>
    </row>
    <row r="61" spans="1:21" s="627" customFormat="1" ht="57.95" customHeight="1" thickBot="1" x14ac:dyDescent="0.25">
      <c r="A61" s="702" t="s">
        <v>78</v>
      </c>
      <c r="B61" s="703"/>
      <c r="C61" s="836" t="e">
        <f>VLOOKUP($E$6,'DATOS &lt;'!N25:AC134,11,FALSE)</f>
        <v>#N/A</v>
      </c>
      <c r="D61" s="705" t="s">
        <v>22</v>
      </c>
      <c r="E61" s="422" t="s">
        <v>79</v>
      </c>
      <c r="F61" s="123" t="s">
        <v>548</v>
      </c>
      <c r="G61" s="518"/>
      <c r="H61" s="794" t="e">
        <f t="shared" si="0"/>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792" t="e">
        <f>IF(C62=MAX($C$59,$C$62,$C$66,$C$67,$C$68),"",C62)</f>
        <v>#N/A</v>
      </c>
      <c r="I62" s="106"/>
      <c r="J62" s="106"/>
      <c r="K62" s="106"/>
      <c r="L62" s="432" t="s">
        <v>81</v>
      </c>
      <c r="M62" s="435" t="s">
        <v>85</v>
      </c>
      <c r="N62" s="436" t="s">
        <v>86</v>
      </c>
    </row>
    <row r="63" spans="1:21" s="627" customFormat="1" ht="57.95" customHeight="1" thickBot="1" x14ac:dyDescent="0.25">
      <c r="A63" s="697" t="s">
        <v>87</v>
      </c>
      <c r="B63" s="698"/>
      <c r="C63" s="709" t="e">
        <f>+I49</f>
        <v>#DIV/0!</v>
      </c>
      <c r="D63" s="699" t="s">
        <v>58</v>
      </c>
      <c r="E63" s="423" t="s">
        <v>79</v>
      </c>
      <c r="F63" s="122" t="s">
        <v>548</v>
      </c>
      <c r="G63" s="518"/>
      <c r="H63" s="794" t="e">
        <f t="shared" si="0"/>
        <v>#VALUE!</v>
      </c>
    </row>
    <row r="64" spans="1:21" s="627" customFormat="1" ht="57.95" customHeight="1" thickBot="1" x14ac:dyDescent="0.25">
      <c r="A64" s="710" t="s">
        <v>88</v>
      </c>
      <c r="B64" s="711"/>
      <c r="C64" s="712" t="e">
        <f>+H11/2</f>
        <v>#N/A</v>
      </c>
      <c r="D64" s="713" t="s">
        <v>58</v>
      </c>
      <c r="E64" s="241" t="s">
        <v>79</v>
      </c>
      <c r="F64" s="124" t="s">
        <v>548</v>
      </c>
      <c r="G64" s="518"/>
      <c r="H64" s="794" t="e">
        <f t="shared" si="0"/>
        <v>#VALUE!</v>
      </c>
      <c r="Q64" s="626"/>
      <c r="R64" s="626"/>
      <c r="S64" s="626"/>
      <c r="T64" s="626"/>
      <c r="U64" s="626"/>
    </row>
    <row r="65" spans="1:21" s="627" customFormat="1" ht="57.95" customHeight="1" thickBot="1" x14ac:dyDescent="0.25">
      <c r="A65" s="702" t="s">
        <v>89</v>
      </c>
      <c r="B65" s="714"/>
      <c r="C65" s="715" t="e">
        <f>+C14/2</f>
        <v>#N/A</v>
      </c>
      <c r="D65" s="705" t="s">
        <v>58</v>
      </c>
      <c r="E65" s="426" t="s">
        <v>79</v>
      </c>
      <c r="F65" s="123" t="s">
        <v>548</v>
      </c>
      <c r="G65" s="518"/>
      <c r="H65" s="794"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792" t="e">
        <f>IF(C66=MAX($C$59,$C$62,$C$66,$C$67,$C$68),"",C66)</f>
        <v>#N/A</v>
      </c>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792" t="e">
        <f>IF(C67=MAX($C$59,$C$62,$C$66,$C$67,$C$68),"",C67)</f>
        <v>#N/A</v>
      </c>
      <c r="J67" s="721" t="s">
        <v>549</v>
      </c>
      <c r="K67" s="966" t="s">
        <v>93</v>
      </c>
      <c r="L67" s="722" t="s">
        <v>94</v>
      </c>
    </row>
    <row r="68" spans="1:21" s="627" customFormat="1" ht="65.25" customHeight="1" thickBot="1" x14ac:dyDescent="0.3">
      <c r="A68" s="723" t="s">
        <v>95</v>
      </c>
      <c r="B68" s="724"/>
      <c r="C68" s="725">
        <f>0.37/SQRT(45)</f>
        <v>5.5156343444994808E-2</v>
      </c>
      <c r="D68" s="720" t="s">
        <v>22</v>
      </c>
      <c r="E68" s="427" t="s">
        <v>74</v>
      </c>
      <c r="F68" s="726">
        <v>50</v>
      </c>
      <c r="G68" s="519" t="e">
        <f t="shared" si="1"/>
        <v>#VALUE!</v>
      </c>
      <c r="H68" s="792" t="e">
        <f>IF(C68=MAX($C$59,$C$62,$C$66,$C$67,$C$68),"",C68)</f>
        <v>#DIV/0!</v>
      </c>
      <c r="J68" s="452" t="e">
        <f>G70^4/((C59^4/F59)+(C62^4/F62)+(C66^4/F66)+(C67^4/F67)+(C68^4/F68))</f>
        <v>#DIV/0!</v>
      </c>
      <c r="K68" s="817" t="e">
        <f>TINV(0.05,J68)</f>
        <v>#DIV/0!</v>
      </c>
      <c r="L68" s="818" t="e">
        <f>1-TDIST(K68,J68,2)</f>
        <v>#DIV/0!</v>
      </c>
    </row>
    <row r="69" spans="1:21" s="92" customFormat="1" ht="51.75" customHeight="1" thickBot="1" x14ac:dyDescent="0.25">
      <c r="G69" s="461" t="e">
        <f>SUM(G59,G62,G66,G67,G68)</f>
        <v>#VALUE!</v>
      </c>
      <c r="L69" s="627"/>
      <c r="M69" s="627"/>
      <c r="S69" s="627"/>
      <c r="T69" s="627"/>
      <c r="U69" s="627"/>
    </row>
    <row r="70" spans="1:21" s="92" customFormat="1" ht="35.1" customHeight="1" thickBot="1" x14ac:dyDescent="0.3">
      <c r="D70" s="1312" t="s">
        <v>96</v>
      </c>
      <c r="E70" s="1313"/>
      <c r="F70" s="727"/>
      <c r="G70" s="728" t="e">
        <f>+SQRT(SUMSQ(C59,C62,C66,C67,C68))</f>
        <v>#DIV/0!</v>
      </c>
      <c r="H70" s="729" t="s">
        <v>22</v>
      </c>
      <c r="K70" s="627"/>
      <c r="O70" s="627"/>
      <c r="P70" s="627"/>
      <c r="Q70" s="627"/>
      <c r="R70" s="627"/>
      <c r="S70" s="627"/>
      <c r="T70" s="627"/>
      <c r="U70" s="627"/>
    </row>
    <row r="71" spans="1:21" s="92" customFormat="1" ht="33.75" customHeight="1" thickBot="1" x14ac:dyDescent="4.45">
      <c r="D71" s="1312" t="s">
        <v>97</v>
      </c>
      <c r="E71" s="1313"/>
      <c r="F71" s="730"/>
      <c r="G71" s="728" t="e">
        <f>+G70*2</f>
        <v>#DIV/0!</v>
      </c>
      <c r="H71" s="731" t="s">
        <v>22</v>
      </c>
      <c r="K71" s="95"/>
      <c r="L71" s="732"/>
      <c r="O71" s="627"/>
      <c r="P71" s="627"/>
      <c r="Q71" s="627"/>
      <c r="R71" s="627"/>
      <c r="S71" s="627"/>
      <c r="T71" s="627"/>
      <c r="U71" s="627"/>
    </row>
    <row r="72" spans="1:21" s="92" customFormat="1" ht="35.1" customHeight="1" thickBot="1" x14ac:dyDescent="0.25">
      <c r="B72" s="1304" t="s">
        <v>98</v>
      </c>
      <c r="C72" s="1305"/>
      <c r="D72" s="1305"/>
      <c r="E72" s="1305"/>
      <c r="F72" s="1305"/>
      <c r="G72" s="1305"/>
      <c r="H72" s="1305"/>
      <c r="I72" s="1305"/>
      <c r="J72" s="1305"/>
      <c r="K72" s="1306"/>
      <c r="O72" s="627"/>
      <c r="P72" s="627"/>
      <c r="Q72" s="627"/>
      <c r="R72" s="627"/>
      <c r="S72" s="627"/>
      <c r="T72" s="627"/>
      <c r="U72" s="627"/>
    </row>
    <row r="73" spans="1:21" s="92" customFormat="1" ht="40.5"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35.1" customHeight="1" x14ac:dyDescent="0.2">
      <c r="B74" s="1061"/>
      <c r="C74" s="735" t="s">
        <v>100</v>
      </c>
      <c r="D74" s="736" t="s">
        <v>101</v>
      </c>
      <c r="E74" s="737"/>
      <c r="F74" s="1335"/>
      <c r="G74" s="1335"/>
      <c r="H74" s="1336" t="s">
        <v>102</v>
      </c>
      <c r="I74" s="1339" t="s">
        <v>103</v>
      </c>
      <c r="J74" s="1339"/>
      <c r="K74" s="1340"/>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37"/>
      <c r="I75" s="811" t="e">
        <f>G71</f>
        <v>#DIV/0!</v>
      </c>
      <c r="J75" s="1341"/>
      <c r="K75" s="1342"/>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38"/>
      <c r="I76" s="745"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row>
    <row r="79" spans="1:21" s="92" customFormat="1" ht="35.1" customHeight="1" x14ac:dyDescent="0.2">
      <c r="A79" s="94"/>
      <c r="G79" s="626"/>
      <c r="H79" s="626"/>
    </row>
    <row r="80" spans="1:21" s="92" customFormat="1" ht="35.1" customHeight="1" x14ac:dyDescent="0.2">
      <c r="G80" s="626"/>
      <c r="H80" s="626"/>
    </row>
    <row r="81" spans="6:10" s="92" customFormat="1" ht="61.5" customHeight="1" x14ac:dyDescent="0.2"/>
    <row r="82" spans="6:10" s="92" customFormat="1" ht="35.1" customHeight="1" x14ac:dyDescent="0.2"/>
    <row r="83" spans="6:10" s="92" customFormat="1" ht="35.1" customHeight="1" x14ac:dyDescent="0.2"/>
    <row r="84" spans="6:10" s="92" customFormat="1" ht="35.1" customHeight="1" x14ac:dyDescent="0.2"/>
    <row r="85" spans="6:10" s="92" customFormat="1" ht="50.1" customHeight="1" x14ac:dyDescent="0.2"/>
    <row r="86" spans="6:10" s="92" customFormat="1" ht="57.75" customHeight="1" x14ac:dyDescent="0.2"/>
    <row r="87" spans="6:10" s="92" customFormat="1" ht="35.1" customHeight="1" x14ac:dyDescent="0.2"/>
    <row r="88" spans="6:10" s="92" customFormat="1" ht="35.1" customHeight="1" x14ac:dyDescent="0.2">
      <c r="F88" s="93"/>
      <c r="G88" s="93"/>
      <c r="H88" s="93"/>
      <c r="I88" s="93"/>
      <c r="J88" s="93"/>
    </row>
    <row r="89" spans="6:10" s="92" customFormat="1" ht="35.1" customHeight="1" x14ac:dyDescent="0.2"/>
    <row r="90" spans="6:10" s="92" customFormat="1" ht="50.1" customHeight="1" x14ac:dyDescent="0.2">
      <c r="J90" s="626"/>
    </row>
    <row r="91" spans="6:10" s="92" customFormat="1" ht="55.5" customHeight="1" x14ac:dyDescent="0.2"/>
    <row r="92" spans="6:10" s="92" customFormat="1" ht="50.1" customHeight="1" x14ac:dyDescent="0.2"/>
    <row r="93" spans="6:10" s="92" customFormat="1" ht="31.5" customHeight="1" x14ac:dyDescent="0.2"/>
    <row r="94" spans="6:10" s="92" customFormat="1" ht="35.1" customHeight="1" x14ac:dyDescent="0.2"/>
    <row r="95" spans="6:10" s="92" customFormat="1" ht="35.1" customHeight="1" x14ac:dyDescent="0.2"/>
    <row r="96" spans="6:10"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selectLockedCells="1"/>
  <mergeCells count="63">
    <mergeCell ref="C26:E26"/>
    <mergeCell ref="A13:B13"/>
    <mergeCell ref="F13:I13"/>
    <mergeCell ref="A1:B1"/>
    <mergeCell ref="C1:M1"/>
    <mergeCell ref="I3:J4"/>
    <mergeCell ref="A6:D6"/>
    <mergeCell ref="F6:I6"/>
    <mergeCell ref="F9:G9"/>
    <mergeCell ref="A10:B10"/>
    <mergeCell ref="F10:G10"/>
    <mergeCell ref="A11:B11"/>
    <mergeCell ref="F11:G11"/>
    <mergeCell ref="A12:B12"/>
    <mergeCell ref="J19:J20"/>
    <mergeCell ref="A20:B20"/>
    <mergeCell ref="E20:F20"/>
    <mergeCell ref="C24:D24"/>
    <mergeCell ref="F24:G24"/>
    <mergeCell ref="A14:B14"/>
    <mergeCell ref="A15:B15"/>
    <mergeCell ref="A16:B16"/>
    <mergeCell ref="C16:D16"/>
    <mergeCell ref="F19:G19"/>
    <mergeCell ref="A22:N22"/>
    <mergeCell ref="A18:N18"/>
    <mergeCell ref="A36:N36"/>
    <mergeCell ref="A27:B27"/>
    <mergeCell ref="H28:I28"/>
    <mergeCell ref="H27:I27"/>
    <mergeCell ref="G49:H49"/>
    <mergeCell ref="A28:A31"/>
    <mergeCell ref="C33:D33"/>
    <mergeCell ref="F33:G33"/>
    <mergeCell ref="A47:B48"/>
    <mergeCell ref="C47:E47"/>
    <mergeCell ref="G48:H48"/>
    <mergeCell ref="H38:M38"/>
    <mergeCell ref="H39:M39"/>
    <mergeCell ref="H40:M42"/>
    <mergeCell ref="F74:G74"/>
    <mergeCell ref="H74:H76"/>
    <mergeCell ref="I74:K74"/>
    <mergeCell ref="J75:K75"/>
    <mergeCell ref="J76:K76"/>
    <mergeCell ref="D53:E53"/>
    <mergeCell ref="H53:I53"/>
    <mergeCell ref="A52:N52"/>
    <mergeCell ref="A56:N56"/>
    <mergeCell ref="B73:E73"/>
    <mergeCell ref="H73:K73"/>
    <mergeCell ref="D70:E70"/>
    <mergeCell ref="D71:E71"/>
    <mergeCell ref="B72:K72"/>
    <mergeCell ref="A58:B58"/>
    <mergeCell ref="C58:D58"/>
    <mergeCell ref="E58:F58"/>
    <mergeCell ref="I60:N60"/>
    <mergeCell ref="A50:B50"/>
    <mergeCell ref="G50:H50"/>
    <mergeCell ref="B38:E38"/>
    <mergeCell ref="A49:B49"/>
    <mergeCell ref="A46:N46"/>
  </mergeCells>
  <conditionalFormatting sqref="G59 G62 G66:G68">
    <cfRule type="cellIs" dxfId="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900-000000000000}">
          <x14:formula1>
            <xm:f>'DATOS &lt;'!$B$37:$B$40</xm:f>
          </x14:formula1>
          <xm:sqref>I3:J4</xm:sqref>
        </x14:dataValidation>
        <x14:dataValidation type="list" allowBlank="1" showInputMessage="1" showErrorMessage="1" xr:uid="{00000000-0002-0000-2900-000001000000}">
          <x14:formula1>
            <xm:f>'DATOS &lt;'!$N$25:$N$134</xm:f>
          </x14:formula1>
          <xm:sqref>E6</xm:sqref>
        </x14:dataValidation>
        <x14:dataValidation type="list" allowBlank="1" showInputMessage="1" showErrorMessage="1" xr:uid="{00000000-0002-0000-2900-000002000000}">
          <x14:formula1>
            <xm:f>'DATOS &lt;'!$B$118:$B$124</xm:f>
          </x14:formula1>
          <xm:sqref>J13</xm:sqref>
        </x14:dataValidation>
        <x14:dataValidation type="list" allowBlank="1" showInputMessage="1" showErrorMessage="1" xr:uid="{00000000-0002-0000-2900-000003000000}">
          <x14:formula1>
            <xm:f>'DATOS &lt;'!$B$131:$B$135</xm:f>
          </x14:formula1>
          <xm:sqref>I26</xm:sqref>
        </x14:dataValidation>
        <x14:dataValidation type="list" allowBlank="1" showInputMessage="1" showErrorMessage="1" xr:uid="{00000000-0002-0000-2900-000004000000}">
          <x14:formula1>
            <xm:f>'DATOS &lt;'!$I$202:$I$205</xm:f>
          </x14:formula1>
          <xm:sqref>J19:J20</xm:sqref>
        </x14:dataValidation>
        <x14:dataValidation type="list" allowBlank="1" showInputMessage="1" showErrorMessage="1" xr:uid="{00000000-0002-0000-2900-000005000000}">
          <x14:formula1>
            <xm:f>'DATOS &lt;'!$I$129:$I$130</xm:f>
          </x14:formula1>
          <xm:sqref>N39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2">
    <tabColor theme="9" tint="-0.249977111117893"/>
  </sheetPr>
  <dimension ref="A1:XEZ93"/>
  <sheetViews>
    <sheetView showGridLines="0" view="pageBreakPreview" zoomScale="80" zoomScaleNormal="100" zoomScaleSheetLayoutView="80" workbookViewId="0">
      <selection activeCell="M86" sqref="M86"/>
    </sheetView>
  </sheetViews>
  <sheetFormatPr baseColWidth="10" defaultColWidth="11.42578125" defaultRowHeight="15" x14ac:dyDescent="0.2"/>
  <cols>
    <col min="1" max="1" width="5.85546875" style="969" customWidth="1"/>
    <col min="2" max="2" width="15.42578125" style="969" customWidth="1"/>
    <col min="3" max="3" width="11.140625" style="969" customWidth="1"/>
    <col min="4" max="4" width="9" style="969" customWidth="1"/>
    <col min="5" max="5" width="15.5703125" style="969" customWidth="1"/>
    <col min="6" max="6" width="12.5703125" style="969" customWidth="1"/>
    <col min="7" max="12" width="9.7109375" style="969" customWidth="1"/>
    <col min="13" max="13" width="9.42578125" style="969" customWidth="1"/>
    <col min="14" max="16384" width="11.42578125" style="969"/>
  </cols>
  <sheetData>
    <row r="1" spans="1:13" ht="125.1" customHeight="1" x14ac:dyDescent="0.2">
      <c r="A1" s="1825"/>
      <c r="B1" s="1825"/>
      <c r="C1" s="1825"/>
      <c r="D1" s="1825"/>
      <c r="E1" s="1825"/>
      <c r="F1" s="1825"/>
      <c r="G1" s="1825"/>
      <c r="H1" s="1825"/>
      <c r="I1" s="1825"/>
      <c r="J1" s="1825"/>
      <c r="K1" s="1825"/>
      <c r="L1" s="1825"/>
      <c r="M1" s="1825"/>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14" t="s">
        <v>8</v>
      </c>
      <c r="K3" s="1814"/>
      <c r="L3" s="1815">
        <f>'DATOS &lt;'!J38</f>
        <v>0</v>
      </c>
      <c r="M3" s="1815"/>
    </row>
    <row r="4" spans="1:13" ht="23.1" customHeight="1" x14ac:dyDescent="0.25">
      <c r="A4" s="1815" t="s">
        <v>152</v>
      </c>
      <c r="B4" s="1815"/>
      <c r="C4" s="1815"/>
      <c r="D4" s="1004"/>
      <c r="E4" s="1004"/>
      <c r="G4" s="1819"/>
      <c r="H4" s="1819"/>
    </row>
    <row r="5" spans="1:13" ht="20.100000000000001" customHeight="1" x14ac:dyDescent="0.2">
      <c r="A5" s="1005"/>
      <c r="B5" s="1004"/>
      <c r="C5" s="1004"/>
      <c r="D5" s="1004"/>
      <c r="E5" s="1004"/>
      <c r="F5" s="1004"/>
    </row>
    <row r="6" spans="1:13" ht="23.1" customHeight="1" x14ac:dyDescent="0.2">
      <c r="A6" s="1820" t="s">
        <v>153</v>
      </c>
      <c r="B6" s="1820"/>
      <c r="D6" s="1821">
        <f>('DATOS &lt;'!E38)</f>
        <v>0</v>
      </c>
      <c r="E6" s="1821"/>
      <c r="F6" s="1821"/>
      <c r="G6" s="1821"/>
      <c r="H6" s="1821"/>
      <c r="I6" s="1821"/>
      <c r="J6" s="1821"/>
    </row>
    <row r="7" spans="1:13" ht="23.1" customHeight="1" x14ac:dyDescent="0.2">
      <c r="A7" s="1820" t="s">
        <v>154</v>
      </c>
      <c r="B7" s="1820"/>
      <c r="C7" s="968"/>
      <c r="D7" s="1821">
        <f>'DATOS &lt;'!F38</f>
        <v>0</v>
      </c>
      <c r="E7" s="1821"/>
      <c r="F7" s="1821"/>
      <c r="G7" s="1821"/>
      <c r="H7" s="1821"/>
      <c r="I7" s="1821"/>
      <c r="J7" s="1821"/>
    </row>
    <row r="8" spans="1:13" ht="23.1" customHeight="1" x14ac:dyDescent="0.2">
      <c r="A8" s="1820" t="s">
        <v>155</v>
      </c>
      <c r="B8" s="1820"/>
      <c r="D8" s="1821" t="str">
        <f>PROPER('DATOS &lt;'!C38)</f>
        <v>0</v>
      </c>
      <c r="E8" s="1821"/>
      <c r="F8" s="1821"/>
      <c r="G8" s="1821"/>
    </row>
    <row r="9" spans="1:13" ht="20.100000000000001" customHeight="1" x14ac:dyDescent="0.2">
      <c r="A9" s="1005"/>
      <c r="B9" s="1005"/>
      <c r="D9" s="1005"/>
      <c r="E9" s="1005"/>
      <c r="F9" s="1004"/>
    </row>
    <row r="10" spans="1:13" ht="23.1" customHeight="1" x14ac:dyDescent="0.2">
      <c r="A10" s="1820" t="s">
        <v>156</v>
      </c>
      <c r="B10" s="1820"/>
      <c r="C10" s="1820"/>
      <c r="D10" s="1822">
        <f>'DATOS &lt;'!D38</f>
        <v>0</v>
      </c>
      <c r="E10" s="1822"/>
      <c r="G10" s="968"/>
      <c r="H10" s="1860" t="s">
        <v>157</v>
      </c>
      <c r="I10" s="1860"/>
      <c r="J10" s="1860"/>
      <c r="K10" s="1822" t="e">
        <f>'10 kg &lt; (C)'!E4</f>
        <v>#N/A</v>
      </c>
      <c r="L10" s="1822"/>
    </row>
    <row r="11" spans="1:13" ht="20.100000000000001" customHeight="1" x14ac:dyDescent="0.2">
      <c r="A11" s="1004"/>
      <c r="B11" s="1004"/>
      <c r="C11" s="1004"/>
      <c r="D11" s="1004"/>
      <c r="E11" s="1004"/>
      <c r="F11" s="1004"/>
    </row>
    <row r="12" spans="1:13" ht="23.1" customHeight="1" x14ac:dyDescent="0.2">
      <c r="A12" s="1815" t="s">
        <v>158</v>
      </c>
      <c r="B12" s="1815"/>
      <c r="C12" s="1815"/>
      <c r="D12" s="1815"/>
      <c r="E12" s="1815"/>
      <c r="F12" s="1815"/>
      <c r="G12" s="1815"/>
      <c r="H12" s="1815"/>
      <c r="I12" s="1815"/>
      <c r="J12" s="1815"/>
    </row>
    <row r="13" spans="1:13" ht="20.100000000000001" customHeight="1" x14ac:dyDescent="0.2">
      <c r="A13" s="411"/>
      <c r="B13" s="411"/>
      <c r="C13" s="411"/>
      <c r="D13" s="411"/>
      <c r="E13" s="411"/>
      <c r="F13" s="1004"/>
    </row>
    <row r="14" spans="1:13" ht="23.1" customHeight="1" x14ac:dyDescent="0.2">
      <c r="A14" s="1820" t="s">
        <v>159</v>
      </c>
      <c r="B14" s="1820"/>
      <c r="C14" s="1820"/>
      <c r="D14" s="1875" t="s">
        <v>539</v>
      </c>
      <c r="E14" s="1875"/>
      <c r="F14" s="1875"/>
      <c r="G14" s="1875"/>
      <c r="H14" s="1875"/>
      <c r="I14" s="1875"/>
      <c r="J14" s="1875"/>
    </row>
    <row r="15" spans="1:13" ht="23.1" customHeight="1" x14ac:dyDescent="0.2">
      <c r="A15" s="1820" t="s">
        <v>161</v>
      </c>
      <c r="B15" s="1820"/>
      <c r="C15" s="1820"/>
      <c r="D15" s="1828" t="str">
        <f>PROPER('DATOS &lt;'!D78)</f>
        <v>0</v>
      </c>
      <c r="E15" s="1874"/>
      <c r="F15" s="1874"/>
      <c r="G15" s="1874"/>
      <c r="H15" s="1005"/>
      <c r="I15" s="1005"/>
      <c r="J15" s="1005"/>
    </row>
    <row r="16" spans="1:13" ht="23.1" customHeight="1" x14ac:dyDescent="0.2">
      <c r="A16" s="1820" t="s">
        <v>162</v>
      </c>
      <c r="B16" s="1820"/>
      <c r="C16" s="1820"/>
      <c r="D16" s="1829">
        <f>'DATOS &lt;'!E78</f>
        <v>0</v>
      </c>
      <c r="E16" s="1829"/>
      <c r="F16" s="1829"/>
      <c r="G16" s="1829"/>
      <c r="H16" s="1005"/>
      <c r="I16" s="1005"/>
      <c r="J16" s="1005"/>
    </row>
    <row r="17" spans="1:13" ht="23.1" customHeight="1" x14ac:dyDescent="0.2">
      <c r="A17" s="1820" t="s">
        <v>163</v>
      </c>
      <c r="B17" s="1820"/>
      <c r="C17" s="1820"/>
      <c r="D17" s="1874" t="s">
        <v>535</v>
      </c>
      <c r="E17" s="1874"/>
      <c r="F17" s="1822"/>
      <c r="G17" s="1822"/>
    </row>
    <row r="18" spans="1:13" ht="20.100000000000001" customHeight="1" x14ac:dyDescent="0.2">
      <c r="A18" s="1005"/>
      <c r="B18" s="1005"/>
      <c r="C18" s="1005"/>
      <c r="D18" s="1006"/>
      <c r="E18" s="1005"/>
      <c r="F18" s="1005"/>
      <c r="G18" s="1005"/>
    </row>
    <row r="19" spans="1:13" ht="23.1" customHeight="1" x14ac:dyDescent="0.2">
      <c r="A19" s="1820" t="s">
        <v>164</v>
      </c>
      <c r="B19" s="1820"/>
      <c r="C19" s="1820"/>
      <c r="D19" s="1820"/>
      <c r="E19" s="1820"/>
      <c r="F19" s="1826">
        <f>'DATOS &lt;'!C80</f>
        <v>32</v>
      </c>
      <c r="G19" s="1826"/>
      <c r="H19" s="1826"/>
      <c r="I19" s="1826"/>
      <c r="J19" s="1826"/>
    </row>
    <row r="20" spans="1:13" ht="20.100000000000001" customHeight="1" x14ac:dyDescent="0.2">
      <c r="A20" s="1005"/>
      <c r="B20" s="1005"/>
      <c r="C20" s="1005"/>
      <c r="D20" s="1005"/>
      <c r="E20" s="1005"/>
      <c r="F20" s="1005"/>
      <c r="G20" s="1004"/>
    </row>
    <row r="21" spans="1:13" ht="23.1" customHeight="1" x14ac:dyDescent="0.2">
      <c r="A21" s="1815" t="s">
        <v>165</v>
      </c>
      <c r="B21" s="1815"/>
      <c r="C21" s="1815"/>
      <c r="D21" s="1815"/>
      <c r="E21" s="1815"/>
      <c r="F21" s="1815"/>
    </row>
    <row r="22" spans="1:13" ht="23.1" customHeight="1" x14ac:dyDescent="0.2">
      <c r="A22" s="1821">
        <f>'DATOS &lt;'!G8</f>
        <v>0</v>
      </c>
      <c r="B22" s="1821"/>
      <c r="C22" s="1821"/>
      <c r="D22" s="1821"/>
      <c r="E22" s="1821"/>
      <c r="F22" s="1821"/>
      <c r="G22" s="1821"/>
      <c r="H22" s="1821"/>
      <c r="I22" s="1821"/>
      <c r="J22" s="1821"/>
      <c r="K22" s="1821"/>
      <c r="L22" s="1821"/>
      <c r="M22" s="1821"/>
    </row>
    <row r="23" spans="1:13" ht="20.100000000000001" customHeight="1" x14ac:dyDescent="0.2">
      <c r="B23" s="1815"/>
      <c r="C23" s="1815"/>
      <c r="D23" s="1815"/>
      <c r="E23" s="1815"/>
      <c r="F23" s="411"/>
      <c r="G23" s="1005"/>
    </row>
    <row r="24" spans="1:13" ht="23.1" customHeight="1" x14ac:dyDescent="0.2">
      <c r="A24" s="1815" t="s">
        <v>166</v>
      </c>
      <c r="B24" s="1815"/>
      <c r="C24" s="1815"/>
      <c r="D24" s="1815"/>
      <c r="E24" s="1843">
        <f>'DATOS &lt;'!I26</f>
        <v>0</v>
      </c>
      <c r="F24" s="1843"/>
    </row>
    <row r="25" spans="1:13" ht="20.100000000000001" customHeight="1" x14ac:dyDescent="0.25">
      <c r="A25" s="1005"/>
      <c r="B25" s="1005"/>
      <c r="C25" s="1005"/>
      <c r="D25" s="1005"/>
      <c r="E25" s="1005"/>
      <c r="F25" s="1005"/>
      <c r="G25" s="412"/>
      <c r="H25" s="412"/>
      <c r="I25" s="1004"/>
      <c r="J25" s="1004"/>
    </row>
    <row r="26" spans="1:13" ht="23.1" customHeight="1" x14ac:dyDescent="0.2">
      <c r="A26" s="1816" t="s">
        <v>167</v>
      </c>
      <c r="B26" s="1816"/>
      <c r="C26" s="1816"/>
      <c r="D26" s="1816"/>
      <c r="E26" s="1816"/>
      <c r="F26" s="1816"/>
      <c r="G26" s="1816"/>
      <c r="H26" s="1816"/>
      <c r="I26" s="1816"/>
      <c r="J26" s="1816"/>
    </row>
    <row r="27" spans="1:13" ht="20.100000000000001" customHeight="1" x14ac:dyDescent="0.2">
      <c r="A27" s="408"/>
      <c r="B27" s="408"/>
      <c r="C27" s="408"/>
      <c r="D27" s="408"/>
      <c r="G27" s="1004"/>
    </row>
    <row r="28" spans="1:13" ht="33" customHeight="1" x14ac:dyDescent="0.2">
      <c r="A28" s="1893" t="s">
        <v>552</v>
      </c>
      <c r="B28" s="1893"/>
      <c r="C28" s="1893"/>
      <c r="D28" s="1893"/>
      <c r="E28" s="1893"/>
      <c r="F28" s="1893"/>
      <c r="G28" s="1893"/>
      <c r="H28" s="1893"/>
      <c r="I28" s="1893"/>
      <c r="J28" s="1893"/>
      <c r="K28" s="1893"/>
      <c r="L28" s="1893"/>
      <c r="M28" s="1893"/>
    </row>
    <row r="29" spans="1:13" ht="20.100000000000001" customHeight="1" x14ac:dyDescent="0.25">
      <c r="G29" s="412"/>
      <c r="H29" s="412"/>
      <c r="I29" s="1003"/>
      <c r="J29" s="1003"/>
    </row>
    <row r="30" spans="1:13" ht="23.1" customHeight="1" x14ac:dyDescent="0.2">
      <c r="A30" s="1816" t="s">
        <v>169</v>
      </c>
      <c r="B30" s="1816"/>
      <c r="C30" s="1816"/>
      <c r="D30" s="1816"/>
      <c r="E30" s="1816"/>
      <c r="F30" s="1816"/>
      <c r="G30" s="1816"/>
      <c r="H30" s="1816"/>
      <c r="I30" s="1816"/>
      <c r="J30" s="1816"/>
    </row>
    <row r="31" spans="1:13" ht="9.9499999999999993" customHeight="1" x14ac:dyDescent="0.2">
      <c r="A31" s="1891"/>
      <c r="B31" s="1891"/>
      <c r="C31" s="1891"/>
      <c r="D31" s="1891"/>
      <c r="E31" s="1891"/>
      <c r="F31" s="1891"/>
      <c r="G31" s="1891"/>
      <c r="H31" s="1891"/>
      <c r="I31" s="1891"/>
      <c r="J31" s="1891"/>
    </row>
    <row r="32" spans="1:13" ht="12.95" customHeight="1" thickBot="1" x14ac:dyDescent="0.25">
      <c r="A32" s="1007"/>
      <c r="B32" s="1007"/>
      <c r="C32" s="1007"/>
      <c r="D32" s="1007"/>
      <c r="E32" s="1007"/>
      <c r="F32" s="1007"/>
      <c r="G32" s="1007"/>
      <c r="K32" s="1260"/>
    </row>
    <row r="33" spans="1:13" ht="21.75" customHeight="1" thickBot="1" x14ac:dyDescent="0.25">
      <c r="B33" s="1854" t="s">
        <v>170</v>
      </c>
      <c r="C33" s="1855"/>
      <c r="D33" s="1854" t="s">
        <v>171</v>
      </c>
      <c r="E33" s="1855"/>
      <c r="F33" s="1854" t="s">
        <v>172</v>
      </c>
      <c r="G33" s="1855"/>
      <c r="H33" s="1836" t="s">
        <v>173</v>
      </c>
      <c r="I33" s="1837"/>
      <c r="J33" s="1837"/>
      <c r="K33" s="1838"/>
    </row>
    <row r="34" spans="1:13" ht="36.75" customHeight="1" thickBot="1" x14ac:dyDescent="0.25">
      <c r="B34" s="1856"/>
      <c r="C34" s="1857"/>
      <c r="D34" s="1856"/>
      <c r="E34" s="1857"/>
      <c r="F34" s="1856"/>
      <c r="G34" s="1857"/>
      <c r="H34" s="1839" t="s">
        <v>174</v>
      </c>
      <c r="I34" s="1840"/>
      <c r="J34" s="1841" t="s">
        <v>175</v>
      </c>
      <c r="K34" s="1842"/>
    </row>
    <row r="35" spans="1:13" ht="39.950000000000003" customHeight="1" thickBot="1" x14ac:dyDescent="0.25">
      <c r="B35" s="1848" t="str">
        <f>D14</f>
        <v>Pesa de 10 kg</v>
      </c>
      <c r="C35" s="1849"/>
      <c r="D35" s="1850" t="s">
        <v>536</v>
      </c>
      <c r="E35" s="1851"/>
      <c r="F35" s="1852" t="e">
        <f>VLOOKUP($K$32,'DATOS &lt;'!B202:G215,1,FALSE)</f>
        <v>#N/A</v>
      </c>
      <c r="G35" s="1853"/>
      <c r="H35" s="1008" t="e">
        <f>VLOOKUP($K$32,'DATOS &lt;'!B202:G215,3,FALSE)</f>
        <v>#N/A</v>
      </c>
      <c r="I35" s="1009" t="s">
        <v>177</v>
      </c>
      <c r="J35" s="1010" t="e">
        <f>VLOOKUP($K$32,'DATOS &lt;'!B202:G215,5,FALSE)</f>
        <v>#N/A</v>
      </c>
      <c r="K35" s="1011" t="s">
        <v>178</v>
      </c>
    </row>
    <row r="36" spans="1:13" ht="39.950000000000003" hidden="1" customHeight="1" thickBot="1" x14ac:dyDescent="0.25">
      <c r="A36" s="1831"/>
      <c r="B36" s="1832"/>
      <c r="C36" s="1831"/>
      <c r="D36" s="1833"/>
      <c r="E36" s="1834"/>
      <c r="F36" s="1832"/>
      <c r="G36" s="1012"/>
      <c r="H36" s="1013"/>
      <c r="I36" s="1012"/>
      <c r="J36" s="1014"/>
    </row>
    <row r="37" spans="1:13" ht="20.100000000000001" customHeight="1" x14ac:dyDescent="0.2"/>
    <row r="38" spans="1:13" ht="125.1" customHeight="1" x14ac:dyDescent="0.2"/>
    <row r="39" spans="1:13" ht="35.1" customHeight="1" x14ac:dyDescent="0.2"/>
    <row r="40" spans="1:13" ht="65.099999999999994" customHeight="1" x14ac:dyDescent="0.2">
      <c r="J40" s="1814" t="s">
        <v>8</v>
      </c>
      <c r="K40" s="1814"/>
      <c r="L40" s="1815">
        <f>L3</f>
        <v>0</v>
      </c>
      <c r="M40" s="1815"/>
    </row>
    <row r="41" spans="1:13" ht="33" customHeight="1" x14ac:dyDescent="0.2">
      <c r="A41" s="1816" t="s">
        <v>179</v>
      </c>
      <c r="B41" s="1816"/>
      <c r="C41" s="1816"/>
      <c r="D41" s="1816"/>
      <c r="E41" s="1816"/>
      <c r="F41" s="1816"/>
      <c r="G41" s="1816"/>
      <c r="H41" s="1816"/>
      <c r="I41" s="1816"/>
      <c r="J41" s="1816"/>
      <c r="M41" s="1284"/>
    </row>
    <row r="42" spans="1:13" ht="20.100000000000001" customHeight="1" x14ac:dyDescent="0.2">
      <c r="A42" s="223"/>
    </row>
    <row r="43" spans="1:13" s="1015" customFormat="1" ht="90" customHeight="1" x14ac:dyDescent="0.25">
      <c r="A43" s="1835" t="e">
        <f>VLOOKUP($M$41,'DATOS &lt;'!$I$115:$L$118,2,FALSE)</f>
        <v>#N/A</v>
      </c>
      <c r="B43" s="1835"/>
      <c r="C43" s="1835"/>
      <c r="D43" s="1835"/>
      <c r="E43" s="1835"/>
      <c r="F43" s="1835"/>
      <c r="G43" s="1835"/>
      <c r="H43" s="1835"/>
      <c r="I43" s="1835"/>
      <c r="J43" s="1835"/>
      <c r="K43" s="1835"/>
      <c r="L43" s="1835"/>
      <c r="M43" s="1835"/>
    </row>
    <row r="44" spans="1:13" ht="20.100000000000001" customHeight="1" thickBot="1" x14ac:dyDescent="0.25">
      <c r="A44" s="1015"/>
      <c r="B44" s="1015"/>
      <c r="C44" s="1015"/>
      <c r="D44" s="1015"/>
      <c r="E44" s="1015"/>
      <c r="F44" s="1015"/>
      <c r="G44" s="1015"/>
      <c r="H44" s="1015"/>
      <c r="I44" s="1015"/>
      <c r="J44" s="1015"/>
    </row>
    <row r="45" spans="1:13" ht="60" customHeight="1" thickBot="1" x14ac:dyDescent="0.25">
      <c r="B45" s="1847" t="s">
        <v>180</v>
      </c>
      <c r="C45" s="1847"/>
      <c r="D45" s="1847"/>
      <c r="E45" s="242" t="s">
        <v>11</v>
      </c>
      <c r="F45" s="242" t="s">
        <v>12</v>
      </c>
      <c r="G45" s="224" t="s">
        <v>3</v>
      </c>
      <c r="H45" s="1847" t="s">
        <v>181</v>
      </c>
      <c r="I45" s="1847"/>
      <c r="J45" s="1847" t="s">
        <v>5</v>
      </c>
      <c r="K45" s="1847"/>
    </row>
    <row r="46" spans="1:13" ht="65.099999999999994" customHeight="1" thickBot="1" x14ac:dyDescent="0.25">
      <c r="B46" s="1880" t="str">
        <f>D14</f>
        <v>Pesa de 10 kg</v>
      </c>
      <c r="C46" s="1880"/>
      <c r="D46" s="1880"/>
      <c r="E46" s="1296" t="s">
        <v>603</v>
      </c>
      <c r="F46" s="413" t="e">
        <f>'10 kg &lt; (C)'!D7</f>
        <v>#N/A</v>
      </c>
      <c r="G46" s="1261" t="e">
        <f>'10 kg &lt; (C)'!C16</f>
        <v>#N/A</v>
      </c>
      <c r="H46" s="1845" t="e">
        <f>'10 kg &lt; (C)'!B9</f>
        <v>#N/A</v>
      </c>
      <c r="I46" s="1845"/>
      <c r="J46" s="1846" t="e">
        <f>'10 kg &lt; (C)'!D9</f>
        <v>#N/A</v>
      </c>
      <c r="K46" s="1846"/>
    </row>
    <row r="47" spans="1:13" ht="33" hidden="1" customHeight="1" thickBot="1" x14ac:dyDescent="0.25">
      <c r="A47" s="1888"/>
      <c r="B47" s="1888"/>
      <c r="C47" s="1888"/>
      <c r="D47" s="225"/>
      <c r="E47" s="413"/>
      <c r="F47" s="1261"/>
      <c r="G47" s="1889"/>
      <c r="H47" s="1890"/>
      <c r="I47" s="1846"/>
      <c r="J47" s="1846"/>
    </row>
    <row r="48" spans="1:13" ht="20.100000000000001" customHeight="1" x14ac:dyDescent="0.2">
      <c r="A48" s="409"/>
      <c r="B48" s="409"/>
      <c r="C48" s="409"/>
      <c r="D48" s="226"/>
      <c r="E48" s="409"/>
      <c r="F48" s="409"/>
      <c r="G48" s="409"/>
      <c r="H48" s="409"/>
      <c r="I48" s="227"/>
      <c r="J48" s="227"/>
    </row>
    <row r="49" spans="1:1020 1029:2040 2049:3070 3079:4090 4099:5120 5129:6140 6149:7160 7169:8190 8199:9210 9219:10240 10249:11260 11269:12280 12289:13310 13319:14330 14339:15360 15369:16380" ht="33" customHeight="1" x14ac:dyDescent="0.2">
      <c r="A49" s="1815" t="s">
        <v>183</v>
      </c>
      <c r="B49" s="1815"/>
      <c r="C49" s="1815"/>
      <c r="D49" s="1815"/>
      <c r="E49" s="1815"/>
      <c r="F49" s="1815"/>
      <c r="G49" s="1815"/>
      <c r="H49" s="1815"/>
      <c r="I49" s="1815"/>
      <c r="J49" s="1815"/>
    </row>
    <row r="50" spans="1:1020 1029:2040 2049:3070 3079:4090 4099:5120 5129:6140 6149:7160 7169:8190 8199:9210 9219:10240 10249:11260 11269:12280 12289:13310 13319:14330 14339:15360 15369:16380" ht="6" customHeight="1" x14ac:dyDescent="0.2">
      <c r="A50" s="223"/>
      <c r="B50" s="223"/>
    </row>
    <row r="51" spans="1:1020 1029:2040 2049:3070 3079:4090 4099:5120 5129:6140 6149:7160 7169:8190 8199:9210 9219:10240 10249:11260 11269:12280 12289:13310 13319:14330 14339:15360 15369:16380" ht="33" customHeight="1" x14ac:dyDescent="0.2">
      <c r="A51" s="1892" t="s">
        <v>596</v>
      </c>
      <c r="B51" s="1892"/>
      <c r="C51" s="1892"/>
      <c r="D51" s="1892"/>
      <c r="E51" s="1892"/>
      <c r="F51" s="1892"/>
      <c r="G51" s="1892"/>
      <c r="H51" s="1892"/>
      <c r="I51" s="1892"/>
      <c r="J51" s="1892"/>
      <c r="K51" s="1892"/>
      <c r="L51" s="1892"/>
      <c r="M51" s="1892"/>
    </row>
    <row r="52" spans="1:1020 1029:2040 2049:3070 3079:4090 4099:5120 5129:6140 6149:7160 7169:8190 8199:9210 9219:10240 10249:11260 11269:12280 12289:13310 13319:14330 14339:15360 15369:16380" ht="33" customHeight="1" x14ac:dyDescent="0.2">
      <c r="A52" s="1892"/>
      <c r="B52" s="1892"/>
      <c r="C52" s="1892"/>
      <c r="D52" s="1892"/>
      <c r="E52" s="1892"/>
      <c r="F52" s="1892"/>
      <c r="G52" s="1892"/>
      <c r="H52" s="1892"/>
      <c r="I52" s="1892"/>
      <c r="J52" s="1892"/>
      <c r="K52" s="1892"/>
      <c r="L52" s="1892"/>
      <c r="M52" s="1892"/>
    </row>
    <row r="53" spans="1:1020 1029:2040 2049:3070 3079:4090 4099:5120 5129:6140 6149:7160 7169:8190 8199:9210 9219:10240 10249:11260 11269:12280 12289:13310 13319:14330 14339:15360 15369:16380" ht="18" customHeight="1" x14ac:dyDescent="0.2">
      <c r="A53" s="1017"/>
      <c r="B53" s="1017"/>
      <c r="C53" s="1017"/>
      <c r="D53" s="1017"/>
      <c r="E53" s="1017"/>
      <c r="F53" s="1017"/>
      <c r="G53" s="1017"/>
      <c r="H53" s="1017"/>
      <c r="I53" s="1017"/>
      <c r="J53" s="1017"/>
    </row>
    <row r="54" spans="1:1020 1029:2040 2049:3070 3079:4090 4099:5120 5129:6140 6149:7160 7169:8190 8199:9210 9219:10240 10249:11260 11269:12280 12289:13310 13319:14330 14339:15360 15369:16380" ht="33" customHeight="1" x14ac:dyDescent="0.2">
      <c r="A54" s="1815" t="s">
        <v>184</v>
      </c>
      <c r="B54" s="1815"/>
      <c r="C54" s="1815"/>
      <c r="D54" s="1815"/>
      <c r="E54" s="1815"/>
      <c r="F54" s="1815"/>
      <c r="G54" s="1815"/>
      <c r="H54" s="1815"/>
      <c r="I54" s="1815"/>
      <c r="J54" s="1815"/>
    </row>
    <row r="55" spans="1:1020 1029:2040 2049:3070 3079:4090 4099:5120 5129:6140 6149:7160 7169:8190 8199:9210 9219:10240 10249:11260 11269:12280 12289:13310 13319:14330 14339:15360 15369:16380" ht="20.100000000000001" customHeight="1" thickBot="1" x14ac:dyDescent="0.25">
      <c r="A55" s="223"/>
      <c r="B55" s="223"/>
      <c r="S55" s="223"/>
      <c r="T55" s="223"/>
      <c r="AC55" s="223"/>
      <c r="AD55" s="223"/>
      <c r="AM55" s="223"/>
      <c r="AN55" s="223"/>
      <c r="AW55" s="223"/>
      <c r="AX55" s="223"/>
      <c r="BG55" s="223"/>
      <c r="BH55" s="223"/>
      <c r="BQ55" s="223"/>
      <c r="BR55" s="223"/>
      <c r="CA55" s="223"/>
      <c r="CB55" s="223"/>
      <c r="CK55" s="223"/>
      <c r="CL55" s="223"/>
      <c r="CU55" s="223"/>
      <c r="CV55" s="223"/>
      <c r="DE55" s="223"/>
      <c r="DF55" s="223"/>
      <c r="DO55" s="223"/>
      <c r="DP55" s="223"/>
      <c r="DY55" s="223"/>
      <c r="DZ55" s="223"/>
      <c r="EI55" s="223"/>
      <c r="EJ55" s="223"/>
      <c r="ES55" s="223"/>
      <c r="ET55" s="223"/>
      <c r="FC55" s="223"/>
      <c r="FD55" s="223"/>
      <c r="FM55" s="223"/>
      <c r="FN55" s="223"/>
      <c r="FW55" s="223"/>
      <c r="FX55" s="223"/>
      <c r="GG55" s="223"/>
      <c r="GH55" s="223"/>
      <c r="GQ55" s="223"/>
      <c r="GR55" s="223"/>
      <c r="HA55" s="223"/>
      <c r="HB55" s="223"/>
      <c r="HK55" s="223"/>
      <c r="HL55" s="223"/>
      <c r="HU55" s="223"/>
      <c r="HV55" s="223"/>
      <c r="IE55" s="223"/>
      <c r="IF55" s="223"/>
      <c r="IO55" s="223"/>
      <c r="IP55" s="223"/>
      <c r="IY55" s="223"/>
      <c r="IZ55" s="223"/>
      <c r="JI55" s="223"/>
      <c r="JJ55" s="223"/>
      <c r="JS55" s="223"/>
      <c r="JT55" s="223"/>
      <c r="KC55" s="223"/>
      <c r="KD55" s="223"/>
      <c r="KM55" s="223"/>
      <c r="KN55" s="223"/>
      <c r="KW55" s="223"/>
      <c r="KX55" s="223"/>
      <c r="LG55" s="223"/>
      <c r="LH55" s="223"/>
      <c r="LQ55" s="223"/>
      <c r="LR55" s="223"/>
      <c r="MA55" s="223"/>
      <c r="MB55" s="223"/>
      <c r="MK55" s="223"/>
      <c r="ML55" s="223"/>
      <c r="MU55" s="223"/>
      <c r="MV55" s="223"/>
      <c r="NE55" s="223"/>
      <c r="NF55" s="223"/>
      <c r="NO55" s="223"/>
      <c r="NP55" s="223"/>
      <c r="NY55" s="223"/>
      <c r="NZ55" s="223"/>
      <c r="OI55" s="223"/>
      <c r="OJ55" s="223"/>
      <c r="OS55" s="223"/>
      <c r="OT55" s="223"/>
      <c r="PC55" s="223"/>
      <c r="PD55" s="223"/>
      <c r="PM55" s="223"/>
      <c r="PN55" s="223"/>
      <c r="PW55" s="223"/>
      <c r="PX55" s="223"/>
      <c r="QG55" s="223"/>
      <c r="QH55" s="223"/>
      <c r="QQ55" s="223"/>
      <c r="QR55" s="223"/>
      <c r="RA55" s="223"/>
      <c r="RB55" s="223"/>
      <c r="RK55" s="223"/>
      <c r="RL55" s="223"/>
      <c r="RU55" s="223"/>
      <c r="RV55" s="223"/>
      <c r="SE55" s="223"/>
      <c r="SF55" s="223"/>
      <c r="SO55" s="223"/>
      <c r="SP55" s="223"/>
      <c r="SY55" s="223"/>
      <c r="SZ55" s="223"/>
      <c r="TI55" s="223"/>
      <c r="TJ55" s="223"/>
      <c r="TS55" s="223"/>
      <c r="TT55" s="223"/>
      <c r="UC55" s="223"/>
      <c r="UD55" s="223"/>
      <c r="UM55" s="223"/>
      <c r="UN55" s="223"/>
      <c r="UW55" s="223"/>
      <c r="UX55" s="223"/>
      <c r="VG55" s="223"/>
      <c r="VH55" s="223"/>
      <c r="VQ55" s="223"/>
      <c r="VR55" s="223"/>
      <c r="WA55" s="223"/>
      <c r="WB55" s="223"/>
      <c r="WK55" s="223"/>
      <c r="WL55" s="223"/>
      <c r="WU55" s="223"/>
      <c r="WV55" s="223"/>
      <c r="XE55" s="223"/>
      <c r="XF55" s="223"/>
      <c r="XO55" s="223"/>
      <c r="XP55" s="223"/>
      <c r="XY55" s="223"/>
      <c r="XZ55" s="223"/>
      <c r="YI55" s="223"/>
      <c r="YJ55" s="223"/>
      <c r="YS55" s="223"/>
      <c r="YT55" s="223"/>
      <c r="ZC55" s="223"/>
      <c r="ZD55" s="223"/>
      <c r="ZM55" s="223"/>
      <c r="ZN55" s="223"/>
      <c r="ZW55" s="223"/>
      <c r="ZX55" s="223"/>
      <c r="AAG55" s="223"/>
      <c r="AAH55" s="223"/>
      <c r="AAQ55" s="223"/>
      <c r="AAR55" s="223"/>
      <c r="ABA55" s="223"/>
      <c r="ABB55" s="223"/>
      <c r="ABK55" s="223"/>
      <c r="ABL55" s="223"/>
      <c r="ABU55" s="223"/>
      <c r="ABV55" s="223"/>
      <c r="ACE55" s="223"/>
      <c r="ACF55" s="223"/>
      <c r="ACO55" s="223"/>
      <c r="ACP55" s="223"/>
      <c r="ACY55" s="223"/>
      <c r="ACZ55" s="223"/>
      <c r="ADI55" s="223"/>
      <c r="ADJ55" s="223"/>
      <c r="ADS55" s="223"/>
      <c r="ADT55" s="223"/>
      <c r="AEC55" s="223"/>
      <c r="AED55" s="223"/>
      <c r="AEM55" s="223"/>
      <c r="AEN55" s="223"/>
      <c r="AEW55" s="223"/>
      <c r="AEX55" s="223"/>
      <c r="AFG55" s="223"/>
      <c r="AFH55" s="223"/>
      <c r="AFQ55" s="223"/>
      <c r="AFR55" s="223"/>
      <c r="AGA55" s="223"/>
      <c r="AGB55" s="223"/>
      <c r="AGK55" s="223"/>
      <c r="AGL55" s="223"/>
      <c r="AGU55" s="223"/>
      <c r="AGV55" s="223"/>
      <c r="AHE55" s="223"/>
      <c r="AHF55" s="223"/>
      <c r="AHO55" s="223"/>
      <c r="AHP55" s="223"/>
      <c r="AHY55" s="223"/>
      <c r="AHZ55" s="223"/>
      <c r="AII55" s="223"/>
      <c r="AIJ55" s="223"/>
      <c r="AIS55" s="223"/>
      <c r="AIT55" s="223"/>
      <c r="AJC55" s="223"/>
      <c r="AJD55" s="223"/>
      <c r="AJM55" s="223"/>
      <c r="AJN55" s="223"/>
      <c r="AJW55" s="223"/>
      <c r="AJX55" s="223"/>
      <c r="AKG55" s="223"/>
      <c r="AKH55" s="223"/>
      <c r="AKQ55" s="223"/>
      <c r="AKR55" s="223"/>
      <c r="ALA55" s="223"/>
      <c r="ALB55" s="223"/>
      <c r="ALK55" s="223"/>
      <c r="ALL55" s="223"/>
      <c r="ALU55" s="223"/>
      <c r="ALV55" s="223"/>
      <c r="AME55" s="223"/>
      <c r="AMF55" s="223"/>
      <c r="AMO55" s="223"/>
      <c r="AMP55" s="223"/>
      <c r="AMY55" s="223"/>
      <c r="AMZ55" s="223"/>
      <c r="ANI55" s="223"/>
      <c r="ANJ55" s="223"/>
      <c r="ANS55" s="223"/>
      <c r="ANT55" s="223"/>
      <c r="AOC55" s="223"/>
      <c r="AOD55" s="223"/>
      <c r="AOM55" s="223"/>
      <c r="AON55" s="223"/>
      <c r="AOW55" s="223"/>
      <c r="AOX55" s="223"/>
      <c r="APG55" s="223"/>
      <c r="APH55" s="223"/>
      <c r="APQ55" s="223"/>
      <c r="APR55" s="223"/>
      <c r="AQA55" s="223"/>
      <c r="AQB55" s="223"/>
      <c r="AQK55" s="223"/>
      <c r="AQL55" s="223"/>
      <c r="AQU55" s="223"/>
      <c r="AQV55" s="223"/>
      <c r="ARE55" s="223"/>
      <c r="ARF55" s="223"/>
      <c r="ARO55" s="223"/>
      <c r="ARP55" s="223"/>
      <c r="ARY55" s="223"/>
      <c r="ARZ55" s="223"/>
      <c r="ASI55" s="223"/>
      <c r="ASJ55" s="223"/>
      <c r="ASS55" s="223"/>
      <c r="AST55" s="223"/>
      <c r="ATC55" s="223"/>
      <c r="ATD55" s="223"/>
      <c r="ATM55" s="223"/>
      <c r="ATN55" s="223"/>
      <c r="ATW55" s="223"/>
      <c r="ATX55" s="223"/>
      <c r="AUG55" s="223"/>
      <c r="AUH55" s="223"/>
      <c r="AUQ55" s="223"/>
      <c r="AUR55" s="223"/>
      <c r="AVA55" s="223"/>
      <c r="AVB55" s="223"/>
      <c r="AVK55" s="223"/>
      <c r="AVL55" s="223"/>
      <c r="AVU55" s="223"/>
      <c r="AVV55" s="223"/>
      <c r="AWE55" s="223"/>
      <c r="AWF55" s="223"/>
      <c r="AWO55" s="223"/>
      <c r="AWP55" s="223"/>
      <c r="AWY55" s="223"/>
      <c r="AWZ55" s="223"/>
      <c r="AXI55" s="223"/>
      <c r="AXJ55" s="223"/>
      <c r="AXS55" s="223"/>
      <c r="AXT55" s="223"/>
      <c r="AYC55" s="223"/>
      <c r="AYD55" s="223"/>
      <c r="AYM55" s="223"/>
      <c r="AYN55" s="223"/>
      <c r="AYW55" s="223"/>
      <c r="AYX55" s="223"/>
      <c r="AZG55" s="223"/>
      <c r="AZH55" s="223"/>
      <c r="AZQ55" s="223"/>
      <c r="AZR55" s="223"/>
      <c r="BAA55" s="223"/>
      <c r="BAB55" s="223"/>
      <c r="BAK55" s="223"/>
      <c r="BAL55" s="223"/>
      <c r="BAU55" s="223"/>
      <c r="BAV55" s="223"/>
      <c r="BBE55" s="223"/>
      <c r="BBF55" s="223"/>
      <c r="BBO55" s="223"/>
      <c r="BBP55" s="223"/>
      <c r="BBY55" s="223"/>
      <c r="BBZ55" s="223"/>
      <c r="BCI55" s="223"/>
      <c r="BCJ55" s="223"/>
      <c r="BCS55" s="223"/>
      <c r="BCT55" s="223"/>
      <c r="BDC55" s="223"/>
      <c r="BDD55" s="223"/>
      <c r="BDM55" s="223"/>
      <c r="BDN55" s="223"/>
      <c r="BDW55" s="223"/>
      <c r="BDX55" s="223"/>
      <c r="BEG55" s="223"/>
      <c r="BEH55" s="223"/>
      <c r="BEQ55" s="223"/>
      <c r="BER55" s="223"/>
      <c r="BFA55" s="223"/>
      <c r="BFB55" s="223"/>
      <c r="BFK55" s="223"/>
      <c r="BFL55" s="223"/>
      <c r="BFU55" s="223"/>
      <c r="BFV55" s="223"/>
      <c r="BGE55" s="223"/>
      <c r="BGF55" s="223"/>
      <c r="BGO55" s="223"/>
      <c r="BGP55" s="223"/>
      <c r="BGY55" s="223"/>
      <c r="BGZ55" s="223"/>
      <c r="BHI55" s="223"/>
      <c r="BHJ55" s="223"/>
      <c r="BHS55" s="223"/>
      <c r="BHT55" s="223"/>
      <c r="BIC55" s="223"/>
      <c r="BID55" s="223"/>
      <c r="BIM55" s="223"/>
      <c r="BIN55" s="223"/>
      <c r="BIW55" s="223"/>
      <c r="BIX55" s="223"/>
      <c r="BJG55" s="223"/>
      <c r="BJH55" s="223"/>
      <c r="BJQ55" s="223"/>
      <c r="BJR55" s="223"/>
      <c r="BKA55" s="223"/>
      <c r="BKB55" s="223"/>
      <c r="BKK55" s="223"/>
      <c r="BKL55" s="223"/>
      <c r="BKU55" s="223"/>
      <c r="BKV55" s="223"/>
      <c r="BLE55" s="223"/>
      <c r="BLF55" s="223"/>
      <c r="BLO55" s="223"/>
      <c r="BLP55" s="223"/>
      <c r="BLY55" s="223"/>
      <c r="BLZ55" s="223"/>
      <c r="BMI55" s="223"/>
      <c r="BMJ55" s="223"/>
      <c r="BMS55" s="223"/>
      <c r="BMT55" s="223"/>
      <c r="BNC55" s="223"/>
      <c r="BND55" s="223"/>
      <c r="BNM55" s="223"/>
      <c r="BNN55" s="223"/>
      <c r="BNW55" s="223"/>
      <c r="BNX55" s="223"/>
      <c r="BOG55" s="223"/>
      <c r="BOH55" s="223"/>
      <c r="BOQ55" s="223"/>
      <c r="BOR55" s="223"/>
      <c r="BPA55" s="223"/>
      <c r="BPB55" s="223"/>
      <c r="BPK55" s="223"/>
      <c r="BPL55" s="223"/>
      <c r="BPU55" s="223"/>
      <c r="BPV55" s="223"/>
      <c r="BQE55" s="223"/>
      <c r="BQF55" s="223"/>
      <c r="BQO55" s="223"/>
      <c r="BQP55" s="223"/>
      <c r="BQY55" s="223"/>
      <c r="BQZ55" s="223"/>
      <c r="BRI55" s="223"/>
      <c r="BRJ55" s="223"/>
      <c r="BRS55" s="223"/>
      <c r="BRT55" s="223"/>
      <c r="BSC55" s="223"/>
      <c r="BSD55" s="223"/>
      <c r="BSM55" s="223"/>
      <c r="BSN55" s="223"/>
      <c r="BSW55" s="223"/>
      <c r="BSX55" s="223"/>
      <c r="BTG55" s="223"/>
      <c r="BTH55" s="223"/>
      <c r="BTQ55" s="223"/>
      <c r="BTR55" s="223"/>
      <c r="BUA55" s="223"/>
      <c r="BUB55" s="223"/>
      <c r="BUK55" s="223"/>
      <c r="BUL55" s="223"/>
      <c r="BUU55" s="223"/>
      <c r="BUV55" s="223"/>
      <c r="BVE55" s="223"/>
      <c r="BVF55" s="223"/>
      <c r="BVO55" s="223"/>
      <c r="BVP55" s="223"/>
      <c r="BVY55" s="223"/>
      <c r="BVZ55" s="223"/>
      <c r="BWI55" s="223"/>
      <c r="BWJ55" s="223"/>
      <c r="BWS55" s="223"/>
      <c r="BWT55" s="223"/>
      <c r="BXC55" s="223"/>
      <c r="BXD55" s="223"/>
      <c r="BXM55" s="223"/>
      <c r="BXN55" s="223"/>
      <c r="BXW55" s="223"/>
      <c r="BXX55" s="223"/>
      <c r="BYG55" s="223"/>
      <c r="BYH55" s="223"/>
      <c r="BYQ55" s="223"/>
      <c r="BYR55" s="223"/>
      <c r="BZA55" s="223"/>
      <c r="BZB55" s="223"/>
      <c r="BZK55" s="223"/>
      <c r="BZL55" s="223"/>
      <c r="BZU55" s="223"/>
      <c r="BZV55" s="223"/>
      <c r="CAE55" s="223"/>
      <c r="CAF55" s="223"/>
      <c r="CAO55" s="223"/>
      <c r="CAP55" s="223"/>
      <c r="CAY55" s="223"/>
      <c r="CAZ55" s="223"/>
      <c r="CBI55" s="223"/>
      <c r="CBJ55" s="223"/>
      <c r="CBS55" s="223"/>
      <c r="CBT55" s="223"/>
      <c r="CCC55" s="223"/>
      <c r="CCD55" s="223"/>
      <c r="CCM55" s="223"/>
      <c r="CCN55" s="223"/>
      <c r="CCW55" s="223"/>
      <c r="CCX55" s="223"/>
      <c r="CDG55" s="223"/>
      <c r="CDH55" s="223"/>
      <c r="CDQ55" s="223"/>
      <c r="CDR55" s="223"/>
      <c r="CEA55" s="223"/>
      <c r="CEB55" s="223"/>
      <c r="CEK55" s="223"/>
      <c r="CEL55" s="223"/>
      <c r="CEU55" s="223"/>
      <c r="CEV55" s="223"/>
      <c r="CFE55" s="223"/>
      <c r="CFF55" s="223"/>
      <c r="CFO55" s="223"/>
      <c r="CFP55" s="223"/>
      <c r="CFY55" s="223"/>
      <c r="CFZ55" s="223"/>
      <c r="CGI55" s="223"/>
      <c r="CGJ55" s="223"/>
      <c r="CGS55" s="223"/>
      <c r="CGT55" s="223"/>
      <c r="CHC55" s="223"/>
      <c r="CHD55" s="223"/>
      <c r="CHM55" s="223"/>
      <c r="CHN55" s="223"/>
      <c r="CHW55" s="223"/>
      <c r="CHX55" s="223"/>
      <c r="CIG55" s="223"/>
      <c r="CIH55" s="223"/>
      <c r="CIQ55" s="223"/>
      <c r="CIR55" s="223"/>
      <c r="CJA55" s="223"/>
      <c r="CJB55" s="223"/>
      <c r="CJK55" s="223"/>
      <c r="CJL55" s="223"/>
      <c r="CJU55" s="223"/>
      <c r="CJV55" s="223"/>
      <c r="CKE55" s="223"/>
      <c r="CKF55" s="223"/>
      <c r="CKO55" s="223"/>
      <c r="CKP55" s="223"/>
      <c r="CKY55" s="223"/>
      <c r="CKZ55" s="223"/>
      <c r="CLI55" s="223"/>
      <c r="CLJ55" s="223"/>
      <c r="CLS55" s="223"/>
      <c r="CLT55" s="223"/>
      <c r="CMC55" s="223"/>
      <c r="CMD55" s="223"/>
      <c r="CMM55" s="223"/>
      <c r="CMN55" s="223"/>
      <c r="CMW55" s="223"/>
      <c r="CMX55" s="223"/>
      <c r="CNG55" s="223"/>
      <c r="CNH55" s="223"/>
      <c r="CNQ55" s="223"/>
      <c r="CNR55" s="223"/>
      <c r="COA55" s="223"/>
      <c r="COB55" s="223"/>
      <c r="COK55" s="223"/>
      <c r="COL55" s="223"/>
      <c r="COU55" s="223"/>
      <c r="COV55" s="223"/>
      <c r="CPE55" s="223"/>
      <c r="CPF55" s="223"/>
      <c r="CPO55" s="223"/>
      <c r="CPP55" s="223"/>
      <c r="CPY55" s="223"/>
      <c r="CPZ55" s="223"/>
      <c r="CQI55" s="223"/>
      <c r="CQJ55" s="223"/>
      <c r="CQS55" s="223"/>
      <c r="CQT55" s="223"/>
      <c r="CRC55" s="223"/>
      <c r="CRD55" s="223"/>
      <c r="CRM55" s="223"/>
      <c r="CRN55" s="223"/>
      <c r="CRW55" s="223"/>
      <c r="CRX55" s="223"/>
      <c r="CSG55" s="223"/>
      <c r="CSH55" s="223"/>
      <c r="CSQ55" s="223"/>
      <c r="CSR55" s="223"/>
      <c r="CTA55" s="223"/>
      <c r="CTB55" s="223"/>
      <c r="CTK55" s="223"/>
      <c r="CTL55" s="223"/>
      <c r="CTU55" s="223"/>
      <c r="CTV55" s="223"/>
      <c r="CUE55" s="223"/>
      <c r="CUF55" s="223"/>
      <c r="CUO55" s="223"/>
      <c r="CUP55" s="223"/>
      <c r="CUY55" s="223"/>
      <c r="CUZ55" s="223"/>
      <c r="CVI55" s="223"/>
      <c r="CVJ55" s="223"/>
      <c r="CVS55" s="223"/>
      <c r="CVT55" s="223"/>
      <c r="CWC55" s="223"/>
      <c r="CWD55" s="223"/>
      <c r="CWM55" s="223"/>
      <c r="CWN55" s="223"/>
      <c r="CWW55" s="223"/>
      <c r="CWX55" s="223"/>
      <c r="CXG55" s="223"/>
      <c r="CXH55" s="223"/>
      <c r="CXQ55" s="223"/>
      <c r="CXR55" s="223"/>
      <c r="CYA55" s="223"/>
      <c r="CYB55" s="223"/>
      <c r="CYK55" s="223"/>
      <c r="CYL55" s="223"/>
      <c r="CYU55" s="223"/>
      <c r="CYV55" s="223"/>
      <c r="CZE55" s="223"/>
      <c r="CZF55" s="223"/>
      <c r="CZO55" s="223"/>
      <c r="CZP55" s="223"/>
      <c r="CZY55" s="223"/>
      <c r="CZZ55" s="223"/>
      <c r="DAI55" s="223"/>
      <c r="DAJ55" s="223"/>
      <c r="DAS55" s="223"/>
      <c r="DAT55" s="223"/>
      <c r="DBC55" s="223"/>
      <c r="DBD55" s="223"/>
      <c r="DBM55" s="223"/>
      <c r="DBN55" s="223"/>
      <c r="DBW55" s="223"/>
      <c r="DBX55" s="223"/>
      <c r="DCG55" s="223"/>
      <c r="DCH55" s="223"/>
      <c r="DCQ55" s="223"/>
      <c r="DCR55" s="223"/>
      <c r="DDA55" s="223"/>
      <c r="DDB55" s="223"/>
      <c r="DDK55" s="223"/>
      <c r="DDL55" s="223"/>
      <c r="DDU55" s="223"/>
      <c r="DDV55" s="223"/>
      <c r="DEE55" s="223"/>
      <c r="DEF55" s="223"/>
      <c r="DEO55" s="223"/>
      <c r="DEP55" s="223"/>
      <c r="DEY55" s="223"/>
      <c r="DEZ55" s="223"/>
      <c r="DFI55" s="223"/>
      <c r="DFJ55" s="223"/>
      <c r="DFS55" s="223"/>
      <c r="DFT55" s="223"/>
      <c r="DGC55" s="223"/>
      <c r="DGD55" s="223"/>
      <c r="DGM55" s="223"/>
      <c r="DGN55" s="223"/>
      <c r="DGW55" s="223"/>
      <c r="DGX55" s="223"/>
      <c r="DHG55" s="223"/>
      <c r="DHH55" s="223"/>
      <c r="DHQ55" s="223"/>
      <c r="DHR55" s="223"/>
      <c r="DIA55" s="223"/>
      <c r="DIB55" s="223"/>
      <c r="DIK55" s="223"/>
      <c r="DIL55" s="223"/>
      <c r="DIU55" s="223"/>
      <c r="DIV55" s="223"/>
      <c r="DJE55" s="223"/>
      <c r="DJF55" s="223"/>
      <c r="DJO55" s="223"/>
      <c r="DJP55" s="223"/>
      <c r="DJY55" s="223"/>
      <c r="DJZ55" s="223"/>
      <c r="DKI55" s="223"/>
      <c r="DKJ55" s="223"/>
      <c r="DKS55" s="223"/>
      <c r="DKT55" s="223"/>
      <c r="DLC55" s="223"/>
      <c r="DLD55" s="223"/>
      <c r="DLM55" s="223"/>
      <c r="DLN55" s="223"/>
      <c r="DLW55" s="223"/>
      <c r="DLX55" s="223"/>
      <c r="DMG55" s="223"/>
      <c r="DMH55" s="223"/>
      <c r="DMQ55" s="223"/>
      <c r="DMR55" s="223"/>
      <c r="DNA55" s="223"/>
      <c r="DNB55" s="223"/>
      <c r="DNK55" s="223"/>
      <c r="DNL55" s="223"/>
      <c r="DNU55" s="223"/>
      <c r="DNV55" s="223"/>
      <c r="DOE55" s="223"/>
      <c r="DOF55" s="223"/>
      <c r="DOO55" s="223"/>
      <c r="DOP55" s="223"/>
      <c r="DOY55" s="223"/>
      <c r="DOZ55" s="223"/>
      <c r="DPI55" s="223"/>
      <c r="DPJ55" s="223"/>
      <c r="DPS55" s="223"/>
      <c r="DPT55" s="223"/>
      <c r="DQC55" s="223"/>
      <c r="DQD55" s="223"/>
      <c r="DQM55" s="223"/>
      <c r="DQN55" s="223"/>
      <c r="DQW55" s="223"/>
      <c r="DQX55" s="223"/>
      <c r="DRG55" s="223"/>
      <c r="DRH55" s="223"/>
      <c r="DRQ55" s="223"/>
      <c r="DRR55" s="223"/>
      <c r="DSA55" s="223"/>
      <c r="DSB55" s="223"/>
      <c r="DSK55" s="223"/>
      <c r="DSL55" s="223"/>
      <c r="DSU55" s="223"/>
      <c r="DSV55" s="223"/>
      <c r="DTE55" s="223"/>
      <c r="DTF55" s="223"/>
      <c r="DTO55" s="223"/>
      <c r="DTP55" s="223"/>
      <c r="DTY55" s="223"/>
      <c r="DTZ55" s="223"/>
      <c r="DUI55" s="223"/>
      <c r="DUJ55" s="223"/>
      <c r="DUS55" s="223"/>
      <c r="DUT55" s="223"/>
      <c r="DVC55" s="223"/>
      <c r="DVD55" s="223"/>
      <c r="DVM55" s="223"/>
      <c r="DVN55" s="223"/>
      <c r="DVW55" s="223"/>
      <c r="DVX55" s="223"/>
      <c r="DWG55" s="223"/>
      <c r="DWH55" s="223"/>
      <c r="DWQ55" s="223"/>
      <c r="DWR55" s="223"/>
      <c r="DXA55" s="223"/>
      <c r="DXB55" s="223"/>
      <c r="DXK55" s="223"/>
      <c r="DXL55" s="223"/>
      <c r="DXU55" s="223"/>
      <c r="DXV55" s="223"/>
      <c r="DYE55" s="223"/>
      <c r="DYF55" s="223"/>
      <c r="DYO55" s="223"/>
      <c r="DYP55" s="223"/>
      <c r="DYY55" s="223"/>
      <c r="DYZ55" s="223"/>
      <c r="DZI55" s="223"/>
      <c r="DZJ55" s="223"/>
      <c r="DZS55" s="223"/>
      <c r="DZT55" s="223"/>
      <c r="EAC55" s="223"/>
      <c r="EAD55" s="223"/>
      <c r="EAM55" s="223"/>
      <c r="EAN55" s="223"/>
      <c r="EAW55" s="223"/>
      <c r="EAX55" s="223"/>
      <c r="EBG55" s="223"/>
      <c r="EBH55" s="223"/>
      <c r="EBQ55" s="223"/>
      <c r="EBR55" s="223"/>
      <c r="ECA55" s="223"/>
      <c r="ECB55" s="223"/>
      <c r="ECK55" s="223"/>
      <c r="ECL55" s="223"/>
      <c r="ECU55" s="223"/>
      <c r="ECV55" s="223"/>
      <c r="EDE55" s="223"/>
      <c r="EDF55" s="223"/>
      <c r="EDO55" s="223"/>
      <c r="EDP55" s="223"/>
      <c r="EDY55" s="223"/>
      <c r="EDZ55" s="223"/>
      <c r="EEI55" s="223"/>
      <c r="EEJ55" s="223"/>
      <c r="EES55" s="223"/>
      <c r="EET55" s="223"/>
      <c r="EFC55" s="223"/>
      <c r="EFD55" s="223"/>
      <c r="EFM55" s="223"/>
      <c r="EFN55" s="223"/>
      <c r="EFW55" s="223"/>
      <c r="EFX55" s="223"/>
      <c r="EGG55" s="223"/>
      <c r="EGH55" s="223"/>
      <c r="EGQ55" s="223"/>
      <c r="EGR55" s="223"/>
      <c r="EHA55" s="223"/>
      <c r="EHB55" s="223"/>
      <c r="EHK55" s="223"/>
      <c r="EHL55" s="223"/>
      <c r="EHU55" s="223"/>
      <c r="EHV55" s="223"/>
      <c r="EIE55" s="223"/>
      <c r="EIF55" s="223"/>
      <c r="EIO55" s="223"/>
      <c r="EIP55" s="223"/>
      <c r="EIY55" s="223"/>
      <c r="EIZ55" s="223"/>
      <c r="EJI55" s="223"/>
      <c r="EJJ55" s="223"/>
      <c r="EJS55" s="223"/>
      <c r="EJT55" s="223"/>
      <c r="EKC55" s="223"/>
      <c r="EKD55" s="223"/>
      <c r="EKM55" s="223"/>
      <c r="EKN55" s="223"/>
      <c r="EKW55" s="223"/>
      <c r="EKX55" s="223"/>
      <c r="ELG55" s="223"/>
      <c r="ELH55" s="223"/>
      <c r="ELQ55" s="223"/>
      <c r="ELR55" s="223"/>
      <c r="EMA55" s="223"/>
      <c r="EMB55" s="223"/>
      <c r="EMK55" s="223"/>
      <c r="EML55" s="223"/>
      <c r="EMU55" s="223"/>
      <c r="EMV55" s="223"/>
      <c r="ENE55" s="223"/>
      <c r="ENF55" s="223"/>
      <c r="ENO55" s="223"/>
      <c r="ENP55" s="223"/>
      <c r="ENY55" s="223"/>
      <c r="ENZ55" s="223"/>
      <c r="EOI55" s="223"/>
      <c r="EOJ55" s="223"/>
      <c r="EOS55" s="223"/>
      <c r="EOT55" s="223"/>
      <c r="EPC55" s="223"/>
      <c r="EPD55" s="223"/>
      <c r="EPM55" s="223"/>
      <c r="EPN55" s="223"/>
      <c r="EPW55" s="223"/>
      <c r="EPX55" s="223"/>
      <c r="EQG55" s="223"/>
      <c r="EQH55" s="223"/>
      <c r="EQQ55" s="223"/>
      <c r="EQR55" s="223"/>
      <c r="ERA55" s="223"/>
      <c r="ERB55" s="223"/>
      <c r="ERK55" s="223"/>
      <c r="ERL55" s="223"/>
      <c r="ERU55" s="223"/>
      <c r="ERV55" s="223"/>
      <c r="ESE55" s="223"/>
      <c r="ESF55" s="223"/>
      <c r="ESO55" s="223"/>
      <c r="ESP55" s="223"/>
      <c r="ESY55" s="223"/>
      <c r="ESZ55" s="223"/>
      <c r="ETI55" s="223"/>
      <c r="ETJ55" s="223"/>
      <c r="ETS55" s="223"/>
      <c r="ETT55" s="223"/>
      <c r="EUC55" s="223"/>
      <c r="EUD55" s="223"/>
      <c r="EUM55" s="223"/>
      <c r="EUN55" s="223"/>
      <c r="EUW55" s="223"/>
      <c r="EUX55" s="223"/>
      <c r="EVG55" s="223"/>
      <c r="EVH55" s="223"/>
      <c r="EVQ55" s="223"/>
      <c r="EVR55" s="223"/>
      <c r="EWA55" s="223"/>
      <c r="EWB55" s="223"/>
      <c r="EWK55" s="223"/>
      <c r="EWL55" s="223"/>
      <c r="EWU55" s="223"/>
      <c r="EWV55" s="223"/>
      <c r="EXE55" s="223"/>
      <c r="EXF55" s="223"/>
      <c r="EXO55" s="223"/>
      <c r="EXP55" s="223"/>
      <c r="EXY55" s="223"/>
      <c r="EXZ55" s="223"/>
      <c r="EYI55" s="223"/>
      <c r="EYJ55" s="223"/>
      <c r="EYS55" s="223"/>
      <c r="EYT55" s="223"/>
      <c r="EZC55" s="223"/>
      <c r="EZD55" s="223"/>
      <c r="EZM55" s="223"/>
      <c r="EZN55" s="223"/>
      <c r="EZW55" s="223"/>
      <c r="EZX55" s="223"/>
      <c r="FAG55" s="223"/>
      <c r="FAH55" s="223"/>
      <c r="FAQ55" s="223"/>
      <c r="FAR55" s="223"/>
      <c r="FBA55" s="223"/>
      <c r="FBB55" s="223"/>
      <c r="FBK55" s="223"/>
      <c r="FBL55" s="223"/>
      <c r="FBU55" s="223"/>
      <c r="FBV55" s="223"/>
      <c r="FCE55" s="223"/>
      <c r="FCF55" s="223"/>
      <c r="FCO55" s="223"/>
      <c r="FCP55" s="223"/>
      <c r="FCY55" s="223"/>
      <c r="FCZ55" s="223"/>
      <c r="FDI55" s="223"/>
      <c r="FDJ55" s="223"/>
      <c r="FDS55" s="223"/>
      <c r="FDT55" s="223"/>
      <c r="FEC55" s="223"/>
      <c r="FED55" s="223"/>
      <c r="FEM55" s="223"/>
      <c r="FEN55" s="223"/>
      <c r="FEW55" s="223"/>
      <c r="FEX55" s="223"/>
      <c r="FFG55" s="223"/>
      <c r="FFH55" s="223"/>
      <c r="FFQ55" s="223"/>
      <c r="FFR55" s="223"/>
      <c r="FGA55" s="223"/>
      <c r="FGB55" s="223"/>
      <c r="FGK55" s="223"/>
      <c r="FGL55" s="223"/>
      <c r="FGU55" s="223"/>
      <c r="FGV55" s="223"/>
      <c r="FHE55" s="223"/>
      <c r="FHF55" s="223"/>
      <c r="FHO55" s="223"/>
      <c r="FHP55" s="223"/>
      <c r="FHY55" s="223"/>
      <c r="FHZ55" s="223"/>
      <c r="FII55" s="223"/>
      <c r="FIJ55" s="223"/>
      <c r="FIS55" s="223"/>
      <c r="FIT55" s="223"/>
      <c r="FJC55" s="223"/>
      <c r="FJD55" s="223"/>
      <c r="FJM55" s="223"/>
      <c r="FJN55" s="223"/>
      <c r="FJW55" s="223"/>
      <c r="FJX55" s="223"/>
      <c r="FKG55" s="223"/>
      <c r="FKH55" s="223"/>
      <c r="FKQ55" s="223"/>
      <c r="FKR55" s="223"/>
      <c r="FLA55" s="223"/>
      <c r="FLB55" s="223"/>
      <c r="FLK55" s="223"/>
      <c r="FLL55" s="223"/>
      <c r="FLU55" s="223"/>
      <c r="FLV55" s="223"/>
      <c r="FME55" s="223"/>
      <c r="FMF55" s="223"/>
      <c r="FMO55" s="223"/>
      <c r="FMP55" s="223"/>
      <c r="FMY55" s="223"/>
      <c r="FMZ55" s="223"/>
      <c r="FNI55" s="223"/>
      <c r="FNJ55" s="223"/>
      <c r="FNS55" s="223"/>
      <c r="FNT55" s="223"/>
      <c r="FOC55" s="223"/>
      <c r="FOD55" s="223"/>
      <c r="FOM55" s="223"/>
      <c r="FON55" s="223"/>
      <c r="FOW55" s="223"/>
      <c r="FOX55" s="223"/>
      <c r="FPG55" s="223"/>
      <c r="FPH55" s="223"/>
      <c r="FPQ55" s="223"/>
      <c r="FPR55" s="223"/>
      <c r="FQA55" s="223"/>
      <c r="FQB55" s="223"/>
      <c r="FQK55" s="223"/>
      <c r="FQL55" s="223"/>
      <c r="FQU55" s="223"/>
      <c r="FQV55" s="223"/>
      <c r="FRE55" s="223"/>
      <c r="FRF55" s="223"/>
      <c r="FRO55" s="223"/>
      <c r="FRP55" s="223"/>
      <c r="FRY55" s="223"/>
      <c r="FRZ55" s="223"/>
      <c r="FSI55" s="223"/>
      <c r="FSJ55" s="223"/>
      <c r="FSS55" s="223"/>
      <c r="FST55" s="223"/>
      <c r="FTC55" s="223"/>
      <c r="FTD55" s="223"/>
      <c r="FTM55" s="223"/>
      <c r="FTN55" s="223"/>
      <c r="FTW55" s="223"/>
      <c r="FTX55" s="223"/>
      <c r="FUG55" s="223"/>
      <c r="FUH55" s="223"/>
      <c r="FUQ55" s="223"/>
      <c r="FUR55" s="223"/>
      <c r="FVA55" s="223"/>
      <c r="FVB55" s="223"/>
      <c r="FVK55" s="223"/>
      <c r="FVL55" s="223"/>
      <c r="FVU55" s="223"/>
      <c r="FVV55" s="223"/>
      <c r="FWE55" s="223"/>
      <c r="FWF55" s="223"/>
      <c r="FWO55" s="223"/>
      <c r="FWP55" s="223"/>
      <c r="FWY55" s="223"/>
      <c r="FWZ55" s="223"/>
      <c r="FXI55" s="223"/>
      <c r="FXJ55" s="223"/>
      <c r="FXS55" s="223"/>
      <c r="FXT55" s="223"/>
      <c r="FYC55" s="223"/>
      <c r="FYD55" s="223"/>
      <c r="FYM55" s="223"/>
      <c r="FYN55" s="223"/>
      <c r="FYW55" s="223"/>
      <c r="FYX55" s="223"/>
      <c r="FZG55" s="223"/>
      <c r="FZH55" s="223"/>
      <c r="FZQ55" s="223"/>
      <c r="FZR55" s="223"/>
      <c r="GAA55" s="223"/>
      <c r="GAB55" s="223"/>
      <c r="GAK55" s="223"/>
      <c r="GAL55" s="223"/>
      <c r="GAU55" s="223"/>
      <c r="GAV55" s="223"/>
      <c r="GBE55" s="223"/>
      <c r="GBF55" s="223"/>
      <c r="GBO55" s="223"/>
      <c r="GBP55" s="223"/>
      <c r="GBY55" s="223"/>
      <c r="GBZ55" s="223"/>
      <c r="GCI55" s="223"/>
      <c r="GCJ55" s="223"/>
      <c r="GCS55" s="223"/>
      <c r="GCT55" s="223"/>
      <c r="GDC55" s="223"/>
      <c r="GDD55" s="223"/>
      <c r="GDM55" s="223"/>
      <c r="GDN55" s="223"/>
      <c r="GDW55" s="223"/>
      <c r="GDX55" s="223"/>
      <c r="GEG55" s="223"/>
      <c r="GEH55" s="223"/>
      <c r="GEQ55" s="223"/>
      <c r="GER55" s="223"/>
      <c r="GFA55" s="223"/>
      <c r="GFB55" s="223"/>
      <c r="GFK55" s="223"/>
      <c r="GFL55" s="223"/>
      <c r="GFU55" s="223"/>
      <c r="GFV55" s="223"/>
      <c r="GGE55" s="223"/>
      <c r="GGF55" s="223"/>
      <c r="GGO55" s="223"/>
      <c r="GGP55" s="223"/>
      <c r="GGY55" s="223"/>
      <c r="GGZ55" s="223"/>
      <c r="GHI55" s="223"/>
      <c r="GHJ55" s="223"/>
      <c r="GHS55" s="223"/>
      <c r="GHT55" s="223"/>
      <c r="GIC55" s="223"/>
      <c r="GID55" s="223"/>
      <c r="GIM55" s="223"/>
      <c r="GIN55" s="223"/>
      <c r="GIW55" s="223"/>
      <c r="GIX55" s="223"/>
      <c r="GJG55" s="223"/>
      <c r="GJH55" s="223"/>
      <c r="GJQ55" s="223"/>
      <c r="GJR55" s="223"/>
      <c r="GKA55" s="223"/>
      <c r="GKB55" s="223"/>
      <c r="GKK55" s="223"/>
      <c r="GKL55" s="223"/>
      <c r="GKU55" s="223"/>
      <c r="GKV55" s="223"/>
      <c r="GLE55" s="223"/>
      <c r="GLF55" s="223"/>
      <c r="GLO55" s="223"/>
      <c r="GLP55" s="223"/>
      <c r="GLY55" s="223"/>
      <c r="GLZ55" s="223"/>
      <c r="GMI55" s="223"/>
      <c r="GMJ55" s="223"/>
      <c r="GMS55" s="223"/>
      <c r="GMT55" s="223"/>
      <c r="GNC55" s="223"/>
      <c r="GND55" s="223"/>
      <c r="GNM55" s="223"/>
      <c r="GNN55" s="223"/>
      <c r="GNW55" s="223"/>
      <c r="GNX55" s="223"/>
      <c r="GOG55" s="223"/>
      <c r="GOH55" s="223"/>
      <c r="GOQ55" s="223"/>
      <c r="GOR55" s="223"/>
      <c r="GPA55" s="223"/>
      <c r="GPB55" s="223"/>
      <c r="GPK55" s="223"/>
      <c r="GPL55" s="223"/>
      <c r="GPU55" s="223"/>
      <c r="GPV55" s="223"/>
      <c r="GQE55" s="223"/>
      <c r="GQF55" s="223"/>
      <c r="GQO55" s="223"/>
      <c r="GQP55" s="223"/>
      <c r="GQY55" s="223"/>
      <c r="GQZ55" s="223"/>
      <c r="GRI55" s="223"/>
      <c r="GRJ55" s="223"/>
      <c r="GRS55" s="223"/>
      <c r="GRT55" s="223"/>
      <c r="GSC55" s="223"/>
      <c r="GSD55" s="223"/>
      <c r="GSM55" s="223"/>
      <c r="GSN55" s="223"/>
      <c r="GSW55" s="223"/>
      <c r="GSX55" s="223"/>
      <c r="GTG55" s="223"/>
      <c r="GTH55" s="223"/>
      <c r="GTQ55" s="223"/>
      <c r="GTR55" s="223"/>
      <c r="GUA55" s="223"/>
      <c r="GUB55" s="223"/>
      <c r="GUK55" s="223"/>
      <c r="GUL55" s="223"/>
      <c r="GUU55" s="223"/>
      <c r="GUV55" s="223"/>
      <c r="GVE55" s="223"/>
      <c r="GVF55" s="223"/>
      <c r="GVO55" s="223"/>
      <c r="GVP55" s="223"/>
      <c r="GVY55" s="223"/>
      <c r="GVZ55" s="223"/>
      <c r="GWI55" s="223"/>
      <c r="GWJ55" s="223"/>
      <c r="GWS55" s="223"/>
      <c r="GWT55" s="223"/>
      <c r="GXC55" s="223"/>
      <c r="GXD55" s="223"/>
      <c r="GXM55" s="223"/>
      <c r="GXN55" s="223"/>
      <c r="GXW55" s="223"/>
      <c r="GXX55" s="223"/>
      <c r="GYG55" s="223"/>
      <c r="GYH55" s="223"/>
      <c r="GYQ55" s="223"/>
      <c r="GYR55" s="223"/>
      <c r="GZA55" s="223"/>
      <c r="GZB55" s="223"/>
      <c r="GZK55" s="223"/>
      <c r="GZL55" s="223"/>
      <c r="GZU55" s="223"/>
      <c r="GZV55" s="223"/>
      <c r="HAE55" s="223"/>
      <c r="HAF55" s="223"/>
      <c r="HAO55" s="223"/>
      <c r="HAP55" s="223"/>
      <c r="HAY55" s="223"/>
      <c r="HAZ55" s="223"/>
      <c r="HBI55" s="223"/>
      <c r="HBJ55" s="223"/>
      <c r="HBS55" s="223"/>
      <c r="HBT55" s="223"/>
      <c r="HCC55" s="223"/>
      <c r="HCD55" s="223"/>
      <c r="HCM55" s="223"/>
      <c r="HCN55" s="223"/>
      <c r="HCW55" s="223"/>
      <c r="HCX55" s="223"/>
      <c r="HDG55" s="223"/>
      <c r="HDH55" s="223"/>
      <c r="HDQ55" s="223"/>
      <c r="HDR55" s="223"/>
      <c r="HEA55" s="223"/>
      <c r="HEB55" s="223"/>
      <c r="HEK55" s="223"/>
      <c r="HEL55" s="223"/>
      <c r="HEU55" s="223"/>
      <c r="HEV55" s="223"/>
      <c r="HFE55" s="223"/>
      <c r="HFF55" s="223"/>
      <c r="HFO55" s="223"/>
      <c r="HFP55" s="223"/>
      <c r="HFY55" s="223"/>
      <c r="HFZ55" s="223"/>
      <c r="HGI55" s="223"/>
      <c r="HGJ55" s="223"/>
      <c r="HGS55" s="223"/>
      <c r="HGT55" s="223"/>
      <c r="HHC55" s="223"/>
      <c r="HHD55" s="223"/>
      <c r="HHM55" s="223"/>
      <c r="HHN55" s="223"/>
      <c r="HHW55" s="223"/>
      <c r="HHX55" s="223"/>
      <c r="HIG55" s="223"/>
      <c r="HIH55" s="223"/>
      <c r="HIQ55" s="223"/>
      <c r="HIR55" s="223"/>
      <c r="HJA55" s="223"/>
      <c r="HJB55" s="223"/>
      <c r="HJK55" s="223"/>
      <c r="HJL55" s="223"/>
      <c r="HJU55" s="223"/>
      <c r="HJV55" s="223"/>
      <c r="HKE55" s="223"/>
      <c r="HKF55" s="223"/>
      <c r="HKO55" s="223"/>
      <c r="HKP55" s="223"/>
      <c r="HKY55" s="223"/>
      <c r="HKZ55" s="223"/>
      <c r="HLI55" s="223"/>
      <c r="HLJ55" s="223"/>
      <c r="HLS55" s="223"/>
      <c r="HLT55" s="223"/>
      <c r="HMC55" s="223"/>
      <c r="HMD55" s="223"/>
      <c r="HMM55" s="223"/>
      <c r="HMN55" s="223"/>
      <c r="HMW55" s="223"/>
      <c r="HMX55" s="223"/>
      <c r="HNG55" s="223"/>
      <c r="HNH55" s="223"/>
      <c r="HNQ55" s="223"/>
      <c r="HNR55" s="223"/>
      <c r="HOA55" s="223"/>
      <c r="HOB55" s="223"/>
      <c r="HOK55" s="223"/>
      <c r="HOL55" s="223"/>
      <c r="HOU55" s="223"/>
      <c r="HOV55" s="223"/>
      <c r="HPE55" s="223"/>
      <c r="HPF55" s="223"/>
      <c r="HPO55" s="223"/>
      <c r="HPP55" s="223"/>
      <c r="HPY55" s="223"/>
      <c r="HPZ55" s="223"/>
      <c r="HQI55" s="223"/>
      <c r="HQJ55" s="223"/>
      <c r="HQS55" s="223"/>
      <c r="HQT55" s="223"/>
      <c r="HRC55" s="223"/>
      <c r="HRD55" s="223"/>
      <c r="HRM55" s="223"/>
      <c r="HRN55" s="223"/>
      <c r="HRW55" s="223"/>
      <c r="HRX55" s="223"/>
      <c r="HSG55" s="223"/>
      <c r="HSH55" s="223"/>
      <c r="HSQ55" s="223"/>
      <c r="HSR55" s="223"/>
      <c r="HTA55" s="223"/>
      <c r="HTB55" s="223"/>
      <c r="HTK55" s="223"/>
      <c r="HTL55" s="223"/>
      <c r="HTU55" s="223"/>
      <c r="HTV55" s="223"/>
      <c r="HUE55" s="223"/>
      <c r="HUF55" s="223"/>
      <c r="HUO55" s="223"/>
      <c r="HUP55" s="223"/>
      <c r="HUY55" s="223"/>
      <c r="HUZ55" s="223"/>
      <c r="HVI55" s="223"/>
      <c r="HVJ55" s="223"/>
      <c r="HVS55" s="223"/>
      <c r="HVT55" s="223"/>
      <c r="HWC55" s="223"/>
      <c r="HWD55" s="223"/>
      <c r="HWM55" s="223"/>
      <c r="HWN55" s="223"/>
      <c r="HWW55" s="223"/>
      <c r="HWX55" s="223"/>
      <c r="HXG55" s="223"/>
      <c r="HXH55" s="223"/>
      <c r="HXQ55" s="223"/>
      <c r="HXR55" s="223"/>
      <c r="HYA55" s="223"/>
      <c r="HYB55" s="223"/>
      <c r="HYK55" s="223"/>
      <c r="HYL55" s="223"/>
      <c r="HYU55" s="223"/>
      <c r="HYV55" s="223"/>
      <c r="HZE55" s="223"/>
      <c r="HZF55" s="223"/>
      <c r="HZO55" s="223"/>
      <c r="HZP55" s="223"/>
      <c r="HZY55" s="223"/>
      <c r="HZZ55" s="223"/>
      <c r="IAI55" s="223"/>
      <c r="IAJ55" s="223"/>
      <c r="IAS55" s="223"/>
      <c r="IAT55" s="223"/>
      <c r="IBC55" s="223"/>
      <c r="IBD55" s="223"/>
      <c r="IBM55" s="223"/>
      <c r="IBN55" s="223"/>
      <c r="IBW55" s="223"/>
      <c r="IBX55" s="223"/>
      <c r="ICG55" s="223"/>
      <c r="ICH55" s="223"/>
      <c r="ICQ55" s="223"/>
      <c r="ICR55" s="223"/>
      <c r="IDA55" s="223"/>
      <c r="IDB55" s="223"/>
      <c r="IDK55" s="223"/>
      <c r="IDL55" s="223"/>
      <c r="IDU55" s="223"/>
      <c r="IDV55" s="223"/>
      <c r="IEE55" s="223"/>
      <c r="IEF55" s="223"/>
      <c r="IEO55" s="223"/>
      <c r="IEP55" s="223"/>
      <c r="IEY55" s="223"/>
      <c r="IEZ55" s="223"/>
      <c r="IFI55" s="223"/>
      <c r="IFJ55" s="223"/>
      <c r="IFS55" s="223"/>
      <c r="IFT55" s="223"/>
      <c r="IGC55" s="223"/>
      <c r="IGD55" s="223"/>
      <c r="IGM55" s="223"/>
      <c r="IGN55" s="223"/>
      <c r="IGW55" s="223"/>
      <c r="IGX55" s="223"/>
      <c r="IHG55" s="223"/>
      <c r="IHH55" s="223"/>
      <c r="IHQ55" s="223"/>
      <c r="IHR55" s="223"/>
      <c r="IIA55" s="223"/>
      <c r="IIB55" s="223"/>
      <c r="IIK55" s="223"/>
      <c r="IIL55" s="223"/>
      <c r="IIU55" s="223"/>
      <c r="IIV55" s="223"/>
      <c r="IJE55" s="223"/>
      <c r="IJF55" s="223"/>
      <c r="IJO55" s="223"/>
      <c r="IJP55" s="223"/>
      <c r="IJY55" s="223"/>
      <c r="IJZ55" s="223"/>
      <c r="IKI55" s="223"/>
      <c r="IKJ55" s="223"/>
      <c r="IKS55" s="223"/>
      <c r="IKT55" s="223"/>
      <c r="ILC55" s="223"/>
      <c r="ILD55" s="223"/>
      <c r="ILM55" s="223"/>
      <c r="ILN55" s="223"/>
      <c r="ILW55" s="223"/>
      <c r="ILX55" s="223"/>
      <c r="IMG55" s="223"/>
      <c r="IMH55" s="223"/>
      <c r="IMQ55" s="223"/>
      <c r="IMR55" s="223"/>
      <c r="INA55" s="223"/>
      <c r="INB55" s="223"/>
      <c r="INK55" s="223"/>
      <c r="INL55" s="223"/>
      <c r="INU55" s="223"/>
      <c r="INV55" s="223"/>
      <c r="IOE55" s="223"/>
      <c r="IOF55" s="223"/>
      <c r="IOO55" s="223"/>
      <c r="IOP55" s="223"/>
      <c r="IOY55" s="223"/>
      <c r="IOZ55" s="223"/>
      <c r="IPI55" s="223"/>
      <c r="IPJ55" s="223"/>
      <c r="IPS55" s="223"/>
      <c r="IPT55" s="223"/>
      <c r="IQC55" s="223"/>
      <c r="IQD55" s="223"/>
      <c r="IQM55" s="223"/>
      <c r="IQN55" s="223"/>
      <c r="IQW55" s="223"/>
      <c r="IQX55" s="223"/>
      <c r="IRG55" s="223"/>
      <c r="IRH55" s="223"/>
      <c r="IRQ55" s="223"/>
      <c r="IRR55" s="223"/>
      <c r="ISA55" s="223"/>
      <c r="ISB55" s="223"/>
      <c r="ISK55" s="223"/>
      <c r="ISL55" s="223"/>
      <c r="ISU55" s="223"/>
      <c r="ISV55" s="223"/>
      <c r="ITE55" s="223"/>
      <c r="ITF55" s="223"/>
      <c r="ITO55" s="223"/>
      <c r="ITP55" s="223"/>
      <c r="ITY55" s="223"/>
      <c r="ITZ55" s="223"/>
      <c r="IUI55" s="223"/>
      <c r="IUJ55" s="223"/>
      <c r="IUS55" s="223"/>
      <c r="IUT55" s="223"/>
      <c r="IVC55" s="223"/>
      <c r="IVD55" s="223"/>
      <c r="IVM55" s="223"/>
      <c r="IVN55" s="223"/>
      <c r="IVW55" s="223"/>
      <c r="IVX55" s="223"/>
      <c r="IWG55" s="223"/>
      <c r="IWH55" s="223"/>
      <c r="IWQ55" s="223"/>
      <c r="IWR55" s="223"/>
      <c r="IXA55" s="223"/>
      <c r="IXB55" s="223"/>
      <c r="IXK55" s="223"/>
      <c r="IXL55" s="223"/>
      <c r="IXU55" s="223"/>
      <c r="IXV55" s="223"/>
      <c r="IYE55" s="223"/>
      <c r="IYF55" s="223"/>
      <c r="IYO55" s="223"/>
      <c r="IYP55" s="223"/>
      <c r="IYY55" s="223"/>
      <c r="IYZ55" s="223"/>
      <c r="IZI55" s="223"/>
      <c r="IZJ55" s="223"/>
      <c r="IZS55" s="223"/>
      <c r="IZT55" s="223"/>
      <c r="JAC55" s="223"/>
      <c r="JAD55" s="223"/>
      <c r="JAM55" s="223"/>
      <c r="JAN55" s="223"/>
      <c r="JAW55" s="223"/>
      <c r="JAX55" s="223"/>
      <c r="JBG55" s="223"/>
      <c r="JBH55" s="223"/>
      <c r="JBQ55" s="223"/>
      <c r="JBR55" s="223"/>
      <c r="JCA55" s="223"/>
      <c r="JCB55" s="223"/>
      <c r="JCK55" s="223"/>
      <c r="JCL55" s="223"/>
      <c r="JCU55" s="223"/>
      <c r="JCV55" s="223"/>
      <c r="JDE55" s="223"/>
      <c r="JDF55" s="223"/>
      <c r="JDO55" s="223"/>
      <c r="JDP55" s="223"/>
      <c r="JDY55" s="223"/>
      <c r="JDZ55" s="223"/>
      <c r="JEI55" s="223"/>
      <c r="JEJ55" s="223"/>
      <c r="JES55" s="223"/>
      <c r="JET55" s="223"/>
      <c r="JFC55" s="223"/>
      <c r="JFD55" s="223"/>
      <c r="JFM55" s="223"/>
      <c r="JFN55" s="223"/>
      <c r="JFW55" s="223"/>
      <c r="JFX55" s="223"/>
      <c r="JGG55" s="223"/>
      <c r="JGH55" s="223"/>
      <c r="JGQ55" s="223"/>
      <c r="JGR55" s="223"/>
      <c r="JHA55" s="223"/>
      <c r="JHB55" s="223"/>
      <c r="JHK55" s="223"/>
      <c r="JHL55" s="223"/>
      <c r="JHU55" s="223"/>
      <c r="JHV55" s="223"/>
      <c r="JIE55" s="223"/>
      <c r="JIF55" s="223"/>
      <c r="JIO55" s="223"/>
      <c r="JIP55" s="223"/>
      <c r="JIY55" s="223"/>
      <c r="JIZ55" s="223"/>
      <c r="JJI55" s="223"/>
      <c r="JJJ55" s="223"/>
      <c r="JJS55" s="223"/>
      <c r="JJT55" s="223"/>
      <c r="JKC55" s="223"/>
      <c r="JKD55" s="223"/>
      <c r="JKM55" s="223"/>
      <c r="JKN55" s="223"/>
      <c r="JKW55" s="223"/>
      <c r="JKX55" s="223"/>
      <c r="JLG55" s="223"/>
      <c r="JLH55" s="223"/>
      <c r="JLQ55" s="223"/>
      <c r="JLR55" s="223"/>
      <c r="JMA55" s="223"/>
      <c r="JMB55" s="223"/>
      <c r="JMK55" s="223"/>
      <c r="JML55" s="223"/>
      <c r="JMU55" s="223"/>
      <c r="JMV55" s="223"/>
      <c r="JNE55" s="223"/>
      <c r="JNF55" s="223"/>
      <c r="JNO55" s="223"/>
      <c r="JNP55" s="223"/>
      <c r="JNY55" s="223"/>
      <c r="JNZ55" s="223"/>
      <c r="JOI55" s="223"/>
      <c r="JOJ55" s="223"/>
      <c r="JOS55" s="223"/>
      <c r="JOT55" s="223"/>
      <c r="JPC55" s="223"/>
      <c r="JPD55" s="223"/>
      <c r="JPM55" s="223"/>
      <c r="JPN55" s="223"/>
      <c r="JPW55" s="223"/>
      <c r="JPX55" s="223"/>
      <c r="JQG55" s="223"/>
      <c r="JQH55" s="223"/>
      <c r="JQQ55" s="223"/>
      <c r="JQR55" s="223"/>
      <c r="JRA55" s="223"/>
      <c r="JRB55" s="223"/>
      <c r="JRK55" s="223"/>
      <c r="JRL55" s="223"/>
      <c r="JRU55" s="223"/>
      <c r="JRV55" s="223"/>
      <c r="JSE55" s="223"/>
      <c r="JSF55" s="223"/>
      <c r="JSO55" s="223"/>
      <c r="JSP55" s="223"/>
      <c r="JSY55" s="223"/>
      <c r="JSZ55" s="223"/>
      <c r="JTI55" s="223"/>
      <c r="JTJ55" s="223"/>
      <c r="JTS55" s="223"/>
      <c r="JTT55" s="223"/>
      <c r="JUC55" s="223"/>
      <c r="JUD55" s="223"/>
      <c r="JUM55" s="223"/>
      <c r="JUN55" s="223"/>
      <c r="JUW55" s="223"/>
      <c r="JUX55" s="223"/>
      <c r="JVG55" s="223"/>
      <c r="JVH55" s="223"/>
      <c r="JVQ55" s="223"/>
      <c r="JVR55" s="223"/>
      <c r="JWA55" s="223"/>
      <c r="JWB55" s="223"/>
      <c r="JWK55" s="223"/>
      <c r="JWL55" s="223"/>
      <c r="JWU55" s="223"/>
      <c r="JWV55" s="223"/>
      <c r="JXE55" s="223"/>
      <c r="JXF55" s="223"/>
      <c r="JXO55" s="223"/>
      <c r="JXP55" s="223"/>
      <c r="JXY55" s="223"/>
      <c r="JXZ55" s="223"/>
      <c r="JYI55" s="223"/>
      <c r="JYJ55" s="223"/>
      <c r="JYS55" s="223"/>
      <c r="JYT55" s="223"/>
      <c r="JZC55" s="223"/>
      <c r="JZD55" s="223"/>
      <c r="JZM55" s="223"/>
      <c r="JZN55" s="223"/>
      <c r="JZW55" s="223"/>
      <c r="JZX55" s="223"/>
      <c r="KAG55" s="223"/>
      <c r="KAH55" s="223"/>
      <c r="KAQ55" s="223"/>
      <c r="KAR55" s="223"/>
      <c r="KBA55" s="223"/>
      <c r="KBB55" s="223"/>
      <c r="KBK55" s="223"/>
      <c r="KBL55" s="223"/>
      <c r="KBU55" s="223"/>
      <c r="KBV55" s="223"/>
      <c r="KCE55" s="223"/>
      <c r="KCF55" s="223"/>
      <c r="KCO55" s="223"/>
      <c r="KCP55" s="223"/>
      <c r="KCY55" s="223"/>
      <c r="KCZ55" s="223"/>
      <c r="KDI55" s="223"/>
      <c r="KDJ55" s="223"/>
      <c r="KDS55" s="223"/>
      <c r="KDT55" s="223"/>
      <c r="KEC55" s="223"/>
      <c r="KED55" s="223"/>
      <c r="KEM55" s="223"/>
      <c r="KEN55" s="223"/>
      <c r="KEW55" s="223"/>
      <c r="KEX55" s="223"/>
      <c r="KFG55" s="223"/>
      <c r="KFH55" s="223"/>
      <c r="KFQ55" s="223"/>
      <c r="KFR55" s="223"/>
      <c r="KGA55" s="223"/>
      <c r="KGB55" s="223"/>
      <c r="KGK55" s="223"/>
      <c r="KGL55" s="223"/>
      <c r="KGU55" s="223"/>
      <c r="KGV55" s="223"/>
      <c r="KHE55" s="223"/>
      <c r="KHF55" s="223"/>
      <c r="KHO55" s="223"/>
      <c r="KHP55" s="223"/>
      <c r="KHY55" s="223"/>
      <c r="KHZ55" s="223"/>
      <c r="KII55" s="223"/>
      <c r="KIJ55" s="223"/>
      <c r="KIS55" s="223"/>
      <c r="KIT55" s="223"/>
      <c r="KJC55" s="223"/>
      <c r="KJD55" s="223"/>
      <c r="KJM55" s="223"/>
      <c r="KJN55" s="223"/>
      <c r="KJW55" s="223"/>
      <c r="KJX55" s="223"/>
      <c r="KKG55" s="223"/>
      <c r="KKH55" s="223"/>
      <c r="KKQ55" s="223"/>
      <c r="KKR55" s="223"/>
      <c r="KLA55" s="223"/>
      <c r="KLB55" s="223"/>
      <c r="KLK55" s="223"/>
      <c r="KLL55" s="223"/>
      <c r="KLU55" s="223"/>
      <c r="KLV55" s="223"/>
      <c r="KME55" s="223"/>
      <c r="KMF55" s="223"/>
      <c r="KMO55" s="223"/>
      <c r="KMP55" s="223"/>
      <c r="KMY55" s="223"/>
      <c r="KMZ55" s="223"/>
      <c r="KNI55" s="223"/>
      <c r="KNJ55" s="223"/>
      <c r="KNS55" s="223"/>
      <c r="KNT55" s="223"/>
      <c r="KOC55" s="223"/>
      <c r="KOD55" s="223"/>
      <c r="KOM55" s="223"/>
      <c r="KON55" s="223"/>
      <c r="KOW55" s="223"/>
      <c r="KOX55" s="223"/>
      <c r="KPG55" s="223"/>
      <c r="KPH55" s="223"/>
      <c r="KPQ55" s="223"/>
      <c r="KPR55" s="223"/>
      <c r="KQA55" s="223"/>
      <c r="KQB55" s="223"/>
      <c r="KQK55" s="223"/>
      <c r="KQL55" s="223"/>
      <c r="KQU55" s="223"/>
      <c r="KQV55" s="223"/>
      <c r="KRE55" s="223"/>
      <c r="KRF55" s="223"/>
      <c r="KRO55" s="223"/>
      <c r="KRP55" s="223"/>
      <c r="KRY55" s="223"/>
      <c r="KRZ55" s="223"/>
      <c r="KSI55" s="223"/>
      <c r="KSJ55" s="223"/>
      <c r="KSS55" s="223"/>
      <c r="KST55" s="223"/>
      <c r="KTC55" s="223"/>
      <c r="KTD55" s="223"/>
      <c r="KTM55" s="223"/>
      <c r="KTN55" s="223"/>
      <c r="KTW55" s="223"/>
      <c r="KTX55" s="223"/>
      <c r="KUG55" s="223"/>
      <c r="KUH55" s="223"/>
      <c r="KUQ55" s="223"/>
      <c r="KUR55" s="223"/>
      <c r="KVA55" s="223"/>
      <c r="KVB55" s="223"/>
      <c r="KVK55" s="223"/>
      <c r="KVL55" s="223"/>
      <c r="KVU55" s="223"/>
      <c r="KVV55" s="223"/>
      <c r="KWE55" s="223"/>
      <c r="KWF55" s="223"/>
      <c r="KWO55" s="223"/>
      <c r="KWP55" s="223"/>
      <c r="KWY55" s="223"/>
      <c r="KWZ55" s="223"/>
      <c r="KXI55" s="223"/>
      <c r="KXJ55" s="223"/>
      <c r="KXS55" s="223"/>
      <c r="KXT55" s="223"/>
      <c r="KYC55" s="223"/>
      <c r="KYD55" s="223"/>
      <c r="KYM55" s="223"/>
      <c r="KYN55" s="223"/>
      <c r="KYW55" s="223"/>
      <c r="KYX55" s="223"/>
      <c r="KZG55" s="223"/>
      <c r="KZH55" s="223"/>
      <c r="KZQ55" s="223"/>
      <c r="KZR55" s="223"/>
      <c r="LAA55" s="223"/>
      <c r="LAB55" s="223"/>
      <c r="LAK55" s="223"/>
      <c r="LAL55" s="223"/>
      <c r="LAU55" s="223"/>
      <c r="LAV55" s="223"/>
      <c r="LBE55" s="223"/>
      <c r="LBF55" s="223"/>
      <c r="LBO55" s="223"/>
      <c r="LBP55" s="223"/>
      <c r="LBY55" s="223"/>
      <c r="LBZ55" s="223"/>
      <c r="LCI55" s="223"/>
      <c r="LCJ55" s="223"/>
      <c r="LCS55" s="223"/>
      <c r="LCT55" s="223"/>
      <c r="LDC55" s="223"/>
      <c r="LDD55" s="223"/>
      <c r="LDM55" s="223"/>
      <c r="LDN55" s="223"/>
      <c r="LDW55" s="223"/>
      <c r="LDX55" s="223"/>
      <c r="LEG55" s="223"/>
      <c r="LEH55" s="223"/>
      <c r="LEQ55" s="223"/>
      <c r="LER55" s="223"/>
      <c r="LFA55" s="223"/>
      <c r="LFB55" s="223"/>
      <c r="LFK55" s="223"/>
      <c r="LFL55" s="223"/>
      <c r="LFU55" s="223"/>
      <c r="LFV55" s="223"/>
      <c r="LGE55" s="223"/>
      <c r="LGF55" s="223"/>
      <c r="LGO55" s="223"/>
      <c r="LGP55" s="223"/>
      <c r="LGY55" s="223"/>
      <c r="LGZ55" s="223"/>
      <c r="LHI55" s="223"/>
      <c r="LHJ55" s="223"/>
      <c r="LHS55" s="223"/>
      <c r="LHT55" s="223"/>
      <c r="LIC55" s="223"/>
      <c r="LID55" s="223"/>
      <c r="LIM55" s="223"/>
      <c r="LIN55" s="223"/>
      <c r="LIW55" s="223"/>
      <c r="LIX55" s="223"/>
      <c r="LJG55" s="223"/>
      <c r="LJH55" s="223"/>
      <c r="LJQ55" s="223"/>
      <c r="LJR55" s="223"/>
      <c r="LKA55" s="223"/>
      <c r="LKB55" s="223"/>
      <c r="LKK55" s="223"/>
      <c r="LKL55" s="223"/>
      <c r="LKU55" s="223"/>
      <c r="LKV55" s="223"/>
      <c r="LLE55" s="223"/>
      <c r="LLF55" s="223"/>
      <c r="LLO55" s="223"/>
      <c r="LLP55" s="223"/>
      <c r="LLY55" s="223"/>
      <c r="LLZ55" s="223"/>
      <c r="LMI55" s="223"/>
      <c r="LMJ55" s="223"/>
      <c r="LMS55" s="223"/>
      <c r="LMT55" s="223"/>
      <c r="LNC55" s="223"/>
      <c r="LND55" s="223"/>
      <c r="LNM55" s="223"/>
      <c r="LNN55" s="223"/>
      <c r="LNW55" s="223"/>
      <c r="LNX55" s="223"/>
      <c r="LOG55" s="223"/>
      <c r="LOH55" s="223"/>
      <c r="LOQ55" s="223"/>
      <c r="LOR55" s="223"/>
      <c r="LPA55" s="223"/>
      <c r="LPB55" s="223"/>
      <c r="LPK55" s="223"/>
      <c r="LPL55" s="223"/>
      <c r="LPU55" s="223"/>
      <c r="LPV55" s="223"/>
      <c r="LQE55" s="223"/>
      <c r="LQF55" s="223"/>
      <c r="LQO55" s="223"/>
      <c r="LQP55" s="223"/>
      <c r="LQY55" s="223"/>
      <c r="LQZ55" s="223"/>
      <c r="LRI55" s="223"/>
      <c r="LRJ55" s="223"/>
      <c r="LRS55" s="223"/>
      <c r="LRT55" s="223"/>
      <c r="LSC55" s="223"/>
      <c r="LSD55" s="223"/>
      <c r="LSM55" s="223"/>
      <c r="LSN55" s="223"/>
      <c r="LSW55" s="223"/>
      <c r="LSX55" s="223"/>
      <c r="LTG55" s="223"/>
      <c r="LTH55" s="223"/>
      <c r="LTQ55" s="223"/>
      <c r="LTR55" s="223"/>
      <c r="LUA55" s="223"/>
      <c r="LUB55" s="223"/>
      <c r="LUK55" s="223"/>
      <c r="LUL55" s="223"/>
      <c r="LUU55" s="223"/>
      <c r="LUV55" s="223"/>
      <c r="LVE55" s="223"/>
      <c r="LVF55" s="223"/>
      <c r="LVO55" s="223"/>
      <c r="LVP55" s="223"/>
      <c r="LVY55" s="223"/>
      <c r="LVZ55" s="223"/>
      <c r="LWI55" s="223"/>
      <c r="LWJ55" s="223"/>
      <c r="LWS55" s="223"/>
      <c r="LWT55" s="223"/>
      <c r="LXC55" s="223"/>
      <c r="LXD55" s="223"/>
      <c r="LXM55" s="223"/>
      <c r="LXN55" s="223"/>
      <c r="LXW55" s="223"/>
      <c r="LXX55" s="223"/>
      <c r="LYG55" s="223"/>
      <c r="LYH55" s="223"/>
      <c r="LYQ55" s="223"/>
      <c r="LYR55" s="223"/>
      <c r="LZA55" s="223"/>
      <c r="LZB55" s="223"/>
      <c r="LZK55" s="223"/>
      <c r="LZL55" s="223"/>
      <c r="LZU55" s="223"/>
      <c r="LZV55" s="223"/>
      <c r="MAE55" s="223"/>
      <c r="MAF55" s="223"/>
      <c r="MAO55" s="223"/>
      <c r="MAP55" s="223"/>
      <c r="MAY55" s="223"/>
      <c r="MAZ55" s="223"/>
      <c r="MBI55" s="223"/>
      <c r="MBJ55" s="223"/>
      <c r="MBS55" s="223"/>
      <c r="MBT55" s="223"/>
      <c r="MCC55" s="223"/>
      <c r="MCD55" s="223"/>
      <c r="MCM55" s="223"/>
      <c r="MCN55" s="223"/>
      <c r="MCW55" s="223"/>
      <c r="MCX55" s="223"/>
      <c r="MDG55" s="223"/>
      <c r="MDH55" s="223"/>
      <c r="MDQ55" s="223"/>
      <c r="MDR55" s="223"/>
      <c r="MEA55" s="223"/>
      <c r="MEB55" s="223"/>
      <c r="MEK55" s="223"/>
      <c r="MEL55" s="223"/>
      <c r="MEU55" s="223"/>
      <c r="MEV55" s="223"/>
      <c r="MFE55" s="223"/>
      <c r="MFF55" s="223"/>
      <c r="MFO55" s="223"/>
      <c r="MFP55" s="223"/>
      <c r="MFY55" s="223"/>
      <c r="MFZ55" s="223"/>
      <c r="MGI55" s="223"/>
      <c r="MGJ55" s="223"/>
      <c r="MGS55" s="223"/>
      <c r="MGT55" s="223"/>
      <c r="MHC55" s="223"/>
      <c r="MHD55" s="223"/>
      <c r="MHM55" s="223"/>
      <c r="MHN55" s="223"/>
      <c r="MHW55" s="223"/>
      <c r="MHX55" s="223"/>
      <c r="MIG55" s="223"/>
      <c r="MIH55" s="223"/>
      <c r="MIQ55" s="223"/>
      <c r="MIR55" s="223"/>
      <c r="MJA55" s="223"/>
      <c r="MJB55" s="223"/>
      <c r="MJK55" s="223"/>
      <c r="MJL55" s="223"/>
      <c r="MJU55" s="223"/>
      <c r="MJV55" s="223"/>
      <c r="MKE55" s="223"/>
      <c r="MKF55" s="223"/>
      <c r="MKO55" s="223"/>
      <c r="MKP55" s="223"/>
      <c r="MKY55" s="223"/>
      <c r="MKZ55" s="223"/>
      <c r="MLI55" s="223"/>
      <c r="MLJ55" s="223"/>
      <c r="MLS55" s="223"/>
      <c r="MLT55" s="223"/>
      <c r="MMC55" s="223"/>
      <c r="MMD55" s="223"/>
      <c r="MMM55" s="223"/>
      <c r="MMN55" s="223"/>
      <c r="MMW55" s="223"/>
      <c r="MMX55" s="223"/>
      <c r="MNG55" s="223"/>
      <c r="MNH55" s="223"/>
      <c r="MNQ55" s="223"/>
      <c r="MNR55" s="223"/>
      <c r="MOA55" s="223"/>
      <c r="MOB55" s="223"/>
      <c r="MOK55" s="223"/>
      <c r="MOL55" s="223"/>
      <c r="MOU55" s="223"/>
      <c r="MOV55" s="223"/>
      <c r="MPE55" s="223"/>
      <c r="MPF55" s="223"/>
      <c r="MPO55" s="223"/>
      <c r="MPP55" s="223"/>
      <c r="MPY55" s="223"/>
      <c r="MPZ55" s="223"/>
      <c r="MQI55" s="223"/>
      <c r="MQJ55" s="223"/>
      <c r="MQS55" s="223"/>
      <c r="MQT55" s="223"/>
      <c r="MRC55" s="223"/>
      <c r="MRD55" s="223"/>
      <c r="MRM55" s="223"/>
      <c r="MRN55" s="223"/>
      <c r="MRW55" s="223"/>
      <c r="MRX55" s="223"/>
      <c r="MSG55" s="223"/>
      <c r="MSH55" s="223"/>
      <c r="MSQ55" s="223"/>
      <c r="MSR55" s="223"/>
      <c r="MTA55" s="223"/>
      <c r="MTB55" s="223"/>
      <c r="MTK55" s="223"/>
      <c r="MTL55" s="223"/>
      <c r="MTU55" s="223"/>
      <c r="MTV55" s="223"/>
      <c r="MUE55" s="223"/>
      <c r="MUF55" s="223"/>
      <c r="MUO55" s="223"/>
      <c r="MUP55" s="223"/>
      <c r="MUY55" s="223"/>
      <c r="MUZ55" s="223"/>
      <c r="MVI55" s="223"/>
      <c r="MVJ55" s="223"/>
      <c r="MVS55" s="223"/>
      <c r="MVT55" s="223"/>
      <c r="MWC55" s="223"/>
      <c r="MWD55" s="223"/>
      <c r="MWM55" s="223"/>
      <c r="MWN55" s="223"/>
      <c r="MWW55" s="223"/>
      <c r="MWX55" s="223"/>
      <c r="MXG55" s="223"/>
      <c r="MXH55" s="223"/>
      <c r="MXQ55" s="223"/>
      <c r="MXR55" s="223"/>
      <c r="MYA55" s="223"/>
      <c r="MYB55" s="223"/>
      <c r="MYK55" s="223"/>
      <c r="MYL55" s="223"/>
      <c r="MYU55" s="223"/>
      <c r="MYV55" s="223"/>
      <c r="MZE55" s="223"/>
      <c r="MZF55" s="223"/>
      <c r="MZO55" s="223"/>
      <c r="MZP55" s="223"/>
      <c r="MZY55" s="223"/>
      <c r="MZZ55" s="223"/>
      <c r="NAI55" s="223"/>
      <c r="NAJ55" s="223"/>
      <c r="NAS55" s="223"/>
      <c r="NAT55" s="223"/>
      <c r="NBC55" s="223"/>
      <c r="NBD55" s="223"/>
      <c r="NBM55" s="223"/>
      <c r="NBN55" s="223"/>
      <c r="NBW55" s="223"/>
      <c r="NBX55" s="223"/>
      <c r="NCG55" s="223"/>
      <c r="NCH55" s="223"/>
      <c r="NCQ55" s="223"/>
      <c r="NCR55" s="223"/>
      <c r="NDA55" s="223"/>
      <c r="NDB55" s="223"/>
      <c r="NDK55" s="223"/>
      <c r="NDL55" s="223"/>
      <c r="NDU55" s="223"/>
      <c r="NDV55" s="223"/>
      <c r="NEE55" s="223"/>
      <c r="NEF55" s="223"/>
      <c r="NEO55" s="223"/>
      <c r="NEP55" s="223"/>
      <c r="NEY55" s="223"/>
      <c r="NEZ55" s="223"/>
      <c r="NFI55" s="223"/>
      <c r="NFJ55" s="223"/>
      <c r="NFS55" s="223"/>
      <c r="NFT55" s="223"/>
      <c r="NGC55" s="223"/>
      <c r="NGD55" s="223"/>
      <c r="NGM55" s="223"/>
      <c r="NGN55" s="223"/>
      <c r="NGW55" s="223"/>
      <c r="NGX55" s="223"/>
      <c r="NHG55" s="223"/>
      <c r="NHH55" s="223"/>
      <c r="NHQ55" s="223"/>
      <c r="NHR55" s="223"/>
      <c r="NIA55" s="223"/>
      <c r="NIB55" s="223"/>
      <c r="NIK55" s="223"/>
      <c r="NIL55" s="223"/>
      <c r="NIU55" s="223"/>
      <c r="NIV55" s="223"/>
      <c r="NJE55" s="223"/>
      <c r="NJF55" s="223"/>
      <c r="NJO55" s="223"/>
      <c r="NJP55" s="223"/>
      <c r="NJY55" s="223"/>
      <c r="NJZ55" s="223"/>
      <c r="NKI55" s="223"/>
      <c r="NKJ55" s="223"/>
      <c r="NKS55" s="223"/>
      <c r="NKT55" s="223"/>
      <c r="NLC55" s="223"/>
      <c r="NLD55" s="223"/>
      <c r="NLM55" s="223"/>
      <c r="NLN55" s="223"/>
      <c r="NLW55" s="223"/>
      <c r="NLX55" s="223"/>
      <c r="NMG55" s="223"/>
      <c r="NMH55" s="223"/>
      <c r="NMQ55" s="223"/>
      <c r="NMR55" s="223"/>
      <c r="NNA55" s="223"/>
      <c r="NNB55" s="223"/>
      <c r="NNK55" s="223"/>
      <c r="NNL55" s="223"/>
      <c r="NNU55" s="223"/>
      <c r="NNV55" s="223"/>
      <c r="NOE55" s="223"/>
      <c r="NOF55" s="223"/>
      <c r="NOO55" s="223"/>
      <c r="NOP55" s="223"/>
      <c r="NOY55" s="223"/>
      <c r="NOZ55" s="223"/>
      <c r="NPI55" s="223"/>
      <c r="NPJ55" s="223"/>
      <c r="NPS55" s="223"/>
      <c r="NPT55" s="223"/>
      <c r="NQC55" s="223"/>
      <c r="NQD55" s="223"/>
      <c r="NQM55" s="223"/>
      <c r="NQN55" s="223"/>
      <c r="NQW55" s="223"/>
      <c r="NQX55" s="223"/>
      <c r="NRG55" s="223"/>
      <c r="NRH55" s="223"/>
      <c r="NRQ55" s="223"/>
      <c r="NRR55" s="223"/>
      <c r="NSA55" s="223"/>
      <c r="NSB55" s="223"/>
      <c r="NSK55" s="223"/>
      <c r="NSL55" s="223"/>
      <c r="NSU55" s="223"/>
      <c r="NSV55" s="223"/>
      <c r="NTE55" s="223"/>
      <c r="NTF55" s="223"/>
      <c r="NTO55" s="223"/>
      <c r="NTP55" s="223"/>
      <c r="NTY55" s="223"/>
      <c r="NTZ55" s="223"/>
      <c r="NUI55" s="223"/>
      <c r="NUJ55" s="223"/>
      <c r="NUS55" s="223"/>
      <c r="NUT55" s="223"/>
      <c r="NVC55" s="223"/>
      <c r="NVD55" s="223"/>
      <c r="NVM55" s="223"/>
      <c r="NVN55" s="223"/>
      <c r="NVW55" s="223"/>
      <c r="NVX55" s="223"/>
      <c r="NWG55" s="223"/>
      <c r="NWH55" s="223"/>
      <c r="NWQ55" s="223"/>
      <c r="NWR55" s="223"/>
      <c r="NXA55" s="223"/>
      <c r="NXB55" s="223"/>
      <c r="NXK55" s="223"/>
      <c r="NXL55" s="223"/>
      <c r="NXU55" s="223"/>
      <c r="NXV55" s="223"/>
      <c r="NYE55" s="223"/>
      <c r="NYF55" s="223"/>
      <c r="NYO55" s="223"/>
      <c r="NYP55" s="223"/>
      <c r="NYY55" s="223"/>
      <c r="NYZ55" s="223"/>
      <c r="NZI55" s="223"/>
      <c r="NZJ55" s="223"/>
      <c r="NZS55" s="223"/>
      <c r="NZT55" s="223"/>
      <c r="OAC55" s="223"/>
      <c r="OAD55" s="223"/>
      <c r="OAM55" s="223"/>
      <c r="OAN55" s="223"/>
      <c r="OAW55" s="223"/>
      <c r="OAX55" s="223"/>
      <c r="OBG55" s="223"/>
      <c r="OBH55" s="223"/>
      <c r="OBQ55" s="223"/>
      <c r="OBR55" s="223"/>
      <c r="OCA55" s="223"/>
      <c r="OCB55" s="223"/>
      <c r="OCK55" s="223"/>
      <c r="OCL55" s="223"/>
      <c r="OCU55" s="223"/>
      <c r="OCV55" s="223"/>
      <c r="ODE55" s="223"/>
      <c r="ODF55" s="223"/>
      <c r="ODO55" s="223"/>
      <c r="ODP55" s="223"/>
      <c r="ODY55" s="223"/>
      <c r="ODZ55" s="223"/>
      <c r="OEI55" s="223"/>
      <c r="OEJ55" s="223"/>
      <c r="OES55" s="223"/>
      <c r="OET55" s="223"/>
      <c r="OFC55" s="223"/>
      <c r="OFD55" s="223"/>
      <c r="OFM55" s="223"/>
      <c r="OFN55" s="223"/>
      <c r="OFW55" s="223"/>
      <c r="OFX55" s="223"/>
      <c r="OGG55" s="223"/>
      <c r="OGH55" s="223"/>
      <c r="OGQ55" s="223"/>
      <c r="OGR55" s="223"/>
      <c r="OHA55" s="223"/>
      <c r="OHB55" s="223"/>
      <c r="OHK55" s="223"/>
      <c r="OHL55" s="223"/>
      <c r="OHU55" s="223"/>
      <c r="OHV55" s="223"/>
      <c r="OIE55" s="223"/>
      <c r="OIF55" s="223"/>
      <c r="OIO55" s="223"/>
      <c r="OIP55" s="223"/>
      <c r="OIY55" s="223"/>
      <c r="OIZ55" s="223"/>
      <c r="OJI55" s="223"/>
      <c r="OJJ55" s="223"/>
      <c r="OJS55" s="223"/>
      <c r="OJT55" s="223"/>
      <c r="OKC55" s="223"/>
      <c r="OKD55" s="223"/>
      <c r="OKM55" s="223"/>
      <c r="OKN55" s="223"/>
      <c r="OKW55" s="223"/>
      <c r="OKX55" s="223"/>
      <c r="OLG55" s="223"/>
      <c r="OLH55" s="223"/>
      <c r="OLQ55" s="223"/>
      <c r="OLR55" s="223"/>
      <c r="OMA55" s="223"/>
      <c r="OMB55" s="223"/>
      <c r="OMK55" s="223"/>
      <c r="OML55" s="223"/>
      <c r="OMU55" s="223"/>
      <c r="OMV55" s="223"/>
      <c r="ONE55" s="223"/>
      <c r="ONF55" s="223"/>
      <c r="ONO55" s="223"/>
      <c r="ONP55" s="223"/>
      <c r="ONY55" s="223"/>
      <c r="ONZ55" s="223"/>
      <c r="OOI55" s="223"/>
      <c r="OOJ55" s="223"/>
      <c r="OOS55" s="223"/>
      <c r="OOT55" s="223"/>
      <c r="OPC55" s="223"/>
      <c r="OPD55" s="223"/>
      <c r="OPM55" s="223"/>
      <c r="OPN55" s="223"/>
      <c r="OPW55" s="223"/>
      <c r="OPX55" s="223"/>
      <c r="OQG55" s="223"/>
      <c r="OQH55" s="223"/>
      <c r="OQQ55" s="223"/>
      <c r="OQR55" s="223"/>
      <c r="ORA55" s="223"/>
      <c r="ORB55" s="223"/>
      <c r="ORK55" s="223"/>
      <c r="ORL55" s="223"/>
      <c r="ORU55" s="223"/>
      <c r="ORV55" s="223"/>
      <c r="OSE55" s="223"/>
      <c r="OSF55" s="223"/>
      <c r="OSO55" s="223"/>
      <c r="OSP55" s="223"/>
      <c r="OSY55" s="223"/>
      <c r="OSZ55" s="223"/>
      <c r="OTI55" s="223"/>
      <c r="OTJ55" s="223"/>
      <c r="OTS55" s="223"/>
      <c r="OTT55" s="223"/>
      <c r="OUC55" s="223"/>
      <c r="OUD55" s="223"/>
      <c r="OUM55" s="223"/>
      <c r="OUN55" s="223"/>
      <c r="OUW55" s="223"/>
      <c r="OUX55" s="223"/>
      <c r="OVG55" s="223"/>
      <c r="OVH55" s="223"/>
      <c r="OVQ55" s="223"/>
      <c r="OVR55" s="223"/>
      <c r="OWA55" s="223"/>
      <c r="OWB55" s="223"/>
      <c r="OWK55" s="223"/>
      <c r="OWL55" s="223"/>
      <c r="OWU55" s="223"/>
      <c r="OWV55" s="223"/>
      <c r="OXE55" s="223"/>
      <c r="OXF55" s="223"/>
      <c r="OXO55" s="223"/>
      <c r="OXP55" s="223"/>
      <c r="OXY55" s="223"/>
      <c r="OXZ55" s="223"/>
      <c r="OYI55" s="223"/>
      <c r="OYJ55" s="223"/>
      <c r="OYS55" s="223"/>
      <c r="OYT55" s="223"/>
      <c r="OZC55" s="223"/>
      <c r="OZD55" s="223"/>
      <c r="OZM55" s="223"/>
      <c r="OZN55" s="223"/>
      <c r="OZW55" s="223"/>
      <c r="OZX55" s="223"/>
      <c r="PAG55" s="223"/>
      <c r="PAH55" s="223"/>
      <c r="PAQ55" s="223"/>
      <c r="PAR55" s="223"/>
      <c r="PBA55" s="223"/>
      <c r="PBB55" s="223"/>
      <c r="PBK55" s="223"/>
      <c r="PBL55" s="223"/>
      <c r="PBU55" s="223"/>
      <c r="PBV55" s="223"/>
      <c r="PCE55" s="223"/>
      <c r="PCF55" s="223"/>
      <c r="PCO55" s="223"/>
      <c r="PCP55" s="223"/>
      <c r="PCY55" s="223"/>
      <c r="PCZ55" s="223"/>
      <c r="PDI55" s="223"/>
      <c r="PDJ55" s="223"/>
      <c r="PDS55" s="223"/>
      <c r="PDT55" s="223"/>
      <c r="PEC55" s="223"/>
      <c r="PED55" s="223"/>
      <c r="PEM55" s="223"/>
      <c r="PEN55" s="223"/>
      <c r="PEW55" s="223"/>
      <c r="PEX55" s="223"/>
      <c r="PFG55" s="223"/>
      <c r="PFH55" s="223"/>
      <c r="PFQ55" s="223"/>
      <c r="PFR55" s="223"/>
      <c r="PGA55" s="223"/>
      <c r="PGB55" s="223"/>
      <c r="PGK55" s="223"/>
      <c r="PGL55" s="223"/>
      <c r="PGU55" s="223"/>
      <c r="PGV55" s="223"/>
      <c r="PHE55" s="223"/>
      <c r="PHF55" s="223"/>
      <c r="PHO55" s="223"/>
      <c r="PHP55" s="223"/>
      <c r="PHY55" s="223"/>
      <c r="PHZ55" s="223"/>
      <c r="PII55" s="223"/>
      <c r="PIJ55" s="223"/>
      <c r="PIS55" s="223"/>
      <c r="PIT55" s="223"/>
      <c r="PJC55" s="223"/>
      <c r="PJD55" s="223"/>
      <c r="PJM55" s="223"/>
      <c r="PJN55" s="223"/>
      <c r="PJW55" s="223"/>
      <c r="PJX55" s="223"/>
      <c r="PKG55" s="223"/>
      <c r="PKH55" s="223"/>
      <c r="PKQ55" s="223"/>
      <c r="PKR55" s="223"/>
      <c r="PLA55" s="223"/>
      <c r="PLB55" s="223"/>
      <c r="PLK55" s="223"/>
      <c r="PLL55" s="223"/>
      <c r="PLU55" s="223"/>
      <c r="PLV55" s="223"/>
      <c r="PME55" s="223"/>
      <c r="PMF55" s="223"/>
      <c r="PMO55" s="223"/>
      <c r="PMP55" s="223"/>
      <c r="PMY55" s="223"/>
      <c r="PMZ55" s="223"/>
      <c r="PNI55" s="223"/>
      <c r="PNJ55" s="223"/>
      <c r="PNS55" s="223"/>
      <c r="PNT55" s="223"/>
      <c r="POC55" s="223"/>
      <c r="POD55" s="223"/>
      <c r="POM55" s="223"/>
      <c r="PON55" s="223"/>
      <c r="POW55" s="223"/>
      <c r="POX55" s="223"/>
      <c r="PPG55" s="223"/>
      <c r="PPH55" s="223"/>
      <c r="PPQ55" s="223"/>
      <c r="PPR55" s="223"/>
      <c r="PQA55" s="223"/>
      <c r="PQB55" s="223"/>
      <c r="PQK55" s="223"/>
      <c r="PQL55" s="223"/>
      <c r="PQU55" s="223"/>
      <c r="PQV55" s="223"/>
      <c r="PRE55" s="223"/>
      <c r="PRF55" s="223"/>
      <c r="PRO55" s="223"/>
      <c r="PRP55" s="223"/>
      <c r="PRY55" s="223"/>
      <c r="PRZ55" s="223"/>
      <c r="PSI55" s="223"/>
      <c r="PSJ55" s="223"/>
      <c r="PSS55" s="223"/>
      <c r="PST55" s="223"/>
      <c r="PTC55" s="223"/>
      <c r="PTD55" s="223"/>
      <c r="PTM55" s="223"/>
      <c r="PTN55" s="223"/>
      <c r="PTW55" s="223"/>
      <c r="PTX55" s="223"/>
      <c r="PUG55" s="223"/>
      <c r="PUH55" s="223"/>
      <c r="PUQ55" s="223"/>
      <c r="PUR55" s="223"/>
      <c r="PVA55" s="223"/>
      <c r="PVB55" s="223"/>
      <c r="PVK55" s="223"/>
      <c r="PVL55" s="223"/>
      <c r="PVU55" s="223"/>
      <c r="PVV55" s="223"/>
      <c r="PWE55" s="223"/>
      <c r="PWF55" s="223"/>
      <c r="PWO55" s="223"/>
      <c r="PWP55" s="223"/>
      <c r="PWY55" s="223"/>
      <c r="PWZ55" s="223"/>
      <c r="PXI55" s="223"/>
      <c r="PXJ55" s="223"/>
      <c r="PXS55" s="223"/>
      <c r="PXT55" s="223"/>
      <c r="PYC55" s="223"/>
      <c r="PYD55" s="223"/>
      <c r="PYM55" s="223"/>
      <c r="PYN55" s="223"/>
      <c r="PYW55" s="223"/>
      <c r="PYX55" s="223"/>
      <c r="PZG55" s="223"/>
      <c r="PZH55" s="223"/>
      <c r="PZQ55" s="223"/>
      <c r="PZR55" s="223"/>
      <c r="QAA55" s="223"/>
      <c r="QAB55" s="223"/>
      <c r="QAK55" s="223"/>
      <c r="QAL55" s="223"/>
      <c r="QAU55" s="223"/>
      <c r="QAV55" s="223"/>
      <c r="QBE55" s="223"/>
      <c r="QBF55" s="223"/>
      <c r="QBO55" s="223"/>
      <c r="QBP55" s="223"/>
      <c r="QBY55" s="223"/>
      <c r="QBZ55" s="223"/>
      <c r="QCI55" s="223"/>
      <c r="QCJ55" s="223"/>
      <c r="QCS55" s="223"/>
      <c r="QCT55" s="223"/>
      <c r="QDC55" s="223"/>
      <c r="QDD55" s="223"/>
      <c r="QDM55" s="223"/>
      <c r="QDN55" s="223"/>
      <c r="QDW55" s="223"/>
      <c r="QDX55" s="223"/>
      <c r="QEG55" s="223"/>
      <c r="QEH55" s="223"/>
      <c r="QEQ55" s="223"/>
      <c r="QER55" s="223"/>
      <c r="QFA55" s="223"/>
      <c r="QFB55" s="223"/>
      <c r="QFK55" s="223"/>
      <c r="QFL55" s="223"/>
      <c r="QFU55" s="223"/>
      <c r="QFV55" s="223"/>
      <c r="QGE55" s="223"/>
      <c r="QGF55" s="223"/>
      <c r="QGO55" s="223"/>
      <c r="QGP55" s="223"/>
      <c r="QGY55" s="223"/>
      <c r="QGZ55" s="223"/>
      <c r="QHI55" s="223"/>
      <c r="QHJ55" s="223"/>
      <c r="QHS55" s="223"/>
      <c r="QHT55" s="223"/>
      <c r="QIC55" s="223"/>
      <c r="QID55" s="223"/>
      <c r="QIM55" s="223"/>
      <c r="QIN55" s="223"/>
      <c r="QIW55" s="223"/>
      <c r="QIX55" s="223"/>
      <c r="QJG55" s="223"/>
      <c r="QJH55" s="223"/>
      <c r="QJQ55" s="223"/>
      <c r="QJR55" s="223"/>
      <c r="QKA55" s="223"/>
      <c r="QKB55" s="223"/>
      <c r="QKK55" s="223"/>
      <c r="QKL55" s="223"/>
      <c r="QKU55" s="223"/>
      <c r="QKV55" s="223"/>
      <c r="QLE55" s="223"/>
      <c r="QLF55" s="223"/>
      <c r="QLO55" s="223"/>
      <c r="QLP55" s="223"/>
      <c r="QLY55" s="223"/>
      <c r="QLZ55" s="223"/>
      <c r="QMI55" s="223"/>
      <c r="QMJ55" s="223"/>
      <c r="QMS55" s="223"/>
      <c r="QMT55" s="223"/>
      <c r="QNC55" s="223"/>
      <c r="QND55" s="223"/>
      <c r="QNM55" s="223"/>
      <c r="QNN55" s="223"/>
      <c r="QNW55" s="223"/>
      <c r="QNX55" s="223"/>
      <c r="QOG55" s="223"/>
      <c r="QOH55" s="223"/>
      <c r="QOQ55" s="223"/>
      <c r="QOR55" s="223"/>
      <c r="QPA55" s="223"/>
      <c r="QPB55" s="223"/>
      <c r="QPK55" s="223"/>
      <c r="QPL55" s="223"/>
      <c r="QPU55" s="223"/>
      <c r="QPV55" s="223"/>
      <c r="QQE55" s="223"/>
      <c r="QQF55" s="223"/>
      <c r="QQO55" s="223"/>
      <c r="QQP55" s="223"/>
      <c r="QQY55" s="223"/>
      <c r="QQZ55" s="223"/>
      <c r="QRI55" s="223"/>
      <c r="QRJ55" s="223"/>
      <c r="QRS55" s="223"/>
      <c r="QRT55" s="223"/>
      <c r="QSC55" s="223"/>
      <c r="QSD55" s="223"/>
      <c r="QSM55" s="223"/>
      <c r="QSN55" s="223"/>
      <c r="QSW55" s="223"/>
      <c r="QSX55" s="223"/>
      <c r="QTG55" s="223"/>
      <c r="QTH55" s="223"/>
      <c r="QTQ55" s="223"/>
      <c r="QTR55" s="223"/>
      <c r="QUA55" s="223"/>
      <c r="QUB55" s="223"/>
      <c r="QUK55" s="223"/>
      <c r="QUL55" s="223"/>
      <c r="QUU55" s="223"/>
      <c r="QUV55" s="223"/>
      <c r="QVE55" s="223"/>
      <c r="QVF55" s="223"/>
      <c r="QVO55" s="223"/>
      <c r="QVP55" s="223"/>
      <c r="QVY55" s="223"/>
      <c r="QVZ55" s="223"/>
      <c r="QWI55" s="223"/>
      <c r="QWJ55" s="223"/>
      <c r="QWS55" s="223"/>
      <c r="QWT55" s="223"/>
      <c r="QXC55" s="223"/>
      <c r="QXD55" s="223"/>
      <c r="QXM55" s="223"/>
      <c r="QXN55" s="223"/>
      <c r="QXW55" s="223"/>
      <c r="QXX55" s="223"/>
      <c r="QYG55" s="223"/>
      <c r="QYH55" s="223"/>
      <c r="QYQ55" s="223"/>
      <c r="QYR55" s="223"/>
      <c r="QZA55" s="223"/>
      <c r="QZB55" s="223"/>
      <c r="QZK55" s="223"/>
      <c r="QZL55" s="223"/>
      <c r="QZU55" s="223"/>
      <c r="QZV55" s="223"/>
      <c r="RAE55" s="223"/>
      <c r="RAF55" s="223"/>
      <c r="RAO55" s="223"/>
      <c r="RAP55" s="223"/>
      <c r="RAY55" s="223"/>
      <c r="RAZ55" s="223"/>
      <c r="RBI55" s="223"/>
      <c r="RBJ55" s="223"/>
      <c r="RBS55" s="223"/>
      <c r="RBT55" s="223"/>
      <c r="RCC55" s="223"/>
      <c r="RCD55" s="223"/>
      <c r="RCM55" s="223"/>
      <c r="RCN55" s="223"/>
      <c r="RCW55" s="223"/>
      <c r="RCX55" s="223"/>
      <c r="RDG55" s="223"/>
      <c r="RDH55" s="223"/>
      <c r="RDQ55" s="223"/>
      <c r="RDR55" s="223"/>
      <c r="REA55" s="223"/>
      <c r="REB55" s="223"/>
      <c r="REK55" s="223"/>
      <c r="REL55" s="223"/>
      <c r="REU55" s="223"/>
      <c r="REV55" s="223"/>
      <c r="RFE55" s="223"/>
      <c r="RFF55" s="223"/>
      <c r="RFO55" s="223"/>
      <c r="RFP55" s="223"/>
      <c r="RFY55" s="223"/>
      <c r="RFZ55" s="223"/>
      <c r="RGI55" s="223"/>
      <c r="RGJ55" s="223"/>
      <c r="RGS55" s="223"/>
      <c r="RGT55" s="223"/>
      <c r="RHC55" s="223"/>
      <c r="RHD55" s="223"/>
      <c r="RHM55" s="223"/>
      <c r="RHN55" s="223"/>
      <c r="RHW55" s="223"/>
      <c r="RHX55" s="223"/>
      <c r="RIG55" s="223"/>
      <c r="RIH55" s="223"/>
      <c r="RIQ55" s="223"/>
      <c r="RIR55" s="223"/>
      <c r="RJA55" s="223"/>
      <c r="RJB55" s="223"/>
      <c r="RJK55" s="223"/>
      <c r="RJL55" s="223"/>
      <c r="RJU55" s="223"/>
      <c r="RJV55" s="223"/>
      <c r="RKE55" s="223"/>
      <c r="RKF55" s="223"/>
      <c r="RKO55" s="223"/>
      <c r="RKP55" s="223"/>
      <c r="RKY55" s="223"/>
      <c r="RKZ55" s="223"/>
      <c r="RLI55" s="223"/>
      <c r="RLJ55" s="223"/>
      <c r="RLS55" s="223"/>
      <c r="RLT55" s="223"/>
      <c r="RMC55" s="223"/>
      <c r="RMD55" s="223"/>
      <c r="RMM55" s="223"/>
      <c r="RMN55" s="223"/>
      <c r="RMW55" s="223"/>
      <c r="RMX55" s="223"/>
      <c r="RNG55" s="223"/>
      <c r="RNH55" s="223"/>
      <c r="RNQ55" s="223"/>
      <c r="RNR55" s="223"/>
      <c r="ROA55" s="223"/>
      <c r="ROB55" s="223"/>
      <c r="ROK55" s="223"/>
      <c r="ROL55" s="223"/>
      <c r="ROU55" s="223"/>
      <c r="ROV55" s="223"/>
      <c r="RPE55" s="223"/>
      <c r="RPF55" s="223"/>
      <c r="RPO55" s="223"/>
      <c r="RPP55" s="223"/>
      <c r="RPY55" s="223"/>
      <c r="RPZ55" s="223"/>
      <c r="RQI55" s="223"/>
      <c r="RQJ55" s="223"/>
      <c r="RQS55" s="223"/>
      <c r="RQT55" s="223"/>
      <c r="RRC55" s="223"/>
      <c r="RRD55" s="223"/>
      <c r="RRM55" s="223"/>
      <c r="RRN55" s="223"/>
      <c r="RRW55" s="223"/>
      <c r="RRX55" s="223"/>
      <c r="RSG55" s="223"/>
      <c r="RSH55" s="223"/>
      <c r="RSQ55" s="223"/>
      <c r="RSR55" s="223"/>
      <c r="RTA55" s="223"/>
      <c r="RTB55" s="223"/>
      <c r="RTK55" s="223"/>
      <c r="RTL55" s="223"/>
      <c r="RTU55" s="223"/>
      <c r="RTV55" s="223"/>
      <c r="RUE55" s="223"/>
      <c r="RUF55" s="223"/>
      <c r="RUO55" s="223"/>
      <c r="RUP55" s="223"/>
      <c r="RUY55" s="223"/>
      <c r="RUZ55" s="223"/>
      <c r="RVI55" s="223"/>
      <c r="RVJ55" s="223"/>
      <c r="RVS55" s="223"/>
      <c r="RVT55" s="223"/>
      <c r="RWC55" s="223"/>
      <c r="RWD55" s="223"/>
      <c r="RWM55" s="223"/>
      <c r="RWN55" s="223"/>
      <c r="RWW55" s="223"/>
      <c r="RWX55" s="223"/>
      <c r="RXG55" s="223"/>
      <c r="RXH55" s="223"/>
      <c r="RXQ55" s="223"/>
      <c r="RXR55" s="223"/>
      <c r="RYA55" s="223"/>
      <c r="RYB55" s="223"/>
      <c r="RYK55" s="223"/>
      <c r="RYL55" s="223"/>
      <c r="RYU55" s="223"/>
      <c r="RYV55" s="223"/>
      <c r="RZE55" s="223"/>
      <c r="RZF55" s="223"/>
      <c r="RZO55" s="223"/>
      <c r="RZP55" s="223"/>
      <c r="RZY55" s="223"/>
      <c r="RZZ55" s="223"/>
      <c r="SAI55" s="223"/>
      <c r="SAJ55" s="223"/>
      <c r="SAS55" s="223"/>
      <c r="SAT55" s="223"/>
      <c r="SBC55" s="223"/>
      <c r="SBD55" s="223"/>
      <c r="SBM55" s="223"/>
      <c r="SBN55" s="223"/>
      <c r="SBW55" s="223"/>
      <c r="SBX55" s="223"/>
      <c r="SCG55" s="223"/>
      <c r="SCH55" s="223"/>
      <c r="SCQ55" s="223"/>
      <c r="SCR55" s="223"/>
      <c r="SDA55" s="223"/>
      <c r="SDB55" s="223"/>
      <c r="SDK55" s="223"/>
      <c r="SDL55" s="223"/>
      <c r="SDU55" s="223"/>
      <c r="SDV55" s="223"/>
      <c r="SEE55" s="223"/>
      <c r="SEF55" s="223"/>
      <c r="SEO55" s="223"/>
      <c r="SEP55" s="223"/>
      <c r="SEY55" s="223"/>
      <c r="SEZ55" s="223"/>
      <c r="SFI55" s="223"/>
      <c r="SFJ55" s="223"/>
      <c r="SFS55" s="223"/>
      <c r="SFT55" s="223"/>
      <c r="SGC55" s="223"/>
      <c r="SGD55" s="223"/>
      <c r="SGM55" s="223"/>
      <c r="SGN55" s="223"/>
      <c r="SGW55" s="223"/>
      <c r="SGX55" s="223"/>
      <c r="SHG55" s="223"/>
      <c r="SHH55" s="223"/>
      <c r="SHQ55" s="223"/>
      <c r="SHR55" s="223"/>
      <c r="SIA55" s="223"/>
      <c r="SIB55" s="223"/>
      <c r="SIK55" s="223"/>
      <c r="SIL55" s="223"/>
      <c r="SIU55" s="223"/>
      <c r="SIV55" s="223"/>
      <c r="SJE55" s="223"/>
      <c r="SJF55" s="223"/>
      <c r="SJO55" s="223"/>
      <c r="SJP55" s="223"/>
      <c r="SJY55" s="223"/>
      <c r="SJZ55" s="223"/>
      <c r="SKI55" s="223"/>
      <c r="SKJ55" s="223"/>
      <c r="SKS55" s="223"/>
      <c r="SKT55" s="223"/>
      <c r="SLC55" s="223"/>
      <c r="SLD55" s="223"/>
      <c r="SLM55" s="223"/>
      <c r="SLN55" s="223"/>
      <c r="SLW55" s="223"/>
      <c r="SLX55" s="223"/>
      <c r="SMG55" s="223"/>
      <c r="SMH55" s="223"/>
      <c r="SMQ55" s="223"/>
      <c r="SMR55" s="223"/>
      <c r="SNA55" s="223"/>
      <c r="SNB55" s="223"/>
      <c r="SNK55" s="223"/>
      <c r="SNL55" s="223"/>
      <c r="SNU55" s="223"/>
      <c r="SNV55" s="223"/>
      <c r="SOE55" s="223"/>
      <c r="SOF55" s="223"/>
      <c r="SOO55" s="223"/>
      <c r="SOP55" s="223"/>
      <c r="SOY55" s="223"/>
      <c r="SOZ55" s="223"/>
      <c r="SPI55" s="223"/>
      <c r="SPJ55" s="223"/>
      <c r="SPS55" s="223"/>
      <c r="SPT55" s="223"/>
      <c r="SQC55" s="223"/>
      <c r="SQD55" s="223"/>
      <c r="SQM55" s="223"/>
      <c r="SQN55" s="223"/>
      <c r="SQW55" s="223"/>
      <c r="SQX55" s="223"/>
      <c r="SRG55" s="223"/>
      <c r="SRH55" s="223"/>
      <c r="SRQ55" s="223"/>
      <c r="SRR55" s="223"/>
      <c r="SSA55" s="223"/>
      <c r="SSB55" s="223"/>
      <c r="SSK55" s="223"/>
      <c r="SSL55" s="223"/>
      <c r="SSU55" s="223"/>
      <c r="SSV55" s="223"/>
      <c r="STE55" s="223"/>
      <c r="STF55" s="223"/>
      <c r="STO55" s="223"/>
      <c r="STP55" s="223"/>
      <c r="STY55" s="223"/>
      <c r="STZ55" s="223"/>
      <c r="SUI55" s="223"/>
      <c r="SUJ55" s="223"/>
      <c r="SUS55" s="223"/>
      <c r="SUT55" s="223"/>
      <c r="SVC55" s="223"/>
      <c r="SVD55" s="223"/>
      <c r="SVM55" s="223"/>
      <c r="SVN55" s="223"/>
      <c r="SVW55" s="223"/>
      <c r="SVX55" s="223"/>
      <c r="SWG55" s="223"/>
      <c r="SWH55" s="223"/>
      <c r="SWQ55" s="223"/>
      <c r="SWR55" s="223"/>
      <c r="SXA55" s="223"/>
      <c r="SXB55" s="223"/>
      <c r="SXK55" s="223"/>
      <c r="SXL55" s="223"/>
      <c r="SXU55" s="223"/>
      <c r="SXV55" s="223"/>
      <c r="SYE55" s="223"/>
      <c r="SYF55" s="223"/>
      <c r="SYO55" s="223"/>
      <c r="SYP55" s="223"/>
      <c r="SYY55" s="223"/>
      <c r="SYZ55" s="223"/>
      <c r="SZI55" s="223"/>
      <c r="SZJ55" s="223"/>
      <c r="SZS55" s="223"/>
      <c r="SZT55" s="223"/>
      <c r="TAC55" s="223"/>
      <c r="TAD55" s="223"/>
      <c r="TAM55" s="223"/>
      <c r="TAN55" s="223"/>
      <c r="TAW55" s="223"/>
      <c r="TAX55" s="223"/>
      <c r="TBG55" s="223"/>
      <c r="TBH55" s="223"/>
      <c r="TBQ55" s="223"/>
      <c r="TBR55" s="223"/>
      <c r="TCA55" s="223"/>
      <c r="TCB55" s="223"/>
      <c r="TCK55" s="223"/>
      <c r="TCL55" s="223"/>
      <c r="TCU55" s="223"/>
      <c r="TCV55" s="223"/>
      <c r="TDE55" s="223"/>
      <c r="TDF55" s="223"/>
      <c r="TDO55" s="223"/>
      <c r="TDP55" s="223"/>
      <c r="TDY55" s="223"/>
      <c r="TDZ55" s="223"/>
      <c r="TEI55" s="223"/>
      <c r="TEJ55" s="223"/>
      <c r="TES55" s="223"/>
      <c r="TET55" s="223"/>
      <c r="TFC55" s="223"/>
      <c r="TFD55" s="223"/>
      <c r="TFM55" s="223"/>
      <c r="TFN55" s="223"/>
      <c r="TFW55" s="223"/>
      <c r="TFX55" s="223"/>
      <c r="TGG55" s="223"/>
      <c r="TGH55" s="223"/>
      <c r="TGQ55" s="223"/>
      <c r="TGR55" s="223"/>
      <c r="THA55" s="223"/>
      <c r="THB55" s="223"/>
      <c r="THK55" s="223"/>
      <c r="THL55" s="223"/>
      <c r="THU55" s="223"/>
      <c r="THV55" s="223"/>
      <c r="TIE55" s="223"/>
      <c r="TIF55" s="223"/>
      <c r="TIO55" s="223"/>
      <c r="TIP55" s="223"/>
      <c r="TIY55" s="223"/>
      <c r="TIZ55" s="223"/>
      <c r="TJI55" s="223"/>
      <c r="TJJ55" s="223"/>
      <c r="TJS55" s="223"/>
      <c r="TJT55" s="223"/>
      <c r="TKC55" s="223"/>
      <c r="TKD55" s="223"/>
      <c r="TKM55" s="223"/>
      <c r="TKN55" s="223"/>
      <c r="TKW55" s="223"/>
      <c r="TKX55" s="223"/>
      <c r="TLG55" s="223"/>
      <c r="TLH55" s="223"/>
      <c r="TLQ55" s="223"/>
      <c r="TLR55" s="223"/>
      <c r="TMA55" s="223"/>
      <c r="TMB55" s="223"/>
      <c r="TMK55" s="223"/>
      <c r="TML55" s="223"/>
      <c r="TMU55" s="223"/>
      <c r="TMV55" s="223"/>
      <c r="TNE55" s="223"/>
      <c r="TNF55" s="223"/>
      <c r="TNO55" s="223"/>
      <c r="TNP55" s="223"/>
      <c r="TNY55" s="223"/>
      <c r="TNZ55" s="223"/>
      <c r="TOI55" s="223"/>
      <c r="TOJ55" s="223"/>
      <c r="TOS55" s="223"/>
      <c r="TOT55" s="223"/>
      <c r="TPC55" s="223"/>
      <c r="TPD55" s="223"/>
      <c r="TPM55" s="223"/>
      <c r="TPN55" s="223"/>
      <c r="TPW55" s="223"/>
      <c r="TPX55" s="223"/>
      <c r="TQG55" s="223"/>
      <c r="TQH55" s="223"/>
      <c r="TQQ55" s="223"/>
      <c r="TQR55" s="223"/>
      <c r="TRA55" s="223"/>
      <c r="TRB55" s="223"/>
      <c r="TRK55" s="223"/>
      <c r="TRL55" s="223"/>
      <c r="TRU55" s="223"/>
      <c r="TRV55" s="223"/>
      <c r="TSE55" s="223"/>
      <c r="TSF55" s="223"/>
      <c r="TSO55" s="223"/>
      <c r="TSP55" s="223"/>
      <c r="TSY55" s="223"/>
      <c r="TSZ55" s="223"/>
      <c r="TTI55" s="223"/>
      <c r="TTJ55" s="223"/>
      <c r="TTS55" s="223"/>
      <c r="TTT55" s="223"/>
      <c r="TUC55" s="223"/>
      <c r="TUD55" s="223"/>
      <c r="TUM55" s="223"/>
      <c r="TUN55" s="223"/>
      <c r="TUW55" s="223"/>
      <c r="TUX55" s="223"/>
      <c r="TVG55" s="223"/>
      <c r="TVH55" s="223"/>
      <c r="TVQ55" s="223"/>
      <c r="TVR55" s="223"/>
      <c r="TWA55" s="223"/>
      <c r="TWB55" s="223"/>
      <c r="TWK55" s="223"/>
      <c r="TWL55" s="223"/>
      <c r="TWU55" s="223"/>
      <c r="TWV55" s="223"/>
      <c r="TXE55" s="223"/>
      <c r="TXF55" s="223"/>
      <c r="TXO55" s="223"/>
      <c r="TXP55" s="223"/>
      <c r="TXY55" s="223"/>
      <c r="TXZ55" s="223"/>
      <c r="TYI55" s="223"/>
      <c r="TYJ55" s="223"/>
      <c r="TYS55" s="223"/>
      <c r="TYT55" s="223"/>
      <c r="TZC55" s="223"/>
      <c r="TZD55" s="223"/>
      <c r="TZM55" s="223"/>
      <c r="TZN55" s="223"/>
      <c r="TZW55" s="223"/>
      <c r="TZX55" s="223"/>
      <c r="UAG55" s="223"/>
      <c r="UAH55" s="223"/>
      <c r="UAQ55" s="223"/>
      <c r="UAR55" s="223"/>
      <c r="UBA55" s="223"/>
      <c r="UBB55" s="223"/>
      <c r="UBK55" s="223"/>
      <c r="UBL55" s="223"/>
      <c r="UBU55" s="223"/>
      <c r="UBV55" s="223"/>
      <c r="UCE55" s="223"/>
      <c r="UCF55" s="223"/>
      <c r="UCO55" s="223"/>
      <c r="UCP55" s="223"/>
      <c r="UCY55" s="223"/>
      <c r="UCZ55" s="223"/>
      <c r="UDI55" s="223"/>
      <c r="UDJ55" s="223"/>
      <c r="UDS55" s="223"/>
      <c r="UDT55" s="223"/>
      <c r="UEC55" s="223"/>
      <c r="UED55" s="223"/>
      <c r="UEM55" s="223"/>
      <c r="UEN55" s="223"/>
      <c r="UEW55" s="223"/>
      <c r="UEX55" s="223"/>
      <c r="UFG55" s="223"/>
      <c r="UFH55" s="223"/>
      <c r="UFQ55" s="223"/>
      <c r="UFR55" s="223"/>
      <c r="UGA55" s="223"/>
      <c r="UGB55" s="223"/>
      <c r="UGK55" s="223"/>
      <c r="UGL55" s="223"/>
      <c r="UGU55" s="223"/>
      <c r="UGV55" s="223"/>
      <c r="UHE55" s="223"/>
      <c r="UHF55" s="223"/>
      <c r="UHO55" s="223"/>
      <c r="UHP55" s="223"/>
      <c r="UHY55" s="223"/>
      <c r="UHZ55" s="223"/>
      <c r="UII55" s="223"/>
      <c r="UIJ55" s="223"/>
      <c r="UIS55" s="223"/>
      <c r="UIT55" s="223"/>
      <c r="UJC55" s="223"/>
      <c r="UJD55" s="223"/>
      <c r="UJM55" s="223"/>
      <c r="UJN55" s="223"/>
      <c r="UJW55" s="223"/>
      <c r="UJX55" s="223"/>
      <c r="UKG55" s="223"/>
      <c r="UKH55" s="223"/>
      <c r="UKQ55" s="223"/>
      <c r="UKR55" s="223"/>
      <c r="ULA55" s="223"/>
      <c r="ULB55" s="223"/>
      <c r="ULK55" s="223"/>
      <c r="ULL55" s="223"/>
      <c r="ULU55" s="223"/>
      <c r="ULV55" s="223"/>
      <c r="UME55" s="223"/>
      <c r="UMF55" s="223"/>
      <c r="UMO55" s="223"/>
      <c r="UMP55" s="223"/>
      <c r="UMY55" s="223"/>
      <c r="UMZ55" s="223"/>
      <c r="UNI55" s="223"/>
      <c r="UNJ55" s="223"/>
      <c r="UNS55" s="223"/>
      <c r="UNT55" s="223"/>
      <c r="UOC55" s="223"/>
      <c r="UOD55" s="223"/>
      <c r="UOM55" s="223"/>
      <c r="UON55" s="223"/>
      <c r="UOW55" s="223"/>
      <c r="UOX55" s="223"/>
      <c r="UPG55" s="223"/>
      <c r="UPH55" s="223"/>
      <c r="UPQ55" s="223"/>
      <c r="UPR55" s="223"/>
      <c r="UQA55" s="223"/>
      <c r="UQB55" s="223"/>
      <c r="UQK55" s="223"/>
      <c r="UQL55" s="223"/>
      <c r="UQU55" s="223"/>
      <c r="UQV55" s="223"/>
      <c r="URE55" s="223"/>
      <c r="URF55" s="223"/>
      <c r="URO55" s="223"/>
      <c r="URP55" s="223"/>
      <c r="URY55" s="223"/>
      <c r="URZ55" s="223"/>
      <c r="USI55" s="223"/>
      <c r="USJ55" s="223"/>
      <c r="USS55" s="223"/>
      <c r="UST55" s="223"/>
      <c r="UTC55" s="223"/>
      <c r="UTD55" s="223"/>
      <c r="UTM55" s="223"/>
      <c r="UTN55" s="223"/>
      <c r="UTW55" s="223"/>
      <c r="UTX55" s="223"/>
      <c r="UUG55" s="223"/>
      <c r="UUH55" s="223"/>
      <c r="UUQ55" s="223"/>
      <c r="UUR55" s="223"/>
      <c r="UVA55" s="223"/>
      <c r="UVB55" s="223"/>
      <c r="UVK55" s="223"/>
      <c r="UVL55" s="223"/>
      <c r="UVU55" s="223"/>
      <c r="UVV55" s="223"/>
      <c r="UWE55" s="223"/>
      <c r="UWF55" s="223"/>
      <c r="UWO55" s="223"/>
      <c r="UWP55" s="223"/>
      <c r="UWY55" s="223"/>
      <c r="UWZ55" s="223"/>
      <c r="UXI55" s="223"/>
      <c r="UXJ55" s="223"/>
      <c r="UXS55" s="223"/>
      <c r="UXT55" s="223"/>
      <c r="UYC55" s="223"/>
      <c r="UYD55" s="223"/>
      <c r="UYM55" s="223"/>
      <c r="UYN55" s="223"/>
      <c r="UYW55" s="223"/>
      <c r="UYX55" s="223"/>
      <c r="UZG55" s="223"/>
      <c r="UZH55" s="223"/>
      <c r="UZQ55" s="223"/>
      <c r="UZR55" s="223"/>
      <c r="VAA55" s="223"/>
      <c r="VAB55" s="223"/>
      <c r="VAK55" s="223"/>
      <c r="VAL55" s="223"/>
      <c r="VAU55" s="223"/>
      <c r="VAV55" s="223"/>
      <c r="VBE55" s="223"/>
      <c r="VBF55" s="223"/>
      <c r="VBO55" s="223"/>
      <c r="VBP55" s="223"/>
      <c r="VBY55" s="223"/>
      <c r="VBZ55" s="223"/>
      <c r="VCI55" s="223"/>
      <c r="VCJ55" s="223"/>
      <c r="VCS55" s="223"/>
      <c r="VCT55" s="223"/>
      <c r="VDC55" s="223"/>
      <c r="VDD55" s="223"/>
      <c r="VDM55" s="223"/>
      <c r="VDN55" s="223"/>
      <c r="VDW55" s="223"/>
      <c r="VDX55" s="223"/>
      <c r="VEG55" s="223"/>
      <c r="VEH55" s="223"/>
      <c r="VEQ55" s="223"/>
      <c r="VER55" s="223"/>
      <c r="VFA55" s="223"/>
      <c r="VFB55" s="223"/>
      <c r="VFK55" s="223"/>
      <c r="VFL55" s="223"/>
      <c r="VFU55" s="223"/>
      <c r="VFV55" s="223"/>
      <c r="VGE55" s="223"/>
      <c r="VGF55" s="223"/>
      <c r="VGO55" s="223"/>
      <c r="VGP55" s="223"/>
      <c r="VGY55" s="223"/>
      <c r="VGZ55" s="223"/>
      <c r="VHI55" s="223"/>
      <c r="VHJ55" s="223"/>
      <c r="VHS55" s="223"/>
      <c r="VHT55" s="223"/>
      <c r="VIC55" s="223"/>
      <c r="VID55" s="223"/>
      <c r="VIM55" s="223"/>
      <c r="VIN55" s="223"/>
      <c r="VIW55" s="223"/>
      <c r="VIX55" s="223"/>
      <c r="VJG55" s="223"/>
      <c r="VJH55" s="223"/>
      <c r="VJQ55" s="223"/>
      <c r="VJR55" s="223"/>
      <c r="VKA55" s="223"/>
      <c r="VKB55" s="223"/>
      <c r="VKK55" s="223"/>
      <c r="VKL55" s="223"/>
      <c r="VKU55" s="223"/>
      <c r="VKV55" s="223"/>
      <c r="VLE55" s="223"/>
      <c r="VLF55" s="223"/>
      <c r="VLO55" s="223"/>
      <c r="VLP55" s="223"/>
      <c r="VLY55" s="223"/>
      <c r="VLZ55" s="223"/>
      <c r="VMI55" s="223"/>
      <c r="VMJ55" s="223"/>
      <c r="VMS55" s="223"/>
      <c r="VMT55" s="223"/>
      <c r="VNC55" s="223"/>
      <c r="VND55" s="223"/>
      <c r="VNM55" s="223"/>
      <c r="VNN55" s="223"/>
      <c r="VNW55" s="223"/>
      <c r="VNX55" s="223"/>
      <c r="VOG55" s="223"/>
      <c r="VOH55" s="223"/>
      <c r="VOQ55" s="223"/>
      <c r="VOR55" s="223"/>
      <c r="VPA55" s="223"/>
      <c r="VPB55" s="223"/>
      <c r="VPK55" s="223"/>
      <c r="VPL55" s="223"/>
      <c r="VPU55" s="223"/>
      <c r="VPV55" s="223"/>
      <c r="VQE55" s="223"/>
      <c r="VQF55" s="223"/>
      <c r="VQO55" s="223"/>
      <c r="VQP55" s="223"/>
      <c r="VQY55" s="223"/>
      <c r="VQZ55" s="223"/>
      <c r="VRI55" s="223"/>
      <c r="VRJ55" s="223"/>
      <c r="VRS55" s="223"/>
      <c r="VRT55" s="223"/>
      <c r="VSC55" s="223"/>
      <c r="VSD55" s="223"/>
      <c r="VSM55" s="223"/>
      <c r="VSN55" s="223"/>
      <c r="VSW55" s="223"/>
      <c r="VSX55" s="223"/>
      <c r="VTG55" s="223"/>
      <c r="VTH55" s="223"/>
      <c r="VTQ55" s="223"/>
      <c r="VTR55" s="223"/>
      <c r="VUA55" s="223"/>
      <c r="VUB55" s="223"/>
      <c r="VUK55" s="223"/>
      <c r="VUL55" s="223"/>
      <c r="VUU55" s="223"/>
      <c r="VUV55" s="223"/>
      <c r="VVE55" s="223"/>
      <c r="VVF55" s="223"/>
      <c r="VVO55" s="223"/>
      <c r="VVP55" s="223"/>
      <c r="VVY55" s="223"/>
      <c r="VVZ55" s="223"/>
      <c r="VWI55" s="223"/>
      <c r="VWJ55" s="223"/>
      <c r="VWS55" s="223"/>
      <c r="VWT55" s="223"/>
      <c r="VXC55" s="223"/>
      <c r="VXD55" s="223"/>
      <c r="VXM55" s="223"/>
      <c r="VXN55" s="223"/>
      <c r="VXW55" s="223"/>
      <c r="VXX55" s="223"/>
      <c r="VYG55" s="223"/>
      <c r="VYH55" s="223"/>
      <c r="VYQ55" s="223"/>
      <c r="VYR55" s="223"/>
      <c r="VZA55" s="223"/>
      <c r="VZB55" s="223"/>
      <c r="VZK55" s="223"/>
      <c r="VZL55" s="223"/>
      <c r="VZU55" s="223"/>
      <c r="VZV55" s="223"/>
      <c r="WAE55" s="223"/>
      <c r="WAF55" s="223"/>
      <c r="WAO55" s="223"/>
      <c r="WAP55" s="223"/>
      <c r="WAY55" s="223"/>
      <c r="WAZ55" s="223"/>
      <c r="WBI55" s="223"/>
      <c r="WBJ55" s="223"/>
      <c r="WBS55" s="223"/>
      <c r="WBT55" s="223"/>
      <c r="WCC55" s="223"/>
      <c r="WCD55" s="223"/>
      <c r="WCM55" s="223"/>
      <c r="WCN55" s="223"/>
      <c r="WCW55" s="223"/>
      <c r="WCX55" s="223"/>
      <c r="WDG55" s="223"/>
      <c r="WDH55" s="223"/>
      <c r="WDQ55" s="223"/>
      <c r="WDR55" s="223"/>
      <c r="WEA55" s="223"/>
      <c r="WEB55" s="223"/>
      <c r="WEK55" s="223"/>
      <c r="WEL55" s="223"/>
      <c r="WEU55" s="223"/>
      <c r="WEV55" s="223"/>
      <c r="WFE55" s="223"/>
      <c r="WFF55" s="223"/>
      <c r="WFO55" s="223"/>
      <c r="WFP55" s="223"/>
      <c r="WFY55" s="223"/>
      <c r="WFZ55" s="223"/>
      <c r="WGI55" s="223"/>
      <c r="WGJ55" s="223"/>
      <c r="WGS55" s="223"/>
      <c r="WGT55" s="223"/>
      <c r="WHC55" s="223"/>
      <c r="WHD55" s="223"/>
      <c r="WHM55" s="223"/>
      <c r="WHN55" s="223"/>
      <c r="WHW55" s="223"/>
      <c r="WHX55" s="223"/>
      <c r="WIG55" s="223"/>
      <c r="WIH55" s="223"/>
      <c r="WIQ55" s="223"/>
      <c r="WIR55" s="223"/>
      <c r="WJA55" s="223"/>
      <c r="WJB55" s="223"/>
      <c r="WJK55" s="223"/>
      <c r="WJL55" s="223"/>
      <c r="WJU55" s="223"/>
      <c r="WJV55" s="223"/>
      <c r="WKE55" s="223"/>
      <c r="WKF55" s="223"/>
      <c r="WKO55" s="223"/>
      <c r="WKP55" s="223"/>
      <c r="WKY55" s="223"/>
      <c r="WKZ55" s="223"/>
      <c r="WLI55" s="223"/>
      <c r="WLJ55" s="223"/>
      <c r="WLS55" s="223"/>
      <c r="WLT55" s="223"/>
      <c r="WMC55" s="223"/>
      <c r="WMD55" s="223"/>
      <c r="WMM55" s="223"/>
      <c r="WMN55" s="223"/>
      <c r="WMW55" s="223"/>
      <c r="WMX55" s="223"/>
      <c r="WNG55" s="223"/>
      <c r="WNH55" s="223"/>
      <c r="WNQ55" s="223"/>
      <c r="WNR55" s="223"/>
      <c r="WOA55" s="223"/>
      <c r="WOB55" s="223"/>
      <c r="WOK55" s="223"/>
      <c r="WOL55" s="223"/>
      <c r="WOU55" s="223"/>
      <c r="WOV55" s="223"/>
      <c r="WPE55" s="223"/>
      <c r="WPF55" s="223"/>
      <c r="WPO55" s="223"/>
      <c r="WPP55" s="223"/>
      <c r="WPY55" s="223"/>
      <c r="WPZ55" s="223"/>
      <c r="WQI55" s="223"/>
      <c r="WQJ55" s="223"/>
      <c r="WQS55" s="223"/>
      <c r="WQT55" s="223"/>
      <c r="WRC55" s="223"/>
      <c r="WRD55" s="223"/>
      <c r="WRM55" s="223"/>
      <c r="WRN55" s="223"/>
      <c r="WRW55" s="223"/>
      <c r="WRX55" s="223"/>
      <c r="WSG55" s="223"/>
      <c r="WSH55" s="223"/>
      <c r="WSQ55" s="223"/>
      <c r="WSR55" s="223"/>
      <c r="WTA55" s="223"/>
      <c r="WTB55" s="223"/>
      <c r="WTK55" s="223"/>
      <c r="WTL55" s="223"/>
      <c r="WTU55" s="223"/>
      <c r="WTV55" s="223"/>
      <c r="WUE55" s="223"/>
      <c r="WUF55" s="223"/>
      <c r="WUO55" s="223"/>
      <c r="WUP55" s="223"/>
      <c r="WUY55" s="223"/>
      <c r="WUZ55" s="223"/>
      <c r="WVI55" s="223"/>
      <c r="WVJ55" s="223"/>
      <c r="WVS55" s="223"/>
      <c r="WVT55" s="223"/>
      <c r="WWC55" s="223"/>
      <c r="WWD55" s="223"/>
      <c r="WWM55" s="223"/>
      <c r="WWN55" s="223"/>
      <c r="WWW55" s="223"/>
      <c r="WWX55" s="223"/>
      <c r="WXG55" s="223"/>
      <c r="WXH55" s="223"/>
      <c r="WXQ55" s="223"/>
      <c r="WXR55" s="223"/>
      <c r="WYA55" s="223"/>
      <c r="WYB55" s="223"/>
      <c r="WYK55" s="223"/>
      <c r="WYL55" s="223"/>
      <c r="WYU55" s="223"/>
      <c r="WYV55" s="223"/>
      <c r="WZE55" s="223"/>
      <c r="WZF55" s="223"/>
      <c r="WZO55" s="223"/>
      <c r="WZP55" s="223"/>
      <c r="WZY55" s="223"/>
      <c r="WZZ55" s="223"/>
      <c r="XAI55" s="223"/>
      <c r="XAJ55" s="223"/>
      <c r="XAS55" s="223"/>
      <c r="XAT55" s="223"/>
      <c r="XBC55" s="223"/>
      <c r="XBD55" s="223"/>
      <c r="XBM55" s="223"/>
      <c r="XBN55" s="223"/>
      <c r="XBW55" s="223"/>
      <c r="XBX55" s="223"/>
      <c r="XCG55" s="223"/>
      <c r="XCH55" s="223"/>
      <c r="XCQ55" s="223"/>
      <c r="XCR55" s="223"/>
      <c r="XDA55" s="223"/>
      <c r="XDB55" s="223"/>
      <c r="XDK55" s="223"/>
      <c r="XDL55" s="223"/>
      <c r="XDU55" s="223"/>
      <c r="XDV55" s="223"/>
      <c r="XEE55" s="223"/>
      <c r="XEF55" s="223"/>
      <c r="XEO55" s="223"/>
      <c r="XEP55" s="223"/>
      <c r="XEY55" s="223"/>
      <c r="XEZ55" s="223"/>
    </row>
    <row r="56" spans="1:1020 1029:2040 2049:3070 3079:4090 4099:5120 5129:6140 6149:7160 7169:8190 8199:9210 9219:10240 10249:11260 11269:12280 12289:13310 13319:14330 14339:15360 15369:16380" ht="60" customHeight="1" thickBot="1" x14ac:dyDescent="0.25">
      <c r="A56" s="1817" t="s">
        <v>185</v>
      </c>
      <c r="B56" s="1806" t="s">
        <v>140</v>
      </c>
      <c r="C56" s="1808" t="s">
        <v>186</v>
      </c>
      <c r="D56" s="1809"/>
      <c r="E56" s="1878" t="s">
        <v>187</v>
      </c>
      <c r="F56" s="1817" t="s">
        <v>188</v>
      </c>
      <c r="G56" s="1803" t="s">
        <v>189</v>
      </c>
      <c r="H56" s="1804"/>
      <c r="I56" s="1803" t="s">
        <v>190</v>
      </c>
      <c r="J56" s="1804"/>
      <c r="K56" s="1803" t="s">
        <v>191</v>
      </c>
      <c r="L56" s="1804"/>
      <c r="M56" s="242" t="s">
        <v>192</v>
      </c>
    </row>
    <row r="57" spans="1:1020 1029:2040 2049:3070 3079:4090 4099:5120 5129:6140 6149:7160 7169:8190 8199:9210 9219:10240 10249:11260 11269:12280 12289:13310 13319:14330 14339:15360 15369:16380" ht="60" customHeight="1" thickBot="1" x14ac:dyDescent="0.25">
      <c r="A57" s="1885"/>
      <c r="B57" s="1886"/>
      <c r="C57" s="242" t="s">
        <v>193</v>
      </c>
      <c r="D57" s="242" t="s">
        <v>194</v>
      </c>
      <c r="E57" s="1887"/>
      <c r="F57" s="1885"/>
      <c r="G57" s="478" t="s">
        <v>195</v>
      </c>
      <c r="H57" s="478" t="s">
        <v>196</v>
      </c>
      <c r="I57" s="478" t="s">
        <v>195</v>
      </c>
      <c r="J57" s="478" t="s">
        <v>196</v>
      </c>
      <c r="K57" s="478" t="s">
        <v>195</v>
      </c>
      <c r="L57" s="478" t="s">
        <v>196</v>
      </c>
      <c r="M57" s="242" t="s">
        <v>197</v>
      </c>
    </row>
    <row r="58" spans="1:1020 1029:2040 2049:3070 3079:4090 4099:5120 5129:6140 6149:7160 7169:8190 8199:9210 9219:10240 10249:11260 11269:12280 12289:13310 13319:14330 14339:15360 15369:16380" ht="65.099999999999994" customHeight="1" thickBot="1" x14ac:dyDescent="0.25">
      <c r="A58" s="454">
        <v>1</v>
      </c>
      <c r="B58" s="455" t="str">
        <f>'DATOS &lt;'!F78</f>
        <v>10 kg Pex</v>
      </c>
      <c r="C58" s="1247" t="str">
        <f>'DATOS &lt;'!B76</f>
        <v>10 kg</v>
      </c>
      <c r="D58" s="456" t="e">
        <f>'10 kg &lt; (C)'!$F$76</f>
        <v>#N/A</v>
      </c>
      <c r="E58" s="456">
        <f>'DATOS &lt;'!C109</f>
        <v>0.17</v>
      </c>
      <c r="F58" s="456">
        <f>'DATOS &lt;'!D109</f>
        <v>0.5</v>
      </c>
      <c r="G58" s="457" t="e">
        <f>'gramo Max-Min &lt; '!AA30</f>
        <v>#N/A</v>
      </c>
      <c r="H58" s="457" t="e">
        <f>'gramo Max-Min &lt; '!AA29</f>
        <v>#N/A</v>
      </c>
      <c r="I58" s="457" t="e">
        <f>'gramo Max-Min &lt; '!AB30</f>
        <v>#N/A</v>
      </c>
      <c r="J58" s="458" t="e">
        <f>'gramo Max-Min &lt; '!AB29</f>
        <v>#N/A</v>
      </c>
      <c r="K58" s="458" t="e">
        <f>'gramo Max-Min &lt; '!AC30</f>
        <v>#N/A</v>
      </c>
      <c r="L58" s="458" t="e">
        <f>'gramo Max-Min &lt; '!AC29</f>
        <v>#N/A</v>
      </c>
      <c r="M58" s="459" t="e">
        <f>IF(ABS(D58)+E58&gt;=((F58)),"NO","SI")</f>
        <v>#N/A</v>
      </c>
    </row>
    <row r="59" spans="1:1020 1029:2040 2049:3070 3079:4090 4099:5120 5129:6140 6149:7160 7169:8190 8199:9210 9219:10240 10249:11260 11269:12280 12289:13310 13319:14330 14339:15360 15369:16380" ht="20.100000000000001" customHeight="1" x14ac:dyDescent="0.2">
      <c r="A59" s="1051"/>
      <c r="B59" s="1051"/>
      <c r="C59" s="1051"/>
      <c r="D59" s="1051"/>
      <c r="E59" s="1051"/>
      <c r="F59" s="1051"/>
      <c r="G59" s="1052"/>
      <c r="H59" s="1052"/>
      <c r="I59" s="1052"/>
      <c r="J59" s="1053"/>
    </row>
    <row r="60" spans="1:1020 1029:2040 2049:3070 3079:4090 4099:5120 5129:6140 6149:7160 7169:8190 8199:9210 9219:10240 10249:11260 11269:12280 12289:13310 13319:14330 14339:15360 15369:16380" ht="23.25" customHeight="1" x14ac:dyDescent="0.2">
      <c r="A60" s="1824" t="s">
        <v>598</v>
      </c>
      <c r="B60" s="1824"/>
      <c r="C60" s="1824"/>
      <c r="D60" s="1824"/>
      <c r="E60" s="1824"/>
      <c r="F60" s="1824"/>
      <c r="G60" s="1824"/>
      <c r="H60" s="1824"/>
      <c r="I60" s="1824"/>
      <c r="J60" s="1824"/>
      <c r="K60" s="1824"/>
      <c r="L60" s="1824"/>
      <c r="M60" s="1824"/>
    </row>
    <row r="61" spans="1:1020 1029:2040 2049:3070 3079:4090 4099:5120 5129:6140 6149:7160 7169:8190 8199:9210 9219:10240 10249:11260 11269:12280 12289:13310 13319:14330 14339:15360 15369:16380" ht="30" customHeight="1" x14ac:dyDescent="0.2">
      <c r="A61" s="1824"/>
      <c r="B61" s="1824"/>
      <c r="C61" s="1824"/>
      <c r="D61" s="1824"/>
      <c r="E61" s="1824"/>
      <c r="F61" s="1824"/>
      <c r="G61" s="1824"/>
      <c r="H61" s="1824"/>
      <c r="I61" s="1824"/>
      <c r="J61" s="1824"/>
      <c r="K61" s="1824"/>
      <c r="L61" s="1824"/>
      <c r="M61" s="1824"/>
    </row>
    <row r="62" spans="1:1020 1029:2040 2049:3070 3079:4090 4099:5120 5129:6140 6149:7160 7169:8190 8199:9210 9219:10240 10249:11260 11269:12280 12289:13310 13319:14330 14339:15360 15369:16380" ht="33" customHeight="1" x14ac:dyDescent="0.2">
      <c r="A62" s="1824"/>
      <c r="B62" s="1824"/>
      <c r="C62" s="1824"/>
      <c r="D62" s="1824"/>
      <c r="E62" s="1824"/>
      <c r="F62" s="1824"/>
      <c r="G62" s="1824"/>
      <c r="H62" s="1824"/>
      <c r="I62" s="1824"/>
      <c r="J62" s="1824"/>
      <c r="K62" s="1824"/>
      <c r="L62" s="1824"/>
      <c r="M62" s="1824"/>
    </row>
    <row r="63" spans="1:1020 1029:2040 2049:3070 3079:4090 4099:5120 5129:6140 6149:7160 7169:8190 8199:9210 9219:10240 10249:11260 11269:12280 12289:13310 13319:14330 14339:15360 15369:16380" ht="20.100000000000001" customHeight="1" x14ac:dyDescent="0.2">
      <c r="A63" s="1054"/>
      <c r="B63" s="1054"/>
      <c r="C63" s="1054"/>
      <c r="D63" s="1054"/>
      <c r="E63" s="1054"/>
      <c r="F63" s="1054"/>
      <c r="G63" s="1054"/>
      <c r="H63" s="1054"/>
      <c r="I63" s="1054"/>
      <c r="J63" s="1054"/>
    </row>
    <row r="64" spans="1:1020 1029:2040 2049:3070 3079:4090 4099:5120 5129:6140 6149:7160 7169:8190 8199:9210 9219:10240 10249:11260 11269:12280 12289:13310 13319:14330 14339:15360 15369:16380" ht="23.1" customHeight="1" x14ac:dyDescent="0.2">
      <c r="A64" s="1054"/>
      <c r="B64" s="1054"/>
      <c r="C64" s="1054"/>
      <c r="D64" s="1054"/>
      <c r="E64" s="1054"/>
      <c r="F64" s="1054"/>
      <c r="G64" s="1054"/>
      <c r="H64" s="1054"/>
      <c r="I64" s="1054"/>
      <c r="J64" s="1054"/>
    </row>
    <row r="65" spans="1:13" ht="125.1" customHeight="1" x14ac:dyDescent="0.2">
      <c r="A65" s="1055"/>
      <c r="B65" s="1055"/>
      <c r="C65" s="1055"/>
      <c r="D65" s="1055"/>
      <c r="E65" s="1055"/>
      <c r="F65" s="1055"/>
      <c r="G65" s="1055"/>
      <c r="H65" s="1055"/>
      <c r="I65" s="1055"/>
      <c r="J65" s="1055"/>
    </row>
    <row r="66" spans="1:13" ht="35.1" customHeight="1" x14ac:dyDescent="0.2">
      <c r="A66" s="1055"/>
      <c r="B66" s="1055"/>
      <c r="C66" s="1055"/>
      <c r="D66" s="1055"/>
      <c r="E66" s="1055"/>
      <c r="F66" s="1055"/>
      <c r="G66" s="1055"/>
      <c r="H66" s="1055"/>
      <c r="I66" s="1055"/>
      <c r="J66" s="1055"/>
    </row>
    <row r="67" spans="1:13" ht="65.099999999999994" customHeight="1" x14ac:dyDescent="0.2">
      <c r="A67" s="1055"/>
      <c r="B67" s="1055"/>
      <c r="C67" s="1055"/>
      <c r="D67" s="1055"/>
      <c r="E67" s="1055"/>
      <c r="F67" s="1055"/>
      <c r="J67" s="1814" t="s">
        <v>8</v>
      </c>
      <c r="K67" s="1814"/>
      <c r="L67" s="1815">
        <f>L3</f>
        <v>0</v>
      </c>
      <c r="M67" s="1815"/>
    </row>
    <row r="68" spans="1:13" ht="23.1" customHeight="1" x14ac:dyDescent="0.2">
      <c r="A68" s="1816" t="s">
        <v>198</v>
      </c>
      <c r="B68" s="1816"/>
      <c r="C68" s="1816"/>
      <c r="D68" s="1816"/>
    </row>
    <row r="69" spans="1:13" ht="20.100000000000001" customHeight="1" x14ac:dyDescent="0.2"/>
    <row r="70" spans="1:13" s="1056" customFormat="1" ht="33" customHeight="1" x14ac:dyDescent="0.25">
      <c r="A70" s="1295" t="s">
        <v>199</v>
      </c>
      <c r="B70" s="1799" t="s">
        <v>200</v>
      </c>
      <c r="C70" s="1799"/>
      <c r="D70" s="1799"/>
      <c r="E70" s="1799"/>
      <c r="F70" s="1799"/>
      <c r="G70" s="1799"/>
      <c r="H70" s="1799"/>
      <c r="I70" s="1799"/>
      <c r="J70" s="1799"/>
      <c r="K70" s="1799"/>
      <c r="L70" s="1799"/>
      <c r="M70" s="1799"/>
    </row>
    <row r="71" spans="1:13" s="1056" customFormat="1" ht="33" customHeight="1" x14ac:dyDescent="0.25">
      <c r="A71" s="1295" t="s">
        <v>199</v>
      </c>
      <c r="B71" s="1799" t="s">
        <v>201</v>
      </c>
      <c r="C71" s="1799"/>
      <c r="D71" s="1799"/>
      <c r="E71" s="1799"/>
      <c r="F71" s="1799"/>
      <c r="G71" s="1799"/>
      <c r="H71" s="1799"/>
      <c r="I71" s="1799"/>
      <c r="J71" s="1799"/>
      <c r="K71" s="1799"/>
      <c r="L71" s="1799"/>
      <c r="M71" s="1799"/>
    </row>
    <row r="72" spans="1:13" s="1056" customFormat="1" ht="33" customHeight="1" x14ac:dyDescent="0.25">
      <c r="A72" s="1295" t="s">
        <v>199</v>
      </c>
      <c r="B72" s="1799" t="s">
        <v>202</v>
      </c>
      <c r="C72" s="1799"/>
      <c r="D72" s="1799"/>
      <c r="E72" s="1799"/>
      <c r="F72" s="1799"/>
      <c r="G72" s="1799"/>
      <c r="H72" s="1799"/>
      <c r="I72" s="1799"/>
      <c r="J72" s="1799"/>
      <c r="K72" s="1799"/>
      <c r="L72" s="1799"/>
      <c r="M72" s="1799"/>
    </row>
    <row r="73" spans="1:13" s="1056" customFormat="1" ht="23.1" customHeight="1" x14ac:dyDescent="0.25">
      <c r="A73" s="1295" t="s">
        <v>199</v>
      </c>
      <c r="B73" s="1799" t="s">
        <v>203</v>
      </c>
      <c r="C73" s="1799"/>
      <c r="D73" s="1799"/>
      <c r="E73" s="1799"/>
      <c r="F73" s="1799"/>
      <c r="G73" s="1799"/>
      <c r="H73" s="1799"/>
      <c r="I73" s="1799"/>
      <c r="J73" s="1799"/>
      <c r="K73" s="1799"/>
      <c r="L73" s="1799"/>
      <c r="M73" s="1799"/>
    </row>
    <row r="74" spans="1:13" s="1056" customFormat="1" ht="23.1" customHeight="1" x14ac:dyDescent="0.25">
      <c r="A74" s="1295" t="s">
        <v>199</v>
      </c>
      <c r="B74" s="1799" t="s">
        <v>204</v>
      </c>
      <c r="C74" s="1799"/>
      <c r="D74" s="1799"/>
      <c r="E74" s="1799"/>
      <c r="F74" s="1799"/>
      <c r="G74" s="1799"/>
      <c r="H74" s="1799"/>
      <c r="I74" s="1799"/>
      <c r="J74" s="1799"/>
      <c r="K74" s="1799"/>
      <c r="L74" s="1799"/>
      <c r="M74" s="1799"/>
    </row>
    <row r="75" spans="1:13" s="1056" customFormat="1" ht="33" customHeight="1" x14ac:dyDescent="0.25">
      <c r="A75" s="1295" t="s">
        <v>199</v>
      </c>
      <c r="B75" s="1799" t="s">
        <v>205</v>
      </c>
      <c r="C75" s="1799"/>
      <c r="D75" s="1799"/>
      <c r="E75" s="1799"/>
      <c r="F75" s="1799"/>
      <c r="G75" s="1799"/>
      <c r="H75" s="1799"/>
      <c r="I75" s="1799"/>
      <c r="J75" s="1799"/>
      <c r="K75" s="1799"/>
      <c r="L75" s="1799"/>
      <c r="M75" s="1799"/>
    </row>
    <row r="76" spans="1:13" s="1056" customFormat="1" ht="23.1" customHeight="1" x14ac:dyDescent="0.25">
      <c r="A76" s="1295" t="s">
        <v>199</v>
      </c>
      <c r="B76" s="1799" t="s">
        <v>206</v>
      </c>
      <c r="C76" s="1799"/>
      <c r="D76" s="1799"/>
      <c r="E76" s="1799"/>
      <c r="F76" s="1799"/>
      <c r="G76" s="1799"/>
      <c r="H76" s="1799"/>
      <c r="I76" s="1799"/>
      <c r="J76" s="1799"/>
      <c r="K76" s="1799"/>
      <c r="L76" s="1799"/>
      <c r="M76" s="1799"/>
    </row>
    <row r="77" spans="1:13" s="1056" customFormat="1" ht="23.1" customHeight="1" x14ac:dyDescent="0.25">
      <c r="A77" s="1295" t="s">
        <v>199</v>
      </c>
      <c r="B77" s="1799" t="s">
        <v>568</v>
      </c>
      <c r="C77" s="1799"/>
      <c r="D77" s="1799"/>
      <c r="E77" s="1799"/>
      <c r="F77" s="1799"/>
      <c r="G77" s="1799"/>
      <c r="H77" s="1799"/>
      <c r="I77" s="1799"/>
      <c r="J77" s="1799"/>
      <c r="K77" s="1799"/>
      <c r="L77" s="1799"/>
      <c r="M77" s="1799"/>
    </row>
    <row r="78" spans="1:13" ht="23.1" customHeight="1" x14ac:dyDescent="0.2">
      <c r="A78" s="1295" t="s">
        <v>199</v>
      </c>
      <c r="B78" s="1799" t="s">
        <v>207</v>
      </c>
      <c r="C78" s="1799"/>
      <c r="D78" s="1799"/>
      <c r="E78" s="1799"/>
      <c r="F78" s="1799"/>
      <c r="G78" s="1799"/>
      <c r="H78" s="1799"/>
      <c r="I78" s="1799"/>
      <c r="J78" s="1799"/>
      <c r="K78" s="1799"/>
      <c r="L78" s="1799"/>
      <c r="M78" s="1799"/>
    </row>
    <row r="79" spans="1:13" ht="23.1" customHeight="1" x14ac:dyDescent="0.2">
      <c r="A79" s="1295" t="s">
        <v>199</v>
      </c>
      <c r="B79" s="1799" t="s">
        <v>599</v>
      </c>
      <c r="C79" s="1799"/>
      <c r="D79" s="1799"/>
      <c r="E79" s="1799"/>
      <c r="F79" s="1799"/>
      <c r="G79" s="1799"/>
      <c r="H79" s="1799"/>
      <c r="I79" s="1799"/>
      <c r="J79" s="1799"/>
      <c r="K79" s="1799"/>
      <c r="L79" s="1799"/>
      <c r="M79" s="1799"/>
    </row>
    <row r="80" spans="1:13" ht="33" customHeight="1" x14ac:dyDescent="0.2">
      <c r="A80" s="1295" t="s">
        <v>199</v>
      </c>
      <c r="B80" s="1799" t="s">
        <v>208</v>
      </c>
      <c r="C80" s="1799"/>
      <c r="D80" s="1799"/>
      <c r="E80" s="1799"/>
      <c r="F80" s="1799"/>
      <c r="G80" s="1799"/>
      <c r="H80" s="1799"/>
      <c r="I80" s="1799"/>
      <c r="J80" s="1799"/>
      <c r="K80" s="1799"/>
      <c r="L80" s="1799"/>
      <c r="M80" s="1799"/>
    </row>
    <row r="81" spans="1:13" ht="20.100000000000001" customHeight="1" x14ac:dyDescent="0.2">
      <c r="A81" s="228"/>
      <c r="B81" s="1882"/>
      <c r="C81" s="1882"/>
      <c r="D81" s="1882"/>
      <c r="E81" s="1882"/>
      <c r="F81" s="1882"/>
      <c r="G81" s="1882"/>
      <c r="H81" s="1882"/>
      <c r="I81" s="1882"/>
      <c r="J81" s="1882"/>
    </row>
    <row r="82" spans="1:13" ht="20.100000000000001" customHeight="1" x14ac:dyDescent="0.2"/>
    <row r="83" spans="1:13" ht="23.1" customHeight="1" x14ac:dyDescent="0.25">
      <c r="A83" s="1800"/>
      <c r="B83" s="1800"/>
      <c r="C83" s="1800"/>
      <c r="E83" s="229"/>
    </row>
    <row r="84" spans="1:13" ht="20.100000000000001" customHeight="1" x14ac:dyDescent="0.2"/>
    <row r="85" spans="1:13" ht="20.100000000000001" customHeight="1" x14ac:dyDescent="0.2">
      <c r="G85" s="1057"/>
      <c r="J85" s="1003"/>
    </row>
    <row r="86" spans="1:13" ht="23.1" customHeight="1" thickBot="1" x14ac:dyDescent="0.3">
      <c r="A86" s="229"/>
      <c r="B86" s="1861"/>
      <c r="C86" s="1861"/>
      <c r="D86" s="1861"/>
      <c r="E86" s="1861"/>
      <c r="F86" s="1262"/>
      <c r="H86" s="1861"/>
      <c r="I86" s="1861"/>
      <c r="J86" s="1861"/>
      <c r="K86" s="1861"/>
      <c r="L86" s="1861"/>
      <c r="M86" s="1262"/>
    </row>
    <row r="87" spans="1:13" ht="23.1" customHeight="1" x14ac:dyDescent="0.2">
      <c r="B87" s="1801" t="s">
        <v>209</v>
      </c>
      <c r="C87" s="1801"/>
      <c r="D87" s="1801"/>
      <c r="E87" s="1801"/>
      <c r="F87" s="1004"/>
      <c r="H87" s="1801" t="e">
        <f>VLOOKUP($M$86,'DATOS &lt;'!B131:G135,6,FALSE)</f>
        <v>#N/A</v>
      </c>
      <c r="I87" s="1801"/>
      <c r="J87" s="1801"/>
      <c r="K87" s="1801"/>
      <c r="L87" s="1801"/>
    </row>
    <row r="88" spans="1:13" ht="33" customHeight="1" x14ac:dyDescent="0.25">
      <c r="A88" s="229"/>
      <c r="B88" s="1802" t="e">
        <f>VLOOKUP($F$86,'DATOS &lt;'!$B$131:$E$135,4,FALSE)</f>
        <v>#N/A</v>
      </c>
      <c r="C88" s="1802"/>
      <c r="D88" s="1802"/>
      <c r="E88" s="1802"/>
      <c r="F88" s="409"/>
      <c r="H88" s="1802"/>
      <c r="I88" s="1802"/>
      <c r="J88" s="1802"/>
      <c r="K88" s="1802"/>
      <c r="L88" s="1802"/>
    </row>
    <row r="89" spans="1:13" ht="23.1" customHeight="1" x14ac:dyDescent="0.2">
      <c r="B89" s="1802" t="e">
        <f>VLOOKUP($F$86,'DATOS &lt;'!$B$131:$E$135,2,FALSE)</f>
        <v>#N/A</v>
      </c>
      <c r="C89" s="1802"/>
      <c r="D89" s="1802"/>
      <c r="E89" s="1802"/>
      <c r="F89" s="1004"/>
      <c r="H89" s="1802" t="e">
        <f>VLOOKUP($M$86,'DATOS &lt;'!$B$131:$G$135,2,FALSE)</f>
        <v>#N/A</v>
      </c>
      <c r="I89" s="1802"/>
      <c r="J89" s="1802"/>
      <c r="K89" s="1802"/>
      <c r="L89" s="1802"/>
    </row>
    <row r="90" spans="1:13" x14ac:dyDescent="0.2">
      <c r="J90" s="1003"/>
    </row>
    <row r="91" spans="1:13" ht="23.1" customHeight="1" x14ac:dyDescent="0.2">
      <c r="B91" s="1884" t="s">
        <v>211</v>
      </c>
      <c r="C91" s="1884"/>
      <c r="D91" s="1858"/>
      <c r="E91" s="1858"/>
      <c r="H91" s="1860" t="s">
        <v>212</v>
      </c>
      <c r="I91" s="1860"/>
      <c r="J91" s="1860"/>
      <c r="K91" s="1858"/>
      <c r="L91" s="1858"/>
    </row>
    <row r="92" spans="1:13" x14ac:dyDescent="0.2">
      <c r="J92" s="1003"/>
    </row>
    <row r="93" spans="1:13" ht="23.1" customHeight="1" x14ac:dyDescent="0.25">
      <c r="A93" s="1800" t="s">
        <v>213</v>
      </c>
      <c r="B93" s="1800"/>
      <c r="C93" s="1800"/>
      <c r="D93" s="1800"/>
      <c r="E93" s="1800"/>
      <c r="F93" s="1800"/>
      <c r="G93" s="1800"/>
      <c r="H93" s="1800"/>
      <c r="I93" s="1800"/>
      <c r="J93" s="1800"/>
      <c r="K93" s="1800"/>
      <c r="L93" s="1800"/>
      <c r="M93" s="1800"/>
    </row>
  </sheetData>
  <sheetProtection password="CF7A" sheet="1" objects="1" scenarios="1"/>
  <mergeCells count="101">
    <mergeCell ref="L3:M3"/>
    <mergeCell ref="A4:C4"/>
    <mergeCell ref="K10:L10"/>
    <mergeCell ref="H10:J10"/>
    <mergeCell ref="A1:M1"/>
    <mergeCell ref="L40:M40"/>
    <mergeCell ref="J67:K67"/>
    <mergeCell ref="L67:M67"/>
    <mergeCell ref="B88:E88"/>
    <mergeCell ref="A47:C47"/>
    <mergeCell ref="G47:H47"/>
    <mergeCell ref="I47:J47"/>
    <mergeCell ref="A49:J49"/>
    <mergeCell ref="A41:J41"/>
    <mergeCell ref="B45:D45"/>
    <mergeCell ref="H45:I45"/>
    <mergeCell ref="J45:K45"/>
    <mergeCell ref="B46:D46"/>
    <mergeCell ref="H46:I46"/>
    <mergeCell ref="J46:K46"/>
    <mergeCell ref="A6:B6"/>
    <mergeCell ref="D6:J6"/>
    <mergeCell ref="A12:J12"/>
    <mergeCell ref="A14:C14"/>
    <mergeCell ref="D14:J14"/>
    <mergeCell ref="J3:K3"/>
    <mergeCell ref="G4:H4"/>
    <mergeCell ref="A15:C15"/>
    <mergeCell ref="D15:G15"/>
    <mergeCell ref="A16:C16"/>
    <mergeCell ref="D16:G16"/>
    <mergeCell ref="A7:B7"/>
    <mergeCell ref="D7:J7"/>
    <mergeCell ref="A8:B8"/>
    <mergeCell ref="D8:G8"/>
    <mergeCell ref="A10:C10"/>
    <mergeCell ref="D10:E10"/>
    <mergeCell ref="A26:J26"/>
    <mergeCell ref="A22:M22"/>
    <mergeCell ref="A28:M28"/>
    <mergeCell ref="J40:K40"/>
    <mergeCell ref="B35:C35"/>
    <mergeCell ref="D35:E35"/>
    <mergeCell ref="F35:G35"/>
    <mergeCell ref="A36:B36"/>
    <mergeCell ref="C36:D36"/>
    <mergeCell ref="A30:J30"/>
    <mergeCell ref="A31:J31"/>
    <mergeCell ref="B33:C34"/>
    <mergeCell ref="D33:E34"/>
    <mergeCell ref="F33:G34"/>
    <mergeCell ref="H33:K33"/>
    <mergeCell ref="H34:I34"/>
    <mergeCell ref="J34:K34"/>
    <mergeCell ref="A17:C17"/>
    <mergeCell ref="D17:E17"/>
    <mergeCell ref="F17:G17"/>
    <mergeCell ref="A19:E19"/>
    <mergeCell ref="F19:J19"/>
    <mergeCell ref="A21:F21"/>
    <mergeCell ref="B23:E23"/>
    <mergeCell ref="A24:D24"/>
    <mergeCell ref="E24:F24"/>
    <mergeCell ref="B78:M78"/>
    <mergeCell ref="B91:C91"/>
    <mergeCell ref="H91:J91"/>
    <mergeCell ref="G56:H56"/>
    <mergeCell ref="I56:J56"/>
    <mergeCell ref="B81:J81"/>
    <mergeCell ref="A83:C83"/>
    <mergeCell ref="B86:E86"/>
    <mergeCell ref="B72:M72"/>
    <mergeCell ref="E56:E57"/>
    <mergeCell ref="F56:F57"/>
    <mergeCell ref="H86:L86"/>
    <mergeCell ref="H89:L89"/>
    <mergeCell ref="H87:L88"/>
    <mergeCell ref="A51:M52"/>
    <mergeCell ref="E36:F36"/>
    <mergeCell ref="A93:M93"/>
    <mergeCell ref="B87:E87"/>
    <mergeCell ref="B89:E89"/>
    <mergeCell ref="A43:M43"/>
    <mergeCell ref="D91:E91"/>
    <mergeCell ref="K91:L91"/>
    <mergeCell ref="K56:L56"/>
    <mergeCell ref="B74:M74"/>
    <mergeCell ref="B75:M75"/>
    <mergeCell ref="B76:M76"/>
    <mergeCell ref="B77:M77"/>
    <mergeCell ref="A60:M62"/>
    <mergeCell ref="B70:M70"/>
    <mergeCell ref="B71:M71"/>
    <mergeCell ref="A68:D68"/>
    <mergeCell ref="A54:J54"/>
    <mergeCell ref="A56:A57"/>
    <mergeCell ref="B56:B57"/>
    <mergeCell ref="C56:D56"/>
    <mergeCell ref="B73:M73"/>
    <mergeCell ref="B79:M79"/>
    <mergeCell ref="B80:M80"/>
  </mergeCells>
  <conditionalFormatting sqref="M58">
    <cfRule type="containsText" dxfId="2" priority="1" operator="containsText" text="NO">
      <formula>NOT(ISERROR(SEARCH("NO",M58)))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V.16 (2023-11-10)
&amp;P de 3
</oddFooter>
  </headerFooter>
  <rowBreaks count="2" manualBreakCount="2">
    <brk id="37" min="1" max="12" man="1"/>
    <brk id="64" min="1"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A00-000000000000}">
          <x14:formula1>
            <xm:f>'DATOS &lt;'!$B$131:$B$135</xm:f>
          </x14:formula1>
          <xm:sqref>M86 F86</xm:sqref>
        </x14:dataValidation>
        <x14:dataValidation type="list" allowBlank="1" showInputMessage="1" showErrorMessage="1" xr:uid="{00000000-0002-0000-2A00-000001000000}">
          <x14:formula1>
            <xm:f>'DATOS &lt;'!$B$202:$B$215</xm:f>
          </x14:formula1>
          <xm:sqref>K32</xm:sqref>
        </x14:dataValidation>
        <x14:dataValidation type="list" allowBlank="1" showInputMessage="1" showErrorMessage="1" xr:uid="{00000000-0002-0000-2A00-000002000000}">
          <x14:formula1>
            <xm:f>'DATOS &lt;'!$I$115:$I$118</xm:f>
          </x14:formula1>
          <xm:sqref>M41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3">
    <tabColor rgb="FF7030A0"/>
  </sheetPr>
  <dimension ref="A1:U106"/>
  <sheetViews>
    <sheetView showGridLines="0" view="pageBreakPreview" topLeftCell="A15" zoomScale="80" zoomScaleNormal="60" zoomScaleSheetLayoutView="80" workbookViewId="0">
      <selection activeCell="C29" sqref="C29"/>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6">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&lt;'!N25:V134,4,FALSE)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&lt;'!N25:V134,6,FALSE)</f>
        <v>#N/A</v>
      </c>
      <c r="C9" s="605" t="s">
        <v>15</v>
      </c>
      <c r="D9" s="606" t="e">
        <f>VLOOKUP($E$6,'DATOS &lt;'!N25:V134,7,FALSE)</f>
        <v>#N/A</v>
      </c>
      <c r="F9" s="1354" t="s">
        <v>16</v>
      </c>
      <c r="G9" s="1355"/>
      <c r="H9" s="600" t="e">
        <f>VLOOKUP($J$6,'DATOS &lt;'!B47:I79,6,FALSE)</f>
        <v>#N/A</v>
      </c>
      <c r="I9" s="602" t="s">
        <v>17</v>
      </c>
      <c r="K9" s="749"/>
    </row>
    <row r="10" spans="1:16" s="609" customFormat="1" ht="31.5" customHeight="1" x14ac:dyDescent="0.25">
      <c r="A10" s="1354" t="s">
        <v>18</v>
      </c>
      <c r="B10" s="1355"/>
      <c r="C10" s="789" t="e">
        <f>VLOOKUP($E$6,'DATOS &lt;'!N25:AC134,8,FALSE)</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600" t="e">
        <f>VLOOKUP($E$6,'DATOS &lt;'!N25:AC134,10,FALSE)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600" t="e">
        <f>VLOOKUP($E$6,'DATOS &lt;'!N25:AC134,12,FALSE)</f>
        <v>#N/A</v>
      </c>
      <c r="D12" s="602" t="s">
        <v>22</v>
      </c>
      <c r="E12" s="611"/>
      <c r="F12" s="611"/>
      <c r="G12" s="611"/>
      <c r="H12" s="611"/>
    </row>
    <row r="13" spans="1:16" s="609" customFormat="1" ht="31.5" customHeight="1" thickBot="1" x14ac:dyDescent="0.3">
      <c r="A13" s="1354" t="s">
        <v>25</v>
      </c>
      <c r="B13" s="1355"/>
      <c r="C13" s="610" t="e">
        <f>VLOOKUP($E$6,'DATOS &lt;'!N25:AC134,13,FALSE)</f>
        <v>#N/A</v>
      </c>
      <c r="D13" s="602" t="s">
        <v>20</v>
      </c>
      <c r="E13" s="611"/>
      <c r="F13" s="1386" t="s">
        <v>27</v>
      </c>
      <c r="G13" s="1387"/>
      <c r="H13" s="1387"/>
      <c r="I13" s="1388"/>
      <c r="J13" s="5"/>
    </row>
    <row r="14" spans="1:16" s="609" customFormat="1" ht="31.5" customHeight="1" x14ac:dyDescent="0.2">
      <c r="A14" s="1354" t="s">
        <v>28</v>
      </c>
      <c r="B14" s="1355"/>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532" t="e">
        <f>VLOOKUP($E$6,'DATOS &lt;'!N25:AC134,16,FALSE)</f>
        <v>#N/A</v>
      </c>
      <c r="D16" s="1533"/>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357"/>
      <c r="C27" s="635">
        <v>1</v>
      </c>
      <c r="D27" s="635">
        <v>2</v>
      </c>
      <c r="E27" s="635">
        <v>3</v>
      </c>
      <c r="F27" s="626"/>
      <c r="H27" s="1376" t="s">
        <v>44</v>
      </c>
      <c r="I27" s="1377"/>
    </row>
    <row r="28" spans="1:14" s="627" customFormat="1" ht="31.5" customHeight="1" thickBot="1" x14ac:dyDescent="0.25">
      <c r="A28" s="1381" t="s">
        <v>45</v>
      </c>
      <c r="B28" s="645" t="s">
        <v>46</v>
      </c>
      <c r="C28" s="546"/>
      <c r="D28" s="546"/>
      <c r="E28" s="199"/>
      <c r="F28" s="626"/>
      <c r="G28" s="626"/>
      <c r="H28" s="1358" t="e">
        <f>VLOOKUP($I$26,'DATOS &lt;'!$B$131:$G$135,2,FALSE)</f>
        <v>#N/A</v>
      </c>
      <c r="I28" s="1359"/>
    </row>
    <row r="29" spans="1:14" s="627" customFormat="1" ht="31.5" customHeight="1" x14ac:dyDescent="0.2">
      <c r="A29" s="1382"/>
      <c r="B29" s="790" t="s">
        <v>47</v>
      </c>
      <c r="C29" s="547"/>
      <c r="D29" s="547"/>
      <c r="E29" s="200"/>
      <c r="F29" s="626"/>
      <c r="G29" s="626"/>
      <c r="H29" s="626"/>
      <c r="I29" s="626"/>
    </row>
    <row r="30" spans="1:14" s="627" customFormat="1" ht="31.5" customHeight="1" x14ac:dyDescent="0.2">
      <c r="A30" s="1382"/>
      <c r="B30" s="790" t="s">
        <v>47</v>
      </c>
      <c r="C30" s="547"/>
      <c r="D30" s="547"/>
      <c r="E30" s="200"/>
      <c r="F30" s="626"/>
      <c r="G30" s="626"/>
      <c r="H30" s="626"/>
      <c r="I30" s="626"/>
      <c r="J30" s="626"/>
    </row>
    <row r="31" spans="1:14" s="627" customFormat="1" ht="31.5" customHeight="1" thickBot="1" x14ac:dyDescent="0.25">
      <c r="A31" s="1383"/>
      <c r="B31" s="791" t="s">
        <v>46</v>
      </c>
      <c r="C31" s="539"/>
      <c r="D31" s="539"/>
      <c r="E31" s="20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79"/>
      <c r="F38" s="69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96"/>
      <c r="G39" s="626"/>
      <c r="H39" s="1317" t="e">
        <f>VLOOKUP($N$39,'DATOS &lt;'!$I$127:$L$130,2,FALSE)</f>
        <v>#N/A</v>
      </c>
      <c r="I39" s="1318"/>
      <c r="J39" s="1318"/>
      <c r="K39" s="1318"/>
      <c r="L39" s="1318"/>
      <c r="M39" s="1319"/>
      <c r="N39" s="1293"/>
    </row>
    <row r="40" spans="1:14" s="627" customFormat="1" ht="31.5" customHeight="1" x14ac:dyDescent="0.2">
      <c r="A40" s="647"/>
      <c r="B40" s="648"/>
      <c r="C40" s="800" t="e">
        <f>+AVERAGE(C28,C31)</f>
        <v>#DIV/0!</v>
      </c>
      <c r="D40" s="801" t="e">
        <f>+AVERAGE(D28,D31)</f>
        <v>#DIV/0!</v>
      </c>
      <c r="E40" s="802" t="e">
        <f>+AVERAGE(E28,E31)</f>
        <v>#DIV/0!</v>
      </c>
      <c r="F40" s="696"/>
      <c r="G40" s="626"/>
      <c r="H40" s="1320" t="s">
        <v>532</v>
      </c>
      <c r="I40" s="1321"/>
      <c r="J40" s="1321"/>
      <c r="K40" s="1321"/>
      <c r="L40" s="1321"/>
      <c r="M40" s="1322"/>
    </row>
    <row r="41" spans="1:14" s="627" customFormat="1" ht="31.5" customHeight="1" x14ac:dyDescent="0.2">
      <c r="A41" s="647"/>
      <c r="B41" s="652"/>
      <c r="C41" s="803" t="e">
        <f>+AVERAGE(C29:C30)</f>
        <v>#DIV/0!</v>
      </c>
      <c r="D41" s="804" t="e">
        <f>+AVERAGE(D29:D30)</f>
        <v>#DIV/0!</v>
      </c>
      <c r="E41" s="805" t="e">
        <f>+AVERAGE(E29:E30)</f>
        <v>#DIV/0!</v>
      </c>
      <c r="F41" s="696"/>
      <c r="G41" s="626"/>
      <c r="H41" s="1323"/>
      <c r="I41" s="1324"/>
      <c r="J41" s="1324"/>
      <c r="K41" s="1324"/>
      <c r="L41" s="1324"/>
      <c r="M41" s="1325"/>
    </row>
    <row r="42" spans="1:14" s="627" customFormat="1" ht="31.5" customHeight="1" thickBot="1" x14ac:dyDescent="0.25">
      <c r="A42" s="647"/>
      <c r="B42" s="656"/>
      <c r="C42" s="806" t="e">
        <f>+C41-C40</f>
        <v>#DIV/0!</v>
      </c>
      <c r="D42" s="807" t="e">
        <f>+D41-D40</f>
        <v>#DIV/0!</v>
      </c>
      <c r="E42" s="808" t="e">
        <f>+E41-E40</f>
        <v>#DIV/0!</v>
      </c>
      <c r="F42" s="696"/>
      <c r="G42" s="626"/>
      <c r="H42" s="1326"/>
      <c r="I42" s="1327"/>
      <c r="J42" s="1327"/>
      <c r="K42" s="1327"/>
      <c r="L42" s="1327"/>
      <c r="M42" s="1328"/>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22"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f>
        <v>3</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79</v>
      </c>
      <c r="F60" s="122" t="s">
        <v>548</v>
      </c>
      <c r="G60" s="518"/>
      <c r="H60" s="794" t="e">
        <f t="shared" ref="H60:H65" si="0">IFERROR(C60/$G$70,"--")^2</f>
        <v>#VALUE!</v>
      </c>
      <c r="I60" s="1540" t="s">
        <v>77</v>
      </c>
      <c r="J60" s="1455"/>
      <c r="K60" s="1455"/>
      <c r="L60" s="1455"/>
      <c r="M60" s="1455"/>
      <c r="N60" s="1456"/>
    </row>
    <row r="61" spans="1:21" s="627" customFormat="1" ht="57.95" customHeight="1" thickBot="1" x14ac:dyDescent="0.25">
      <c r="A61" s="702" t="s">
        <v>78</v>
      </c>
      <c r="B61" s="703"/>
      <c r="C61" s="704" t="e">
        <f>VLOOKUP($E$6,'DATOS &lt;'!N25:AC134,11,FALSE)</f>
        <v>#N/A</v>
      </c>
      <c r="D61" s="705" t="s">
        <v>22</v>
      </c>
      <c r="E61" s="422" t="s">
        <v>79</v>
      </c>
      <c r="F61" s="123" t="s">
        <v>548</v>
      </c>
      <c r="G61" s="518"/>
      <c r="H61" s="794" t="e">
        <f t="shared" si="0"/>
        <v>#VALUE!</v>
      </c>
      <c r="I61" s="532" t="s">
        <v>80</v>
      </c>
      <c r="J61" s="533" t="str">
        <f>IFERROR(SQRT(SUMSQ(H59,H62,H66,H67,H68))/MAX(C59,C62,C66,C67,C68),"--")</f>
        <v>--</v>
      </c>
      <c r="K61" s="706" t="str">
        <f>IF((J61)&lt;=(L59),"1,65","2")</f>
        <v>2</v>
      </c>
      <c r="L61" s="435" t="s">
        <v>81</v>
      </c>
      <c r="M61" s="433" t="s">
        <v>82</v>
      </c>
      <c r="N61" s="436" t="s">
        <v>553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79</v>
      </c>
      <c r="F63" s="122" t="s">
        <v>548</v>
      </c>
      <c r="G63" s="518"/>
      <c r="H63" s="794" t="e">
        <f t="shared" si="0"/>
        <v>#VALUE!</v>
      </c>
    </row>
    <row r="64" spans="1:21" s="627" customFormat="1" ht="57.95" customHeight="1" thickBot="1" x14ac:dyDescent="0.25">
      <c r="A64" s="710" t="s">
        <v>88</v>
      </c>
      <c r="B64" s="711"/>
      <c r="C64" s="712" t="e">
        <f>+H11/2</f>
        <v>#N/A</v>
      </c>
      <c r="D64" s="713" t="s">
        <v>58</v>
      </c>
      <c r="E64" s="241" t="s">
        <v>79</v>
      </c>
      <c r="F64" s="124" t="s">
        <v>548</v>
      </c>
      <c r="G64" s="518"/>
      <c r="H64" s="794" t="e">
        <f t="shared" si="0"/>
        <v>#VALUE!</v>
      </c>
      <c r="Q64" s="626"/>
      <c r="R64" s="626"/>
      <c r="S64" s="626"/>
      <c r="T64" s="626"/>
      <c r="U64" s="626"/>
    </row>
    <row r="65" spans="1:21" s="627" customFormat="1" ht="57.95" customHeight="1" thickBot="1" x14ac:dyDescent="0.25">
      <c r="A65" s="702" t="s">
        <v>89</v>
      </c>
      <c r="B65" s="714"/>
      <c r="C65" s="715" t="e">
        <f>+C14/2</f>
        <v>#N/A</v>
      </c>
      <c r="D65" s="705" t="s">
        <v>58</v>
      </c>
      <c r="E65" s="426" t="s">
        <v>79</v>
      </c>
      <c r="F65" s="123" t="s">
        <v>548</v>
      </c>
      <c r="G65" s="518"/>
      <c r="H65" s="794"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792" t="e">
        <f>IF(C67=MAX($C$59,$C$62,$C$66,$C$67,$C$68),"",C67)</f>
        <v>#N/A</v>
      </c>
      <c r="J67" s="812" t="s">
        <v>549</v>
      </c>
      <c r="K67" s="967" t="s">
        <v>93</v>
      </c>
      <c r="L67" s="813" t="s">
        <v>94</v>
      </c>
    </row>
    <row r="68" spans="1:21" s="627" customFormat="1" ht="65.25" customHeight="1" thickBot="1" x14ac:dyDescent="0.3">
      <c r="A68" s="723" t="s">
        <v>95</v>
      </c>
      <c r="B68" s="724"/>
      <c r="C68" s="725">
        <f>0.37/SQRT(45)</f>
        <v>5.5156343444994808E-2</v>
      </c>
      <c r="D68" s="720" t="s">
        <v>22</v>
      </c>
      <c r="E68" s="427" t="s">
        <v>74</v>
      </c>
      <c r="F68" s="726">
        <v>50</v>
      </c>
      <c r="G68" s="519" t="e">
        <f t="shared" si="1"/>
        <v>#VALUE!</v>
      </c>
      <c r="H68" s="792" t="e">
        <f>IF(C68=MAX($C$59,$C$62,$C$66,$C$67,$C$68),"",C68)</f>
        <v>#DIV/0!</v>
      </c>
      <c r="J68" s="525" t="e">
        <f>(G70^4/((C59^4/F59)+(C62^4/F62)+(C66^4/F66)+(C67^4/F67)+(C68^4/F68)))</f>
        <v>#DIV/0!</v>
      </c>
      <c r="K68" s="526" t="e">
        <f>(_xlfn.T.INV.2T(0.05,J68))</f>
        <v>#DIV/0!</v>
      </c>
      <c r="L68" s="527" t="e">
        <f>(1-_xlfn.T.DIST.2T(K68,J68))</f>
        <v>#DIV/0!</v>
      </c>
    </row>
    <row r="69" spans="1:21" s="92" customFormat="1" ht="51.75" customHeight="1" thickBot="1" x14ac:dyDescent="0.25">
      <c r="G69" s="461" t="e">
        <f>SUM(G59,G62,G66,G67,G68)</f>
        <v>#VALUE!</v>
      </c>
      <c r="M69" s="627"/>
      <c r="S69" s="627"/>
      <c r="T69" s="627"/>
      <c r="U69" s="627"/>
    </row>
    <row r="70" spans="1:21" s="92" customFormat="1" ht="35.1" customHeight="1" thickBot="1" x14ac:dyDescent="0.3">
      <c r="D70" s="1312" t="s">
        <v>96</v>
      </c>
      <c r="E70" s="1313"/>
      <c r="F70" s="727"/>
      <c r="G70" s="728" t="e">
        <f>+SQRT(SUMSQ(C59,C62,C66,C67,C68))</f>
        <v>#DIV/0!</v>
      </c>
      <c r="H70" s="729" t="s">
        <v>22</v>
      </c>
      <c r="L70" s="627"/>
      <c r="O70" s="627"/>
      <c r="P70" s="627"/>
      <c r="Q70" s="627"/>
      <c r="R70" s="627"/>
      <c r="S70" s="627"/>
      <c r="T70" s="627"/>
      <c r="U70" s="627"/>
    </row>
    <row r="71" spans="1:21" s="92" customFormat="1" ht="33.75" customHeight="1" thickBot="1" x14ac:dyDescent="0.25">
      <c r="D71" s="1312" t="s">
        <v>97</v>
      </c>
      <c r="E71" s="1313"/>
      <c r="F71" s="730"/>
      <c r="G71" s="728" t="e">
        <f>+G70*2</f>
        <v>#DIV/0!</v>
      </c>
      <c r="H71" s="731" t="s">
        <v>22</v>
      </c>
      <c r="L71" s="95"/>
      <c r="O71" s="627"/>
      <c r="P71" s="627"/>
      <c r="Q71" s="627"/>
      <c r="R71" s="627"/>
      <c r="S71" s="627"/>
      <c r="T71" s="627"/>
      <c r="U71" s="627"/>
    </row>
    <row r="72" spans="1:21" s="92" customFormat="1" ht="35.1" customHeight="1" thickBot="1" x14ac:dyDescent="0.25">
      <c r="C72" s="1304" t="s">
        <v>98</v>
      </c>
      <c r="D72" s="1305"/>
      <c r="E72" s="1305"/>
      <c r="F72" s="1305"/>
      <c r="G72" s="1305"/>
      <c r="H72" s="1305"/>
      <c r="I72" s="1305"/>
      <c r="J72" s="1305"/>
      <c r="K72" s="1305"/>
      <c r="L72" s="1306"/>
      <c r="O72" s="627"/>
      <c r="P72" s="627"/>
      <c r="Q72" s="627"/>
      <c r="R72" s="627"/>
      <c r="S72" s="627"/>
      <c r="T72" s="627"/>
      <c r="U72" s="627"/>
    </row>
    <row r="73" spans="1:21" s="92" customFormat="1" ht="40.5" customHeight="1" thickBot="1" x14ac:dyDescent="0.25">
      <c r="C73" s="1329" t="s">
        <v>99</v>
      </c>
      <c r="D73" s="1330"/>
      <c r="E73" s="1330"/>
      <c r="F73" s="1331"/>
      <c r="G73" s="733"/>
      <c r="H73" s="734"/>
      <c r="I73" s="1332"/>
      <c r="J73" s="1333"/>
      <c r="K73" s="1333"/>
      <c r="L73" s="1334"/>
      <c r="O73" s="627"/>
      <c r="P73" s="627"/>
      <c r="Q73" s="627"/>
      <c r="R73" s="627"/>
      <c r="S73" s="627"/>
      <c r="T73" s="627"/>
      <c r="U73" s="627"/>
    </row>
    <row r="74" spans="1:21" s="92" customFormat="1" ht="35.1" customHeight="1" x14ac:dyDescent="0.2">
      <c r="C74" s="1061"/>
      <c r="D74" s="735" t="s">
        <v>100</v>
      </c>
      <c r="E74" s="736" t="s">
        <v>101</v>
      </c>
      <c r="F74" s="737"/>
      <c r="G74" s="1335"/>
      <c r="H74" s="1335"/>
      <c r="I74" s="1336" t="s">
        <v>102</v>
      </c>
      <c r="J74" s="1413" t="s">
        <v>103</v>
      </c>
      <c r="K74" s="1413"/>
      <c r="L74" s="1414"/>
      <c r="O74" s="627"/>
      <c r="P74" s="627"/>
      <c r="Q74" s="627"/>
      <c r="R74" s="627"/>
      <c r="S74" s="627"/>
      <c r="T74" s="627"/>
      <c r="U74" s="627"/>
    </row>
    <row r="75" spans="1:21" s="92" customFormat="1" ht="35.1" customHeight="1" x14ac:dyDescent="0.2">
      <c r="C75" s="796" t="e">
        <f>C10</f>
        <v>#N/A</v>
      </c>
      <c r="D75" s="739" t="e">
        <f>C11</f>
        <v>#N/A</v>
      </c>
      <c r="E75" s="740" t="e">
        <f>H54</f>
        <v>#DIV/0!</v>
      </c>
      <c r="F75" s="797" t="e">
        <f>C75+(D75/1000)+(E75/1000)</f>
        <v>#N/A</v>
      </c>
      <c r="G75" s="241" t="e">
        <f>F75*1000-C75*1000</f>
        <v>#N/A</v>
      </c>
      <c r="H75" s="654"/>
      <c r="I75" s="1337"/>
      <c r="J75" s="811" t="e">
        <f>G71</f>
        <v>#DIV/0!</v>
      </c>
      <c r="K75" s="1341"/>
      <c r="L75" s="1342"/>
      <c r="O75" s="627"/>
      <c r="P75" s="627"/>
      <c r="Q75" s="627"/>
      <c r="R75" s="627"/>
      <c r="S75" s="627"/>
      <c r="T75" s="627"/>
      <c r="U75" s="627"/>
    </row>
    <row r="76" spans="1:21" s="92" customFormat="1" ht="35.1" customHeight="1" thickBot="1" x14ac:dyDescent="0.25">
      <c r="C76" s="798" t="e">
        <f>C75</f>
        <v>#N/A</v>
      </c>
      <c r="D76" s="744" t="e">
        <f>D75</f>
        <v>#N/A</v>
      </c>
      <c r="E76" s="744" t="e">
        <f>E75</f>
        <v>#DIV/0!</v>
      </c>
      <c r="F76" s="799" t="e">
        <f>C76+(D76/1000)+(E76/1000)</f>
        <v>#N/A</v>
      </c>
      <c r="G76" s="745" t="e">
        <f>G75/1000</f>
        <v>#N/A</v>
      </c>
      <c r="H76" s="747"/>
      <c r="I76" s="1338"/>
      <c r="J76" s="745" t="e">
        <f>J75/1000</f>
        <v>#DIV/0!</v>
      </c>
      <c r="K76" s="1343"/>
      <c r="L76" s="1344"/>
      <c r="O76" s="627"/>
      <c r="P76" s="627"/>
      <c r="Q76" s="627"/>
      <c r="R76" s="627"/>
      <c r="S76" s="627"/>
      <c r="T76" s="627"/>
      <c r="U76" s="627"/>
    </row>
    <row r="77" spans="1:21" s="92" customFormat="1" ht="35.1" customHeight="1" x14ac:dyDescent="0.2">
      <c r="O77" s="627"/>
      <c r="P77" s="627"/>
      <c r="Q77" s="627"/>
      <c r="R77" s="627"/>
      <c r="S77" s="627"/>
      <c r="T77" s="627"/>
      <c r="U77" s="627"/>
    </row>
    <row r="78" spans="1:21" s="92" customFormat="1" ht="35.1" customHeight="1" x14ac:dyDescent="0.2"/>
    <row r="79" spans="1:21" s="92" customFormat="1" ht="35.1" customHeight="1" x14ac:dyDescent="0.2">
      <c r="A79" s="94"/>
    </row>
    <row r="80" spans="1:21" s="92" customFormat="1" ht="35.1" customHeight="1" x14ac:dyDescent="0.2"/>
    <row r="81" spans="3:11" s="92" customFormat="1" ht="61.5" customHeight="1" x14ac:dyDescent="0.2"/>
    <row r="82" spans="3:11" s="92" customFormat="1" ht="35.1" customHeight="1" x14ac:dyDescent="0.2"/>
    <row r="83" spans="3:11" s="92" customFormat="1" ht="35.1" customHeight="1" x14ac:dyDescent="0.2">
      <c r="K83" s="93"/>
    </row>
    <row r="84" spans="3:11" s="92" customFormat="1" ht="35.1" customHeight="1" x14ac:dyDescent="0.2"/>
    <row r="85" spans="3:11" s="92" customFormat="1" ht="50.1" customHeight="1" x14ac:dyDescent="0.2"/>
    <row r="86" spans="3:11" s="92" customFormat="1" ht="57.75" customHeight="1" x14ac:dyDescent="0.2">
      <c r="C86" s="96"/>
    </row>
    <row r="87" spans="3:11" s="92" customFormat="1" ht="35.1" customHeight="1" x14ac:dyDescent="0.2"/>
    <row r="88" spans="3:11" s="92" customFormat="1" ht="35.1" customHeight="1" x14ac:dyDescent="0.2"/>
    <row r="89" spans="3:11" s="92" customFormat="1" ht="35.1" customHeight="1" x14ac:dyDescent="0.2"/>
    <row r="90" spans="3:11" s="92" customFormat="1" ht="50.1" customHeight="1" x14ac:dyDescent="0.2"/>
    <row r="91" spans="3:11" s="92" customFormat="1" ht="55.5" customHeight="1" x14ac:dyDescent="0.2"/>
    <row r="92" spans="3:11" s="92" customFormat="1" ht="50.1" customHeight="1" x14ac:dyDescent="0.2"/>
    <row r="93" spans="3:11" s="92" customFormat="1" ht="31.5" customHeight="1" x14ac:dyDescent="0.2"/>
    <row r="94" spans="3:11" s="92" customFormat="1" ht="35.1" customHeight="1" x14ac:dyDescent="0.2"/>
    <row r="95" spans="3:11" s="92" customFormat="1" ht="35.1" customHeight="1" x14ac:dyDescent="0.2"/>
    <row r="96" spans="3:11"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selectLockedCell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F19:G19"/>
    <mergeCell ref="H27:I27"/>
    <mergeCell ref="C16:D16"/>
    <mergeCell ref="A18:N18"/>
    <mergeCell ref="A22:N22"/>
    <mergeCell ref="J19:J20"/>
    <mergeCell ref="A20:B20"/>
    <mergeCell ref="E20:F20"/>
    <mergeCell ref="C24:D24"/>
    <mergeCell ref="F24:G24"/>
    <mergeCell ref="C26:E26"/>
    <mergeCell ref="C73:F73"/>
    <mergeCell ref="I73:L73"/>
    <mergeCell ref="G74:H74"/>
    <mergeCell ref="I74:I76"/>
    <mergeCell ref="J74:L74"/>
    <mergeCell ref="K75:L75"/>
    <mergeCell ref="K76:L76"/>
    <mergeCell ref="C72:L72"/>
    <mergeCell ref="A58:B58"/>
    <mergeCell ref="C58:D58"/>
    <mergeCell ref="E58:F58"/>
    <mergeCell ref="I60:N60"/>
    <mergeCell ref="D70:E70"/>
    <mergeCell ref="D71:E71"/>
    <mergeCell ref="A56:N56"/>
    <mergeCell ref="A52:N52"/>
    <mergeCell ref="A50:B50"/>
    <mergeCell ref="G50:H50"/>
    <mergeCell ref="H39:M39"/>
    <mergeCell ref="H40:M42"/>
    <mergeCell ref="A46:N46"/>
    <mergeCell ref="D53:E53"/>
    <mergeCell ref="H53:I53"/>
    <mergeCell ref="G49:H49"/>
    <mergeCell ref="A47:B48"/>
    <mergeCell ref="C47:E47"/>
    <mergeCell ref="G48:H48"/>
    <mergeCell ref="A49:B49"/>
    <mergeCell ref="A28:A31"/>
    <mergeCell ref="C33:D33"/>
    <mergeCell ref="F33:G33"/>
    <mergeCell ref="A36:N36"/>
    <mergeCell ref="B38:E38"/>
    <mergeCell ref="H38:M38"/>
  </mergeCells>
  <conditionalFormatting sqref="G59 G62 G66:G68">
    <cfRule type="cellIs" dxfId="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B00-000000000000}">
          <x14:formula1>
            <xm:f>'DATOS &lt;'!$B$37:$B$40</xm:f>
          </x14:formula1>
          <xm:sqref>I3:J4</xm:sqref>
        </x14:dataValidation>
        <x14:dataValidation type="list" allowBlank="1" showInputMessage="1" showErrorMessage="1" xr:uid="{00000000-0002-0000-2B00-000001000000}">
          <x14:formula1>
            <xm:f>'DATOS &lt;'!$N$25:$N$134</xm:f>
          </x14:formula1>
          <xm:sqref>E6</xm:sqref>
        </x14:dataValidation>
        <x14:dataValidation type="list" allowBlank="1" showInputMessage="1" showErrorMessage="1" xr:uid="{00000000-0002-0000-2B00-000002000000}">
          <x14:formula1>
            <xm:f>'DATOS &lt;'!$B$118:$B$124</xm:f>
          </x14:formula1>
          <xm:sqref>J13</xm:sqref>
        </x14:dataValidation>
        <x14:dataValidation type="list" allowBlank="1" showInputMessage="1" showErrorMessage="1" xr:uid="{00000000-0002-0000-2B00-000003000000}">
          <x14:formula1>
            <xm:f>'DATOS &lt;'!$B$131:$B$135</xm:f>
          </x14:formula1>
          <xm:sqref>I26</xm:sqref>
        </x14:dataValidation>
        <x14:dataValidation type="list" allowBlank="1" showInputMessage="1" showErrorMessage="1" xr:uid="{00000000-0002-0000-2B00-000004000000}">
          <x14:formula1>
            <xm:f>'DATOS &lt;'!$I$202:$I$205</xm:f>
          </x14:formula1>
          <xm:sqref>J19:J20</xm:sqref>
        </x14:dataValidation>
        <x14:dataValidation type="list" allowBlank="1" showInputMessage="1" showErrorMessage="1" xr:uid="{00000000-0002-0000-2B00-000005000000}">
          <x14:formula1>
            <xm:f>'DATOS &lt;'!$I$129:$I$130</xm:f>
          </x14:formula1>
          <xm:sqref>N39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4">
    <tabColor theme="9" tint="-0.249977111117893"/>
  </sheetPr>
  <dimension ref="A1:XEZ93"/>
  <sheetViews>
    <sheetView showGridLines="0" view="pageBreakPreview" topLeftCell="A76" zoomScale="80" zoomScaleNormal="100" zoomScaleSheetLayoutView="80" workbookViewId="0">
      <selection activeCell="L84" sqref="L84"/>
    </sheetView>
  </sheetViews>
  <sheetFormatPr baseColWidth="10" defaultColWidth="11.42578125" defaultRowHeight="15" x14ac:dyDescent="0.2"/>
  <cols>
    <col min="1" max="1" width="5.7109375" style="969" customWidth="1"/>
    <col min="2" max="2" width="15.42578125" style="969" customWidth="1"/>
    <col min="3" max="3" width="12.28515625" style="969" customWidth="1"/>
    <col min="4" max="4" width="10.140625" style="969" customWidth="1"/>
    <col min="5" max="5" width="15.28515625" style="969" customWidth="1"/>
    <col min="6" max="6" width="10.85546875" style="969" customWidth="1"/>
    <col min="7" max="13" width="9.7109375" style="969" customWidth="1"/>
    <col min="14" max="16384" width="11.42578125" style="969"/>
  </cols>
  <sheetData>
    <row r="1" spans="1:13" ht="125.1" customHeight="1" x14ac:dyDescent="0.2">
      <c r="A1" s="1825"/>
      <c r="B1" s="1825"/>
      <c r="C1" s="1825"/>
      <c r="D1" s="1825"/>
      <c r="E1" s="1825"/>
      <c r="F1" s="1825"/>
      <c r="G1" s="1825"/>
      <c r="H1" s="1825"/>
      <c r="I1" s="1825"/>
      <c r="J1" s="1825"/>
      <c r="K1" s="1825"/>
      <c r="L1" s="1825"/>
      <c r="M1" s="1825"/>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14" t="s">
        <v>8</v>
      </c>
      <c r="K3" s="1814"/>
      <c r="L3" s="1815">
        <f>'DATOS &lt;'!J39</f>
        <v>0</v>
      </c>
      <c r="M3" s="1815"/>
    </row>
    <row r="4" spans="1:13" ht="23.1" customHeight="1" x14ac:dyDescent="0.25">
      <c r="A4" s="1815" t="s">
        <v>152</v>
      </c>
      <c r="B4" s="1815"/>
      <c r="C4" s="1815"/>
      <c r="D4" s="1004"/>
      <c r="E4" s="1004"/>
      <c r="G4" s="1819"/>
      <c r="H4" s="1819"/>
    </row>
    <row r="5" spans="1:13" ht="15.95" customHeight="1" x14ac:dyDescent="0.2">
      <c r="A5" s="1005"/>
      <c r="B5" s="1004"/>
      <c r="C5" s="1004"/>
      <c r="D5" s="1004"/>
      <c r="E5" s="1004"/>
      <c r="F5" s="1004"/>
    </row>
    <row r="6" spans="1:13" ht="30" customHeight="1" x14ac:dyDescent="0.2">
      <c r="A6" s="1820" t="s">
        <v>153</v>
      </c>
      <c r="B6" s="1820"/>
      <c r="D6" s="1821">
        <f>('DATOS &lt;'!E39)</f>
        <v>0</v>
      </c>
      <c r="E6" s="1821"/>
      <c r="F6" s="1821"/>
      <c r="G6" s="1821"/>
      <c r="H6" s="1821"/>
      <c r="I6" s="1821"/>
      <c r="J6" s="1821"/>
    </row>
    <row r="7" spans="1:13" ht="30" customHeight="1" x14ac:dyDescent="0.2">
      <c r="A7" s="1820" t="s">
        <v>154</v>
      </c>
      <c r="B7" s="1820"/>
      <c r="C7" s="968"/>
      <c r="D7" s="1821">
        <f>'DATOS &lt;'!F39</f>
        <v>0</v>
      </c>
      <c r="E7" s="1821"/>
      <c r="F7" s="1821"/>
      <c r="G7" s="1821"/>
      <c r="H7" s="1821"/>
      <c r="I7" s="1821"/>
      <c r="J7" s="1821"/>
    </row>
    <row r="8" spans="1:13" ht="30" customHeight="1" x14ac:dyDescent="0.2">
      <c r="A8" s="1820" t="s">
        <v>155</v>
      </c>
      <c r="B8" s="1820"/>
      <c r="D8" s="1821" t="str">
        <f>PROPER('DATOS &lt;'!C39)</f>
        <v>0</v>
      </c>
      <c r="E8" s="1821"/>
      <c r="F8" s="1821"/>
      <c r="G8" s="1821"/>
    </row>
    <row r="9" spans="1:13" ht="20.100000000000001" customHeight="1" x14ac:dyDescent="0.2">
      <c r="A9" s="1005"/>
      <c r="B9" s="1005"/>
      <c r="D9" s="1005"/>
      <c r="E9" s="1005"/>
      <c r="F9" s="1004"/>
    </row>
    <row r="10" spans="1:13" ht="33" customHeight="1" x14ac:dyDescent="0.2">
      <c r="A10" s="1820" t="s">
        <v>156</v>
      </c>
      <c r="B10" s="1820"/>
      <c r="C10" s="1820"/>
      <c r="D10" s="1822">
        <f>'DATOS &lt;'!D39</f>
        <v>0</v>
      </c>
      <c r="E10" s="1822"/>
      <c r="G10" s="968"/>
      <c r="H10" s="1860" t="s">
        <v>157</v>
      </c>
      <c r="I10" s="1860"/>
      <c r="J10" s="1860"/>
      <c r="K10" s="1822" t="e">
        <f>'20 kg &lt; (C)'!E4</f>
        <v>#N/A</v>
      </c>
      <c r="L10" s="1822"/>
    </row>
    <row r="11" spans="1:13" ht="20.100000000000001" customHeight="1" x14ac:dyDescent="0.2">
      <c r="A11" s="1004"/>
      <c r="B11" s="1004"/>
      <c r="C11" s="1004"/>
      <c r="D11" s="1004"/>
      <c r="E11" s="1004"/>
      <c r="F11" s="1004"/>
    </row>
    <row r="12" spans="1:13" ht="23.1" customHeight="1" x14ac:dyDescent="0.2">
      <c r="A12" s="1815" t="s">
        <v>158</v>
      </c>
      <c r="B12" s="1815"/>
      <c r="C12" s="1815"/>
      <c r="D12" s="1815"/>
      <c r="E12" s="1815"/>
      <c r="F12" s="1815"/>
      <c r="G12" s="1815"/>
      <c r="H12" s="1815"/>
      <c r="I12" s="1815"/>
      <c r="J12" s="1815"/>
    </row>
    <row r="13" spans="1:13" ht="15.95" customHeight="1" x14ac:dyDescent="0.2">
      <c r="A13" s="411"/>
      <c r="B13" s="411"/>
      <c r="C13" s="411"/>
      <c r="D13" s="411"/>
      <c r="E13" s="411"/>
      <c r="F13" s="1004"/>
    </row>
    <row r="14" spans="1:13" ht="23.1" customHeight="1" x14ac:dyDescent="0.2">
      <c r="A14" s="1820" t="s">
        <v>159</v>
      </c>
      <c r="B14" s="1820"/>
      <c r="C14" s="1820"/>
      <c r="D14" s="1875" t="s">
        <v>554</v>
      </c>
      <c r="E14" s="1875"/>
      <c r="F14" s="1875"/>
      <c r="G14" s="1875"/>
      <c r="H14" s="1875"/>
      <c r="I14" s="1875"/>
      <c r="J14" s="1875"/>
    </row>
    <row r="15" spans="1:13" ht="23.1" customHeight="1" x14ac:dyDescent="0.2">
      <c r="A15" s="1820" t="s">
        <v>161</v>
      </c>
      <c r="B15" s="1820"/>
      <c r="C15" s="1820"/>
      <c r="D15" s="1828" t="str">
        <f>PROPER('DATOS &lt;'!D79)</f>
        <v>0</v>
      </c>
      <c r="E15" s="1874"/>
      <c r="F15" s="1874"/>
      <c r="G15" s="1874"/>
      <c r="H15" s="1005"/>
      <c r="I15" s="1005"/>
      <c r="J15" s="1005"/>
    </row>
    <row r="16" spans="1:13" ht="23.1" customHeight="1" x14ac:dyDescent="0.2">
      <c r="A16" s="1820" t="s">
        <v>162</v>
      </c>
      <c r="B16" s="1820"/>
      <c r="C16" s="1820"/>
      <c r="D16" s="1829">
        <f>'DATOS &lt;'!E79</f>
        <v>0</v>
      </c>
      <c r="E16" s="1829"/>
      <c r="F16" s="1829"/>
      <c r="G16" s="1829"/>
      <c r="H16" s="1005"/>
      <c r="I16" s="1005"/>
      <c r="J16" s="1005"/>
    </row>
    <row r="17" spans="1:13" ht="23.1" customHeight="1" x14ac:dyDescent="0.2">
      <c r="A17" s="1820" t="s">
        <v>163</v>
      </c>
      <c r="B17" s="1820"/>
      <c r="C17" s="1820"/>
      <c r="D17" s="1830" t="s">
        <v>593</v>
      </c>
      <c r="E17" s="1830"/>
      <c r="F17" s="1822"/>
      <c r="G17" s="1822"/>
    </row>
    <row r="18" spans="1:13" ht="20.100000000000001" customHeight="1" x14ac:dyDescent="0.2">
      <c r="A18" s="1005"/>
      <c r="B18" s="1005"/>
      <c r="C18" s="1005"/>
      <c r="D18" s="1006"/>
      <c r="E18" s="1005"/>
      <c r="F18" s="1005"/>
      <c r="G18" s="1005"/>
    </row>
    <row r="19" spans="1:13" ht="33" customHeight="1" x14ac:dyDescent="0.2">
      <c r="A19" s="1820" t="s">
        <v>164</v>
      </c>
      <c r="B19" s="1820"/>
      <c r="C19" s="1820"/>
      <c r="D19" s="1820"/>
      <c r="E19" s="1820"/>
      <c r="F19" s="1826">
        <f>'DATOS &lt;'!C80</f>
        <v>32</v>
      </c>
      <c r="G19" s="1826"/>
      <c r="H19" s="1826"/>
      <c r="I19" s="1826"/>
      <c r="J19" s="1826"/>
    </row>
    <row r="20" spans="1:13" ht="20.100000000000001" customHeight="1" x14ac:dyDescent="0.2">
      <c r="A20" s="1005"/>
      <c r="B20" s="1005"/>
      <c r="C20" s="1005"/>
      <c r="D20" s="1005"/>
      <c r="E20" s="1005"/>
      <c r="F20" s="1005"/>
      <c r="G20" s="1004"/>
    </row>
    <row r="21" spans="1:13" ht="23.1" customHeight="1" x14ac:dyDescent="0.2">
      <c r="A21" s="1815" t="s">
        <v>165</v>
      </c>
      <c r="B21" s="1815"/>
      <c r="C21" s="1815"/>
      <c r="D21" s="1815"/>
      <c r="E21" s="1815"/>
      <c r="F21" s="1815"/>
    </row>
    <row r="22" spans="1:13" ht="23.1" customHeight="1" x14ac:dyDescent="0.2">
      <c r="A22" s="1821">
        <f>'DATOS &lt;'!G8</f>
        <v>0</v>
      </c>
      <c r="B22" s="1821"/>
      <c r="C22" s="1821"/>
      <c r="D22" s="1821"/>
      <c r="E22" s="1821"/>
      <c r="F22" s="1821"/>
      <c r="G22" s="1821"/>
      <c r="H22" s="1821"/>
      <c r="I22" s="1821"/>
      <c r="J22" s="1821"/>
      <c r="K22" s="1821"/>
      <c r="L22" s="1821"/>
      <c r="M22" s="1821"/>
    </row>
    <row r="23" spans="1:13" ht="20.100000000000001" customHeight="1" x14ac:dyDescent="0.2">
      <c r="B23" s="1815"/>
      <c r="C23" s="1815"/>
      <c r="D23" s="1815"/>
      <c r="E23" s="1815"/>
      <c r="F23" s="411"/>
      <c r="G23" s="1005"/>
    </row>
    <row r="24" spans="1:13" ht="23.1" customHeight="1" x14ac:dyDescent="0.2">
      <c r="A24" s="1815" t="s">
        <v>166</v>
      </c>
      <c r="B24" s="1815"/>
      <c r="C24" s="1815"/>
      <c r="D24" s="1815"/>
      <c r="E24" s="1843">
        <f>'DATOS &lt;'!I27</f>
        <v>0</v>
      </c>
      <c r="F24" s="1843"/>
    </row>
    <row r="25" spans="1:13" ht="20.100000000000001" customHeight="1" x14ac:dyDescent="0.25">
      <c r="A25" s="1005"/>
      <c r="B25" s="1005"/>
      <c r="C25" s="1005"/>
      <c r="D25" s="1005"/>
      <c r="E25" s="1005"/>
      <c r="F25" s="1005"/>
      <c r="G25" s="412"/>
      <c r="H25" s="412"/>
      <c r="I25" s="1004"/>
      <c r="J25" s="1004"/>
    </row>
    <row r="26" spans="1:13" ht="23.1" customHeight="1" x14ac:dyDescent="0.2">
      <c r="A26" s="1816" t="s">
        <v>167</v>
      </c>
      <c r="B26" s="1816"/>
      <c r="C26" s="1816"/>
      <c r="D26" s="1816"/>
      <c r="E26" s="1816"/>
      <c r="F26" s="1816"/>
      <c r="G26" s="1816"/>
      <c r="H26" s="1816"/>
      <c r="I26" s="1816"/>
      <c r="J26" s="1816"/>
    </row>
    <row r="27" spans="1:13" ht="20.100000000000001" customHeight="1" x14ac:dyDescent="0.2">
      <c r="A27" s="408"/>
      <c r="B27" s="408"/>
      <c r="C27" s="408"/>
      <c r="D27" s="408"/>
      <c r="G27" s="1004"/>
    </row>
    <row r="28" spans="1:13" ht="33" customHeight="1" x14ac:dyDescent="0.2">
      <c r="A28" s="1893" t="s">
        <v>168</v>
      </c>
      <c r="B28" s="1893"/>
      <c r="C28" s="1893"/>
      <c r="D28" s="1893"/>
      <c r="E28" s="1893"/>
      <c r="F28" s="1893"/>
      <c r="G28" s="1893"/>
      <c r="H28" s="1893"/>
      <c r="I28" s="1893"/>
      <c r="J28" s="1893"/>
      <c r="K28" s="1893"/>
      <c r="L28" s="1893"/>
      <c r="M28" s="1893"/>
    </row>
    <row r="29" spans="1:13" ht="20.100000000000001" customHeight="1" x14ac:dyDescent="0.25">
      <c r="G29" s="412"/>
      <c r="H29" s="412"/>
      <c r="I29" s="1003"/>
      <c r="J29" s="1003"/>
    </row>
    <row r="30" spans="1:13" ht="23.1" customHeight="1" x14ac:dyDescent="0.2">
      <c r="A30" s="1816" t="s">
        <v>169</v>
      </c>
      <c r="B30" s="1816"/>
      <c r="C30" s="1816"/>
      <c r="D30" s="1816"/>
      <c r="E30" s="1816"/>
      <c r="F30" s="1816"/>
      <c r="G30" s="1816"/>
      <c r="H30" s="1816"/>
      <c r="I30" s="1816"/>
      <c r="J30" s="1816"/>
    </row>
    <row r="31" spans="1:13" ht="9.9499999999999993" customHeight="1" x14ac:dyDescent="0.2">
      <c r="A31" s="1891"/>
      <c r="B31" s="1891"/>
      <c r="C31" s="1891"/>
      <c r="D31" s="1891"/>
      <c r="E31" s="1891"/>
      <c r="F31" s="1891"/>
      <c r="G31" s="1891"/>
      <c r="H31" s="1891"/>
      <c r="I31" s="1891"/>
      <c r="J31" s="1891"/>
    </row>
    <row r="32" spans="1:13" ht="12.95" customHeight="1" thickBot="1" x14ac:dyDescent="0.25">
      <c r="A32" s="1007"/>
      <c r="B32" s="1007"/>
      <c r="C32" s="1007"/>
      <c r="D32" s="1007"/>
      <c r="E32" s="1007"/>
      <c r="F32" s="1007"/>
      <c r="G32" s="1007"/>
      <c r="K32" s="1260"/>
    </row>
    <row r="33" spans="1:13" ht="21.75" customHeight="1" thickBot="1" x14ac:dyDescent="0.25">
      <c r="B33" s="1854" t="s">
        <v>170</v>
      </c>
      <c r="C33" s="1855"/>
      <c r="D33" s="1854" t="s">
        <v>171</v>
      </c>
      <c r="E33" s="1855"/>
      <c r="F33" s="1854" t="s">
        <v>172</v>
      </c>
      <c r="G33" s="1855"/>
      <c r="H33" s="1836" t="s">
        <v>173</v>
      </c>
      <c r="I33" s="1837"/>
      <c r="J33" s="1837"/>
      <c r="K33" s="1838"/>
    </row>
    <row r="34" spans="1:13" ht="33.75" customHeight="1" thickBot="1" x14ac:dyDescent="0.25">
      <c r="B34" s="1856"/>
      <c r="C34" s="1857"/>
      <c r="D34" s="1856"/>
      <c r="E34" s="1857"/>
      <c r="F34" s="1856"/>
      <c r="G34" s="1857"/>
      <c r="H34" s="1839" t="s">
        <v>174</v>
      </c>
      <c r="I34" s="1840"/>
      <c r="J34" s="1841" t="s">
        <v>175</v>
      </c>
      <c r="K34" s="1842"/>
    </row>
    <row r="35" spans="1:13" ht="39.950000000000003" customHeight="1" thickBot="1" x14ac:dyDescent="0.25">
      <c r="B35" s="1848" t="str">
        <f>D14</f>
        <v>Pesa de 20 kg</v>
      </c>
      <c r="C35" s="1849"/>
      <c r="D35" s="1850" t="s">
        <v>536</v>
      </c>
      <c r="E35" s="1851"/>
      <c r="F35" s="1852" t="e">
        <f>VLOOKUP($K$32,'DATOS &lt;'!B202:G215,1,FALSE)</f>
        <v>#N/A</v>
      </c>
      <c r="G35" s="1853"/>
      <c r="H35" s="1008" t="e">
        <f>VLOOKUP($K$32,'DATOS &lt;'!B202:G215,3,FALSE)</f>
        <v>#N/A</v>
      </c>
      <c r="I35" s="1009" t="s">
        <v>177</v>
      </c>
      <c r="J35" s="1010" t="e">
        <f>VLOOKUP($K$32,'DATOS &lt;'!B202:G215,5,FALSE)</f>
        <v>#N/A</v>
      </c>
      <c r="K35" s="1011" t="s">
        <v>178</v>
      </c>
    </row>
    <row r="36" spans="1:13" ht="39.950000000000003" hidden="1" customHeight="1" thickBot="1" x14ac:dyDescent="0.25">
      <c r="A36" s="1831"/>
      <c r="B36" s="1832"/>
      <c r="C36" s="1831"/>
      <c r="D36" s="1833"/>
      <c r="E36" s="1834"/>
      <c r="F36" s="1832"/>
      <c r="G36" s="1012"/>
      <c r="H36" s="1013"/>
      <c r="I36" s="1012"/>
      <c r="J36" s="1014"/>
    </row>
    <row r="37" spans="1:13" ht="20.100000000000001" customHeight="1" x14ac:dyDescent="0.2"/>
    <row r="38" spans="1:13" ht="125.1" customHeight="1" x14ac:dyDescent="0.2"/>
    <row r="39" spans="1:13" ht="35.1" customHeight="1" x14ac:dyDescent="0.2"/>
    <row r="40" spans="1:13" ht="65.099999999999994" customHeight="1" x14ac:dyDescent="0.2">
      <c r="J40" s="1814" t="s">
        <v>8</v>
      </c>
      <c r="K40" s="1814"/>
      <c r="L40" s="1815">
        <f>L3</f>
        <v>0</v>
      </c>
      <c r="M40" s="1815"/>
    </row>
    <row r="41" spans="1:13" ht="33" customHeight="1" x14ac:dyDescent="0.2">
      <c r="A41" s="1816" t="s">
        <v>179</v>
      </c>
      <c r="B41" s="1816"/>
      <c r="C41" s="1816"/>
      <c r="D41" s="1816"/>
      <c r="E41" s="1816"/>
      <c r="F41" s="1816"/>
      <c r="G41" s="1816"/>
      <c r="H41" s="1816"/>
      <c r="I41" s="1816"/>
      <c r="J41" s="1816"/>
      <c r="M41" s="1284"/>
    </row>
    <row r="42" spans="1:13" ht="9.75" customHeight="1" x14ac:dyDescent="0.2">
      <c r="A42" s="223"/>
    </row>
    <row r="43" spans="1:13" s="1015" customFormat="1" ht="90" customHeight="1" x14ac:dyDescent="0.25">
      <c r="A43" s="1835" t="e">
        <f>VLOOKUP($M$41,'DATOS &lt;'!$I$115:$L$118,2,FALSE)</f>
        <v>#N/A</v>
      </c>
      <c r="B43" s="1835"/>
      <c r="C43" s="1835"/>
      <c r="D43" s="1835"/>
      <c r="E43" s="1835"/>
      <c r="F43" s="1835"/>
      <c r="G43" s="1835"/>
      <c r="H43" s="1835"/>
      <c r="I43" s="1835"/>
      <c r="J43" s="1835"/>
      <c r="K43" s="1835"/>
      <c r="L43" s="1835"/>
      <c r="M43" s="1835"/>
    </row>
    <row r="44" spans="1:13" ht="20.100000000000001" customHeight="1" thickBot="1" x14ac:dyDescent="0.25">
      <c r="A44" s="1015"/>
      <c r="B44" s="1015"/>
      <c r="C44" s="1015"/>
      <c r="D44" s="1015"/>
      <c r="E44" s="1015"/>
      <c r="F44" s="1015"/>
      <c r="G44" s="1015"/>
      <c r="H44" s="1015"/>
      <c r="I44" s="1015"/>
      <c r="J44" s="1015"/>
    </row>
    <row r="45" spans="1:13" ht="60" customHeight="1" thickBot="1" x14ac:dyDescent="0.25">
      <c r="B45" s="1847" t="s">
        <v>180</v>
      </c>
      <c r="C45" s="1847"/>
      <c r="D45" s="1847"/>
      <c r="E45" s="242" t="s">
        <v>11</v>
      </c>
      <c r="F45" s="242" t="s">
        <v>12</v>
      </c>
      <c r="G45" s="224" t="s">
        <v>3</v>
      </c>
      <c r="H45" s="1847" t="s">
        <v>181</v>
      </c>
      <c r="I45" s="1847"/>
      <c r="J45" s="1847" t="s">
        <v>5</v>
      </c>
      <c r="K45" s="1847"/>
    </row>
    <row r="46" spans="1:13" ht="65.099999999999994" customHeight="1" thickBot="1" x14ac:dyDescent="0.25">
      <c r="B46" s="1844" t="str">
        <f>D14</f>
        <v>Pesa de 20 kg</v>
      </c>
      <c r="C46" s="1844"/>
      <c r="D46" s="1844"/>
      <c r="E46" s="225" t="s">
        <v>538</v>
      </c>
      <c r="F46" s="413" t="e">
        <f>'20 kg &lt; (C)'!D7</f>
        <v>#N/A</v>
      </c>
      <c r="G46" s="1261" t="e">
        <f>'20 kg &lt; (C)'!C16</f>
        <v>#N/A</v>
      </c>
      <c r="H46" s="1894" t="e">
        <f>'20 kg &lt; (C)'!B9</f>
        <v>#N/A</v>
      </c>
      <c r="I46" s="1894"/>
      <c r="J46" s="1846" t="e">
        <f>'20 kg &lt; (C)'!D9</f>
        <v>#N/A</v>
      </c>
      <c r="K46" s="1846"/>
    </row>
    <row r="47" spans="1:13" ht="33" hidden="1" customHeight="1" thickBot="1" x14ac:dyDescent="0.25">
      <c r="A47" s="1888"/>
      <c r="B47" s="1888"/>
      <c r="C47" s="1888"/>
      <c r="D47" s="225"/>
      <c r="E47" s="413"/>
      <c r="F47" s="1261"/>
      <c r="G47" s="1889"/>
      <c r="H47" s="1890"/>
      <c r="I47" s="1846"/>
      <c r="J47" s="1846"/>
    </row>
    <row r="48" spans="1:13" ht="20.100000000000001" customHeight="1" x14ac:dyDescent="0.2">
      <c r="A48" s="409"/>
      <c r="B48" s="409"/>
      <c r="C48" s="409"/>
      <c r="D48" s="226"/>
      <c r="E48" s="409"/>
      <c r="F48" s="409"/>
      <c r="G48" s="409"/>
      <c r="H48" s="409"/>
      <c r="I48" s="227"/>
      <c r="J48" s="227"/>
    </row>
    <row r="49" spans="1:1020 1029:2040 2049:3070 3079:4090 4099:5120 5129:6140 6149:7160 7169:8190 8199:9210 9219:10240 10249:11260 11269:12280 12289:13310 13319:14330 14339:15360 15369:16380" ht="33" customHeight="1" x14ac:dyDescent="0.2">
      <c r="A49" s="1815" t="s">
        <v>183</v>
      </c>
      <c r="B49" s="1815"/>
      <c r="C49" s="1815"/>
      <c r="D49" s="1815"/>
      <c r="E49" s="1815"/>
      <c r="F49" s="1815"/>
      <c r="G49" s="1815"/>
      <c r="H49" s="1815"/>
      <c r="I49" s="1815"/>
      <c r="J49" s="1815"/>
    </row>
    <row r="50" spans="1:1020 1029:2040 2049:3070 3079:4090 4099:5120 5129:6140 6149:7160 7169:8190 8199:9210 9219:10240 10249:11260 11269:12280 12289:13310 13319:14330 14339:15360 15369:16380" ht="20.100000000000001" customHeight="1" x14ac:dyDescent="0.2">
      <c r="A50" s="223"/>
      <c r="B50" s="223"/>
    </row>
    <row r="51" spans="1:1020 1029:2040 2049:3070 3079:4090 4099:5120 5129:6140 6149:7160 7169:8190 8199:9210 9219:10240 10249:11260 11269:12280 12289:13310 13319:14330 14339:15360 15369:16380" ht="33" customHeight="1" x14ac:dyDescent="0.2">
      <c r="A51" s="1824" t="s">
        <v>602</v>
      </c>
      <c r="B51" s="1824"/>
      <c r="C51" s="1824"/>
      <c r="D51" s="1824"/>
      <c r="E51" s="1824"/>
      <c r="F51" s="1824"/>
      <c r="G51" s="1824"/>
      <c r="H51" s="1824"/>
      <c r="I51" s="1824"/>
      <c r="J51" s="1824"/>
      <c r="K51" s="1824"/>
      <c r="L51" s="1824"/>
      <c r="M51" s="1824"/>
    </row>
    <row r="52" spans="1:1020 1029:2040 2049:3070 3079:4090 4099:5120 5129:6140 6149:7160 7169:8190 8199:9210 9219:10240 10249:11260 11269:12280 12289:13310 13319:14330 14339:15360 15369:16380" ht="33" customHeight="1" x14ac:dyDescent="0.2">
      <c r="A52" s="1824"/>
      <c r="B52" s="1824"/>
      <c r="C52" s="1824"/>
      <c r="D52" s="1824"/>
      <c r="E52" s="1824"/>
      <c r="F52" s="1824"/>
      <c r="G52" s="1824"/>
      <c r="H52" s="1824"/>
      <c r="I52" s="1824"/>
      <c r="J52" s="1824"/>
      <c r="K52" s="1824"/>
      <c r="L52" s="1824"/>
      <c r="M52" s="1824"/>
    </row>
    <row r="53" spans="1:1020 1029:2040 2049:3070 3079:4090 4099:5120 5129:6140 6149:7160 7169:8190 8199:9210 9219:10240 10249:11260 11269:12280 12289:13310 13319:14330 14339:15360 15369:16380" ht="18" customHeight="1" x14ac:dyDescent="0.2">
      <c r="A53" s="1017"/>
      <c r="B53" s="1017"/>
      <c r="C53" s="1017"/>
      <c r="D53" s="1017"/>
      <c r="E53" s="1017"/>
      <c r="F53" s="1017"/>
      <c r="G53" s="1017"/>
      <c r="H53" s="1017"/>
      <c r="I53" s="1017"/>
      <c r="J53" s="1017"/>
    </row>
    <row r="54" spans="1:1020 1029:2040 2049:3070 3079:4090 4099:5120 5129:6140 6149:7160 7169:8190 8199:9210 9219:10240 10249:11260 11269:12280 12289:13310 13319:14330 14339:15360 15369:16380" ht="33" customHeight="1" x14ac:dyDescent="0.2">
      <c r="A54" s="1815" t="s">
        <v>184</v>
      </c>
      <c r="B54" s="1815"/>
      <c r="C54" s="1815"/>
      <c r="D54" s="1815"/>
      <c r="E54" s="1815"/>
      <c r="F54" s="1815"/>
      <c r="G54" s="1815"/>
      <c r="H54" s="1815"/>
      <c r="I54" s="1815"/>
      <c r="J54" s="1815"/>
    </row>
    <row r="55" spans="1:1020 1029:2040 2049:3070 3079:4090 4099:5120 5129:6140 6149:7160 7169:8190 8199:9210 9219:10240 10249:11260 11269:12280 12289:13310 13319:14330 14339:15360 15369:16380" ht="20.100000000000001" customHeight="1" thickBot="1" x14ac:dyDescent="0.25">
      <c r="A55" s="223"/>
      <c r="B55" s="223"/>
      <c r="S55" s="223"/>
      <c r="T55" s="223"/>
      <c r="AC55" s="223"/>
      <c r="AD55" s="223"/>
      <c r="AM55" s="223"/>
      <c r="AN55" s="223"/>
      <c r="AW55" s="223"/>
      <c r="AX55" s="223"/>
      <c r="BG55" s="223"/>
      <c r="BH55" s="223"/>
      <c r="BQ55" s="223"/>
      <c r="BR55" s="223"/>
      <c r="CA55" s="223"/>
      <c r="CB55" s="223"/>
      <c r="CK55" s="223"/>
      <c r="CL55" s="223"/>
      <c r="CU55" s="223"/>
      <c r="CV55" s="223"/>
      <c r="DE55" s="223"/>
      <c r="DF55" s="223"/>
      <c r="DO55" s="223"/>
      <c r="DP55" s="223"/>
      <c r="DY55" s="223"/>
      <c r="DZ55" s="223"/>
      <c r="EI55" s="223"/>
      <c r="EJ55" s="223"/>
      <c r="ES55" s="223"/>
      <c r="ET55" s="223"/>
      <c r="FC55" s="223"/>
      <c r="FD55" s="223"/>
      <c r="FM55" s="223"/>
      <c r="FN55" s="223"/>
      <c r="FW55" s="223"/>
      <c r="FX55" s="223"/>
      <c r="GG55" s="223"/>
      <c r="GH55" s="223"/>
      <c r="GQ55" s="223"/>
      <c r="GR55" s="223"/>
      <c r="HA55" s="223"/>
      <c r="HB55" s="223"/>
      <c r="HK55" s="223"/>
      <c r="HL55" s="223"/>
      <c r="HU55" s="223"/>
      <c r="HV55" s="223"/>
      <c r="IE55" s="223"/>
      <c r="IF55" s="223"/>
      <c r="IO55" s="223"/>
      <c r="IP55" s="223"/>
      <c r="IY55" s="223"/>
      <c r="IZ55" s="223"/>
      <c r="JI55" s="223"/>
      <c r="JJ55" s="223"/>
      <c r="JS55" s="223"/>
      <c r="JT55" s="223"/>
      <c r="KC55" s="223"/>
      <c r="KD55" s="223"/>
      <c r="KM55" s="223"/>
      <c r="KN55" s="223"/>
      <c r="KW55" s="223"/>
      <c r="KX55" s="223"/>
      <c r="LG55" s="223"/>
      <c r="LH55" s="223"/>
      <c r="LQ55" s="223"/>
      <c r="LR55" s="223"/>
      <c r="MA55" s="223"/>
      <c r="MB55" s="223"/>
      <c r="MK55" s="223"/>
      <c r="ML55" s="223"/>
      <c r="MU55" s="223"/>
      <c r="MV55" s="223"/>
      <c r="NE55" s="223"/>
      <c r="NF55" s="223"/>
      <c r="NO55" s="223"/>
      <c r="NP55" s="223"/>
      <c r="NY55" s="223"/>
      <c r="NZ55" s="223"/>
      <c r="OI55" s="223"/>
      <c r="OJ55" s="223"/>
      <c r="OS55" s="223"/>
      <c r="OT55" s="223"/>
      <c r="PC55" s="223"/>
      <c r="PD55" s="223"/>
      <c r="PM55" s="223"/>
      <c r="PN55" s="223"/>
      <c r="PW55" s="223"/>
      <c r="PX55" s="223"/>
      <c r="QG55" s="223"/>
      <c r="QH55" s="223"/>
      <c r="QQ55" s="223"/>
      <c r="QR55" s="223"/>
      <c r="RA55" s="223"/>
      <c r="RB55" s="223"/>
      <c r="RK55" s="223"/>
      <c r="RL55" s="223"/>
      <c r="RU55" s="223"/>
      <c r="RV55" s="223"/>
      <c r="SE55" s="223"/>
      <c r="SF55" s="223"/>
      <c r="SO55" s="223"/>
      <c r="SP55" s="223"/>
      <c r="SY55" s="223"/>
      <c r="SZ55" s="223"/>
      <c r="TI55" s="223"/>
      <c r="TJ55" s="223"/>
      <c r="TS55" s="223"/>
      <c r="TT55" s="223"/>
      <c r="UC55" s="223"/>
      <c r="UD55" s="223"/>
      <c r="UM55" s="223"/>
      <c r="UN55" s="223"/>
      <c r="UW55" s="223"/>
      <c r="UX55" s="223"/>
      <c r="VG55" s="223"/>
      <c r="VH55" s="223"/>
      <c r="VQ55" s="223"/>
      <c r="VR55" s="223"/>
      <c r="WA55" s="223"/>
      <c r="WB55" s="223"/>
      <c r="WK55" s="223"/>
      <c r="WL55" s="223"/>
      <c r="WU55" s="223"/>
      <c r="WV55" s="223"/>
      <c r="XE55" s="223"/>
      <c r="XF55" s="223"/>
      <c r="XO55" s="223"/>
      <c r="XP55" s="223"/>
      <c r="XY55" s="223"/>
      <c r="XZ55" s="223"/>
      <c r="YI55" s="223"/>
      <c r="YJ55" s="223"/>
      <c r="YS55" s="223"/>
      <c r="YT55" s="223"/>
      <c r="ZC55" s="223"/>
      <c r="ZD55" s="223"/>
      <c r="ZM55" s="223"/>
      <c r="ZN55" s="223"/>
      <c r="ZW55" s="223"/>
      <c r="ZX55" s="223"/>
      <c r="AAG55" s="223"/>
      <c r="AAH55" s="223"/>
      <c r="AAQ55" s="223"/>
      <c r="AAR55" s="223"/>
      <c r="ABA55" s="223"/>
      <c r="ABB55" s="223"/>
      <c r="ABK55" s="223"/>
      <c r="ABL55" s="223"/>
      <c r="ABU55" s="223"/>
      <c r="ABV55" s="223"/>
      <c r="ACE55" s="223"/>
      <c r="ACF55" s="223"/>
      <c r="ACO55" s="223"/>
      <c r="ACP55" s="223"/>
      <c r="ACY55" s="223"/>
      <c r="ACZ55" s="223"/>
      <c r="ADI55" s="223"/>
      <c r="ADJ55" s="223"/>
      <c r="ADS55" s="223"/>
      <c r="ADT55" s="223"/>
      <c r="AEC55" s="223"/>
      <c r="AED55" s="223"/>
      <c r="AEM55" s="223"/>
      <c r="AEN55" s="223"/>
      <c r="AEW55" s="223"/>
      <c r="AEX55" s="223"/>
      <c r="AFG55" s="223"/>
      <c r="AFH55" s="223"/>
      <c r="AFQ55" s="223"/>
      <c r="AFR55" s="223"/>
      <c r="AGA55" s="223"/>
      <c r="AGB55" s="223"/>
      <c r="AGK55" s="223"/>
      <c r="AGL55" s="223"/>
      <c r="AGU55" s="223"/>
      <c r="AGV55" s="223"/>
      <c r="AHE55" s="223"/>
      <c r="AHF55" s="223"/>
      <c r="AHO55" s="223"/>
      <c r="AHP55" s="223"/>
      <c r="AHY55" s="223"/>
      <c r="AHZ55" s="223"/>
      <c r="AII55" s="223"/>
      <c r="AIJ55" s="223"/>
      <c r="AIS55" s="223"/>
      <c r="AIT55" s="223"/>
      <c r="AJC55" s="223"/>
      <c r="AJD55" s="223"/>
      <c r="AJM55" s="223"/>
      <c r="AJN55" s="223"/>
      <c r="AJW55" s="223"/>
      <c r="AJX55" s="223"/>
      <c r="AKG55" s="223"/>
      <c r="AKH55" s="223"/>
      <c r="AKQ55" s="223"/>
      <c r="AKR55" s="223"/>
      <c r="ALA55" s="223"/>
      <c r="ALB55" s="223"/>
      <c r="ALK55" s="223"/>
      <c r="ALL55" s="223"/>
      <c r="ALU55" s="223"/>
      <c r="ALV55" s="223"/>
      <c r="AME55" s="223"/>
      <c r="AMF55" s="223"/>
      <c r="AMO55" s="223"/>
      <c r="AMP55" s="223"/>
      <c r="AMY55" s="223"/>
      <c r="AMZ55" s="223"/>
      <c r="ANI55" s="223"/>
      <c r="ANJ55" s="223"/>
      <c r="ANS55" s="223"/>
      <c r="ANT55" s="223"/>
      <c r="AOC55" s="223"/>
      <c r="AOD55" s="223"/>
      <c r="AOM55" s="223"/>
      <c r="AON55" s="223"/>
      <c r="AOW55" s="223"/>
      <c r="AOX55" s="223"/>
      <c r="APG55" s="223"/>
      <c r="APH55" s="223"/>
      <c r="APQ55" s="223"/>
      <c r="APR55" s="223"/>
      <c r="AQA55" s="223"/>
      <c r="AQB55" s="223"/>
      <c r="AQK55" s="223"/>
      <c r="AQL55" s="223"/>
      <c r="AQU55" s="223"/>
      <c r="AQV55" s="223"/>
      <c r="ARE55" s="223"/>
      <c r="ARF55" s="223"/>
      <c r="ARO55" s="223"/>
      <c r="ARP55" s="223"/>
      <c r="ARY55" s="223"/>
      <c r="ARZ55" s="223"/>
      <c r="ASI55" s="223"/>
      <c r="ASJ55" s="223"/>
      <c r="ASS55" s="223"/>
      <c r="AST55" s="223"/>
      <c r="ATC55" s="223"/>
      <c r="ATD55" s="223"/>
      <c r="ATM55" s="223"/>
      <c r="ATN55" s="223"/>
      <c r="ATW55" s="223"/>
      <c r="ATX55" s="223"/>
      <c r="AUG55" s="223"/>
      <c r="AUH55" s="223"/>
      <c r="AUQ55" s="223"/>
      <c r="AUR55" s="223"/>
      <c r="AVA55" s="223"/>
      <c r="AVB55" s="223"/>
      <c r="AVK55" s="223"/>
      <c r="AVL55" s="223"/>
      <c r="AVU55" s="223"/>
      <c r="AVV55" s="223"/>
      <c r="AWE55" s="223"/>
      <c r="AWF55" s="223"/>
      <c r="AWO55" s="223"/>
      <c r="AWP55" s="223"/>
      <c r="AWY55" s="223"/>
      <c r="AWZ55" s="223"/>
      <c r="AXI55" s="223"/>
      <c r="AXJ55" s="223"/>
      <c r="AXS55" s="223"/>
      <c r="AXT55" s="223"/>
      <c r="AYC55" s="223"/>
      <c r="AYD55" s="223"/>
      <c r="AYM55" s="223"/>
      <c r="AYN55" s="223"/>
      <c r="AYW55" s="223"/>
      <c r="AYX55" s="223"/>
      <c r="AZG55" s="223"/>
      <c r="AZH55" s="223"/>
      <c r="AZQ55" s="223"/>
      <c r="AZR55" s="223"/>
      <c r="BAA55" s="223"/>
      <c r="BAB55" s="223"/>
      <c r="BAK55" s="223"/>
      <c r="BAL55" s="223"/>
      <c r="BAU55" s="223"/>
      <c r="BAV55" s="223"/>
      <c r="BBE55" s="223"/>
      <c r="BBF55" s="223"/>
      <c r="BBO55" s="223"/>
      <c r="BBP55" s="223"/>
      <c r="BBY55" s="223"/>
      <c r="BBZ55" s="223"/>
      <c r="BCI55" s="223"/>
      <c r="BCJ55" s="223"/>
      <c r="BCS55" s="223"/>
      <c r="BCT55" s="223"/>
      <c r="BDC55" s="223"/>
      <c r="BDD55" s="223"/>
      <c r="BDM55" s="223"/>
      <c r="BDN55" s="223"/>
      <c r="BDW55" s="223"/>
      <c r="BDX55" s="223"/>
      <c r="BEG55" s="223"/>
      <c r="BEH55" s="223"/>
      <c r="BEQ55" s="223"/>
      <c r="BER55" s="223"/>
      <c r="BFA55" s="223"/>
      <c r="BFB55" s="223"/>
      <c r="BFK55" s="223"/>
      <c r="BFL55" s="223"/>
      <c r="BFU55" s="223"/>
      <c r="BFV55" s="223"/>
      <c r="BGE55" s="223"/>
      <c r="BGF55" s="223"/>
      <c r="BGO55" s="223"/>
      <c r="BGP55" s="223"/>
      <c r="BGY55" s="223"/>
      <c r="BGZ55" s="223"/>
      <c r="BHI55" s="223"/>
      <c r="BHJ55" s="223"/>
      <c r="BHS55" s="223"/>
      <c r="BHT55" s="223"/>
      <c r="BIC55" s="223"/>
      <c r="BID55" s="223"/>
      <c r="BIM55" s="223"/>
      <c r="BIN55" s="223"/>
      <c r="BIW55" s="223"/>
      <c r="BIX55" s="223"/>
      <c r="BJG55" s="223"/>
      <c r="BJH55" s="223"/>
      <c r="BJQ55" s="223"/>
      <c r="BJR55" s="223"/>
      <c r="BKA55" s="223"/>
      <c r="BKB55" s="223"/>
      <c r="BKK55" s="223"/>
      <c r="BKL55" s="223"/>
      <c r="BKU55" s="223"/>
      <c r="BKV55" s="223"/>
      <c r="BLE55" s="223"/>
      <c r="BLF55" s="223"/>
      <c r="BLO55" s="223"/>
      <c r="BLP55" s="223"/>
      <c r="BLY55" s="223"/>
      <c r="BLZ55" s="223"/>
      <c r="BMI55" s="223"/>
      <c r="BMJ55" s="223"/>
      <c r="BMS55" s="223"/>
      <c r="BMT55" s="223"/>
      <c r="BNC55" s="223"/>
      <c r="BND55" s="223"/>
      <c r="BNM55" s="223"/>
      <c r="BNN55" s="223"/>
      <c r="BNW55" s="223"/>
      <c r="BNX55" s="223"/>
      <c r="BOG55" s="223"/>
      <c r="BOH55" s="223"/>
      <c r="BOQ55" s="223"/>
      <c r="BOR55" s="223"/>
      <c r="BPA55" s="223"/>
      <c r="BPB55" s="223"/>
      <c r="BPK55" s="223"/>
      <c r="BPL55" s="223"/>
      <c r="BPU55" s="223"/>
      <c r="BPV55" s="223"/>
      <c r="BQE55" s="223"/>
      <c r="BQF55" s="223"/>
      <c r="BQO55" s="223"/>
      <c r="BQP55" s="223"/>
      <c r="BQY55" s="223"/>
      <c r="BQZ55" s="223"/>
      <c r="BRI55" s="223"/>
      <c r="BRJ55" s="223"/>
      <c r="BRS55" s="223"/>
      <c r="BRT55" s="223"/>
      <c r="BSC55" s="223"/>
      <c r="BSD55" s="223"/>
      <c r="BSM55" s="223"/>
      <c r="BSN55" s="223"/>
      <c r="BSW55" s="223"/>
      <c r="BSX55" s="223"/>
      <c r="BTG55" s="223"/>
      <c r="BTH55" s="223"/>
      <c r="BTQ55" s="223"/>
      <c r="BTR55" s="223"/>
      <c r="BUA55" s="223"/>
      <c r="BUB55" s="223"/>
      <c r="BUK55" s="223"/>
      <c r="BUL55" s="223"/>
      <c r="BUU55" s="223"/>
      <c r="BUV55" s="223"/>
      <c r="BVE55" s="223"/>
      <c r="BVF55" s="223"/>
      <c r="BVO55" s="223"/>
      <c r="BVP55" s="223"/>
      <c r="BVY55" s="223"/>
      <c r="BVZ55" s="223"/>
      <c r="BWI55" s="223"/>
      <c r="BWJ55" s="223"/>
      <c r="BWS55" s="223"/>
      <c r="BWT55" s="223"/>
      <c r="BXC55" s="223"/>
      <c r="BXD55" s="223"/>
      <c r="BXM55" s="223"/>
      <c r="BXN55" s="223"/>
      <c r="BXW55" s="223"/>
      <c r="BXX55" s="223"/>
      <c r="BYG55" s="223"/>
      <c r="BYH55" s="223"/>
      <c r="BYQ55" s="223"/>
      <c r="BYR55" s="223"/>
      <c r="BZA55" s="223"/>
      <c r="BZB55" s="223"/>
      <c r="BZK55" s="223"/>
      <c r="BZL55" s="223"/>
      <c r="BZU55" s="223"/>
      <c r="BZV55" s="223"/>
      <c r="CAE55" s="223"/>
      <c r="CAF55" s="223"/>
      <c r="CAO55" s="223"/>
      <c r="CAP55" s="223"/>
      <c r="CAY55" s="223"/>
      <c r="CAZ55" s="223"/>
      <c r="CBI55" s="223"/>
      <c r="CBJ55" s="223"/>
      <c r="CBS55" s="223"/>
      <c r="CBT55" s="223"/>
      <c r="CCC55" s="223"/>
      <c r="CCD55" s="223"/>
      <c r="CCM55" s="223"/>
      <c r="CCN55" s="223"/>
      <c r="CCW55" s="223"/>
      <c r="CCX55" s="223"/>
      <c r="CDG55" s="223"/>
      <c r="CDH55" s="223"/>
      <c r="CDQ55" s="223"/>
      <c r="CDR55" s="223"/>
      <c r="CEA55" s="223"/>
      <c r="CEB55" s="223"/>
      <c r="CEK55" s="223"/>
      <c r="CEL55" s="223"/>
      <c r="CEU55" s="223"/>
      <c r="CEV55" s="223"/>
      <c r="CFE55" s="223"/>
      <c r="CFF55" s="223"/>
      <c r="CFO55" s="223"/>
      <c r="CFP55" s="223"/>
      <c r="CFY55" s="223"/>
      <c r="CFZ55" s="223"/>
      <c r="CGI55" s="223"/>
      <c r="CGJ55" s="223"/>
      <c r="CGS55" s="223"/>
      <c r="CGT55" s="223"/>
      <c r="CHC55" s="223"/>
      <c r="CHD55" s="223"/>
      <c r="CHM55" s="223"/>
      <c r="CHN55" s="223"/>
      <c r="CHW55" s="223"/>
      <c r="CHX55" s="223"/>
      <c r="CIG55" s="223"/>
      <c r="CIH55" s="223"/>
      <c r="CIQ55" s="223"/>
      <c r="CIR55" s="223"/>
      <c r="CJA55" s="223"/>
      <c r="CJB55" s="223"/>
      <c r="CJK55" s="223"/>
      <c r="CJL55" s="223"/>
      <c r="CJU55" s="223"/>
      <c r="CJV55" s="223"/>
      <c r="CKE55" s="223"/>
      <c r="CKF55" s="223"/>
      <c r="CKO55" s="223"/>
      <c r="CKP55" s="223"/>
      <c r="CKY55" s="223"/>
      <c r="CKZ55" s="223"/>
      <c r="CLI55" s="223"/>
      <c r="CLJ55" s="223"/>
      <c r="CLS55" s="223"/>
      <c r="CLT55" s="223"/>
      <c r="CMC55" s="223"/>
      <c r="CMD55" s="223"/>
      <c r="CMM55" s="223"/>
      <c r="CMN55" s="223"/>
      <c r="CMW55" s="223"/>
      <c r="CMX55" s="223"/>
      <c r="CNG55" s="223"/>
      <c r="CNH55" s="223"/>
      <c r="CNQ55" s="223"/>
      <c r="CNR55" s="223"/>
      <c r="COA55" s="223"/>
      <c r="COB55" s="223"/>
      <c r="COK55" s="223"/>
      <c r="COL55" s="223"/>
      <c r="COU55" s="223"/>
      <c r="COV55" s="223"/>
      <c r="CPE55" s="223"/>
      <c r="CPF55" s="223"/>
      <c r="CPO55" s="223"/>
      <c r="CPP55" s="223"/>
      <c r="CPY55" s="223"/>
      <c r="CPZ55" s="223"/>
      <c r="CQI55" s="223"/>
      <c r="CQJ55" s="223"/>
      <c r="CQS55" s="223"/>
      <c r="CQT55" s="223"/>
      <c r="CRC55" s="223"/>
      <c r="CRD55" s="223"/>
      <c r="CRM55" s="223"/>
      <c r="CRN55" s="223"/>
      <c r="CRW55" s="223"/>
      <c r="CRX55" s="223"/>
      <c r="CSG55" s="223"/>
      <c r="CSH55" s="223"/>
      <c r="CSQ55" s="223"/>
      <c r="CSR55" s="223"/>
      <c r="CTA55" s="223"/>
      <c r="CTB55" s="223"/>
      <c r="CTK55" s="223"/>
      <c r="CTL55" s="223"/>
      <c r="CTU55" s="223"/>
      <c r="CTV55" s="223"/>
      <c r="CUE55" s="223"/>
      <c r="CUF55" s="223"/>
      <c r="CUO55" s="223"/>
      <c r="CUP55" s="223"/>
      <c r="CUY55" s="223"/>
      <c r="CUZ55" s="223"/>
      <c r="CVI55" s="223"/>
      <c r="CVJ55" s="223"/>
      <c r="CVS55" s="223"/>
      <c r="CVT55" s="223"/>
      <c r="CWC55" s="223"/>
      <c r="CWD55" s="223"/>
      <c r="CWM55" s="223"/>
      <c r="CWN55" s="223"/>
      <c r="CWW55" s="223"/>
      <c r="CWX55" s="223"/>
      <c r="CXG55" s="223"/>
      <c r="CXH55" s="223"/>
      <c r="CXQ55" s="223"/>
      <c r="CXR55" s="223"/>
      <c r="CYA55" s="223"/>
      <c r="CYB55" s="223"/>
      <c r="CYK55" s="223"/>
      <c r="CYL55" s="223"/>
      <c r="CYU55" s="223"/>
      <c r="CYV55" s="223"/>
      <c r="CZE55" s="223"/>
      <c r="CZF55" s="223"/>
      <c r="CZO55" s="223"/>
      <c r="CZP55" s="223"/>
      <c r="CZY55" s="223"/>
      <c r="CZZ55" s="223"/>
      <c r="DAI55" s="223"/>
      <c r="DAJ55" s="223"/>
      <c r="DAS55" s="223"/>
      <c r="DAT55" s="223"/>
      <c r="DBC55" s="223"/>
      <c r="DBD55" s="223"/>
      <c r="DBM55" s="223"/>
      <c r="DBN55" s="223"/>
      <c r="DBW55" s="223"/>
      <c r="DBX55" s="223"/>
      <c r="DCG55" s="223"/>
      <c r="DCH55" s="223"/>
      <c r="DCQ55" s="223"/>
      <c r="DCR55" s="223"/>
      <c r="DDA55" s="223"/>
      <c r="DDB55" s="223"/>
      <c r="DDK55" s="223"/>
      <c r="DDL55" s="223"/>
      <c r="DDU55" s="223"/>
      <c r="DDV55" s="223"/>
      <c r="DEE55" s="223"/>
      <c r="DEF55" s="223"/>
      <c r="DEO55" s="223"/>
      <c r="DEP55" s="223"/>
      <c r="DEY55" s="223"/>
      <c r="DEZ55" s="223"/>
      <c r="DFI55" s="223"/>
      <c r="DFJ55" s="223"/>
      <c r="DFS55" s="223"/>
      <c r="DFT55" s="223"/>
      <c r="DGC55" s="223"/>
      <c r="DGD55" s="223"/>
      <c r="DGM55" s="223"/>
      <c r="DGN55" s="223"/>
      <c r="DGW55" s="223"/>
      <c r="DGX55" s="223"/>
      <c r="DHG55" s="223"/>
      <c r="DHH55" s="223"/>
      <c r="DHQ55" s="223"/>
      <c r="DHR55" s="223"/>
      <c r="DIA55" s="223"/>
      <c r="DIB55" s="223"/>
      <c r="DIK55" s="223"/>
      <c r="DIL55" s="223"/>
      <c r="DIU55" s="223"/>
      <c r="DIV55" s="223"/>
      <c r="DJE55" s="223"/>
      <c r="DJF55" s="223"/>
      <c r="DJO55" s="223"/>
      <c r="DJP55" s="223"/>
      <c r="DJY55" s="223"/>
      <c r="DJZ55" s="223"/>
      <c r="DKI55" s="223"/>
      <c r="DKJ55" s="223"/>
      <c r="DKS55" s="223"/>
      <c r="DKT55" s="223"/>
      <c r="DLC55" s="223"/>
      <c r="DLD55" s="223"/>
      <c r="DLM55" s="223"/>
      <c r="DLN55" s="223"/>
      <c r="DLW55" s="223"/>
      <c r="DLX55" s="223"/>
      <c r="DMG55" s="223"/>
      <c r="DMH55" s="223"/>
      <c r="DMQ55" s="223"/>
      <c r="DMR55" s="223"/>
      <c r="DNA55" s="223"/>
      <c r="DNB55" s="223"/>
      <c r="DNK55" s="223"/>
      <c r="DNL55" s="223"/>
      <c r="DNU55" s="223"/>
      <c r="DNV55" s="223"/>
      <c r="DOE55" s="223"/>
      <c r="DOF55" s="223"/>
      <c r="DOO55" s="223"/>
      <c r="DOP55" s="223"/>
      <c r="DOY55" s="223"/>
      <c r="DOZ55" s="223"/>
      <c r="DPI55" s="223"/>
      <c r="DPJ55" s="223"/>
      <c r="DPS55" s="223"/>
      <c r="DPT55" s="223"/>
      <c r="DQC55" s="223"/>
      <c r="DQD55" s="223"/>
      <c r="DQM55" s="223"/>
      <c r="DQN55" s="223"/>
      <c r="DQW55" s="223"/>
      <c r="DQX55" s="223"/>
      <c r="DRG55" s="223"/>
      <c r="DRH55" s="223"/>
      <c r="DRQ55" s="223"/>
      <c r="DRR55" s="223"/>
      <c r="DSA55" s="223"/>
      <c r="DSB55" s="223"/>
      <c r="DSK55" s="223"/>
      <c r="DSL55" s="223"/>
      <c r="DSU55" s="223"/>
      <c r="DSV55" s="223"/>
      <c r="DTE55" s="223"/>
      <c r="DTF55" s="223"/>
      <c r="DTO55" s="223"/>
      <c r="DTP55" s="223"/>
      <c r="DTY55" s="223"/>
      <c r="DTZ55" s="223"/>
      <c r="DUI55" s="223"/>
      <c r="DUJ55" s="223"/>
      <c r="DUS55" s="223"/>
      <c r="DUT55" s="223"/>
      <c r="DVC55" s="223"/>
      <c r="DVD55" s="223"/>
      <c r="DVM55" s="223"/>
      <c r="DVN55" s="223"/>
      <c r="DVW55" s="223"/>
      <c r="DVX55" s="223"/>
      <c r="DWG55" s="223"/>
      <c r="DWH55" s="223"/>
      <c r="DWQ55" s="223"/>
      <c r="DWR55" s="223"/>
      <c r="DXA55" s="223"/>
      <c r="DXB55" s="223"/>
      <c r="DXK55" s="223"/>
      <c r="DXL55" s="223"/>
      <c r="DXU55" s="223"/>
      <c r="DXV55" s="223"/>
      <c r="DYE55" s="223"/>
      <c r="DYF55" s="223"/>
      <c r="DYO55" s="223"/>
      <c r="DYP55" s="223"/>
      <c r="DYY55" s="223"/>
      <c r="DYZ55" s="223"/>
      <c r="DZI55" s="223"/>
      <c r="DZJ55" s="223"/>
      <c r="DZS55" s="223"/>
      <c r="DZT55" s="223"/>
      <c r="EAC55" s="223"/>
      <c r="EAD55" s="223"/>
      <c r="EAM55" s="223"/>
      <c r="EAN55" s="223"/>
      <c r="EAW55" s="223"/>
      <c r="EAX55" s="223"/>
      <c r="EBG55" s="223"/>
      <c r="EBH55" s="223"/>
      <c r="EBQ55" s="223"/>
      <c r="EBR55" s="223"/>
      <c r="ECA55" s="223"/>
      <c r="ECB55" s="223"/>
      <c r="ECK55" s="223"/>
      <c r="ECL55" s="223"/>
      <c r="ECU55" s="223"/>
      <c r="ECV55" s="223"/>
      <c r="EDE55" s="223"/>
      <c r="EDF55" s="223"/>
      <c r="EDO55" s="223"/>
      <c r="EDP55" s="223"/>
      <c r="EDY55" s="223"/>
      <c r="EDZ55" s="223"/>
      <c r="EEI55" s="223"/>
      <c r="EEJ55" s="223"/>
      <c r="EES55" s="223"/>
      <c r="EET55" s="223"/>
      <c r="EFC55" s="223"/>
      <c r="EFD55" s="223"/>
      <c r="EFM55" s="223"/>
      <c r="EFN55" s="223"/>
      <c r="EFW55" s="223"/>
      <c r="EFX55" s="223"/>
      <c r="EGG55" s="223"/>
      <c r="EGH55" s="223"/>
      <c r="EGQ55" s="223"/>
      <c r="EGR55" s="223"/>
      <c r="EHA55" s="223"/>
      <c r="EHB55" s="223"/>
      <c r="EHK55" s="223"/>
      <c r="EHL55" s="223"/>
      <c r="EHU55" s="223"/>
      <c r="EHV55" s="223"/>
      <c r="EIE55" s="223"/>
      <c r="EIF55" s="223"/>
      <c r="EIO55" s="223"/>
      <c r="EIP55" s="223"/>
      <c r="EIY55" s="223"/>
      <c r="EIZ55" s="223"/>
      <c r="EJI55" s="223"/>
      <c r="EJJ55" s="223"/>
      <c r="EJS55" s="223"/>
      <c r="EJT55" s="223"/>
      <c r="EKC55" s="223"/>
      <c r="EKD55" s="223"/>
      <c r="EKM55" s="223"/>
      <c r="EKN55" s="223"/>
      <c r="EKW55" s="223"/>
      <c r="EKX55" s="223"/>
      <c r="ELG55" s="223"/>
      <c r="ELH55" s="223"/>
      <c r="ELQ55" s="223"/>
      <c r="ELR55" s="223"/>
      <c r="EMA55" s="223"/>
      <c r="EMB55" s="223"/>
      <c r="EMK55" s="223"/>
      <c r="EML55" s="223"/>
      <c r="EMU55" s="223"/>
      <c r="EMV55" s="223"/>
      <c r="ENE55" s="223"/>
      <c r="ENF55" s="223"/>
      <c r="ENO55" s="223"/>
      <c r="ENP55" s="223"/>
      <c r="ENY55" s="223"/>
      <c r="ENZ55" s="223"/>
      <c r="EOI55" s="223"/>
      <c r="EOJ55" s="223"/>
      <c r="EOS55" s="223"/>
      <c r="EOT55" s="223"/>
      <c r="EPC55" s="223"/>
      <c r="EPD55" s="223"/>
      <c r="EPM55" s="223"/>
      <c r="EPN55" s="223"/>
      <c r="EPW55" s="223"/>
      <c r="EPX55" s="223"/>
      <c r="EQG55" s="223"/>
      <c r="EQH55" s="223"/>
      <c r="EQQ55" s="223"/>
      <c r="EQR55" s="223"/>
      <c r="ERA55" s="223"/>
      <c r="ERB55" s="223"/>
      <c r="ERK55" s="223"/>
      <c r="ERL55" s="223"/>
      <c r="ERU55" s="223"/>
      <c r="ERV55" s="223"/>
      <c r="ESE55" s="223"/>
      <c r="ESF55" s="223"/>
      <c r="ESO55" s="223"/>
      <c r="ESP55" s="223"/>
      <c r="ESY55" s="223"/>
      <c r="ESZ55" s="223"/>
      <c r="ETI55" s="223"/>
      <c r="ETJ55" s="223"/>
      <c r="ETS55" s="223"/>
      <c r="ETT55" s="223"/>
      <c r="EUC55" s="223"/>
      <c r="EUD55" s="223"/>
      <c r="EUM55" s="223"/>
      <c r="EUN55" s="223"/>
      <c r="EUW55" s="223"/>
      <c r="EUX55" s="223"/>
      <c r="EVG55" s="223"/>
      <c r="EVH55" s="223"/>
      <c r="EVQ55" s="223"/>
      <c r="EVR55" s="223"/>
      <c r="EWA55" s="223"/>
      <c r="EWB55" s="223"/>
      <c r="EWK55" s="223"/>
      <c r="EWL55" s="223"/>
      <c r="EWU55" s="223"/>
      <c r="EWV55" s="223"/>
      <c r="EXE55" s="223"/>
      <c r="EXF55" s="223"/>
      <c r="EXO55" s="223"/>
      <c r="EXP55" s="223"/>
      <c r="EXY55" s="223"/>
      <c r="EXZ55" s="223"/>
      <c r="EYI55" s="223"/>
      <c r="EYJ55" s="223"/>
      <c r="EYS55" s="223"/>
      <c r="EYT55" s="223"/>
      <c r="EZC55" s="223"/>
      <c r="EZD55" s="223"/>
      <c r="EZM55" s="223"/>
      <c r="EZN55" s="223"/>
      <c r="EZW55" s="223"/>
      <c r="EZX55" s="223"/>
      <c r="FAG55" s="223"/>
      <c r="FAH55" s="223"/>
      <c r="FAQ55" s="223"/>
      <c r="FAR55" s="223"/>
      <c r="FBA55" s="223"/>
      <c r="FBB55" s="223"/>
      <c r="FBK55" s="223"/>
      <c r="FBL55" s="223"/>
      <c r="FBU55" s="223"/>
      <c r="FBV55" s="223"/>
      <c r="FCE55" s="223"/>
      <c r="FCF55" s="223"/>
      <c r="FCO55" s="223"/>
      <c r="FCP55" s="223"/>
      <c r="FCY55" s="223"/>
      <c r="FCZ55" s="223"/>
      <c r="FDI55" s="223"/>
      <c r="FDJ55" s="223"/>
      <c r="FDS55" s="223"/>
      <c r="FDT55" s="223"/>
      <c r="FEC55" s="223"/>
      <c r="FED55" s="223"/>
      <c r="FEM55" s="223"/>
      <c r="FEN55" s="223"/>
      <c r="FEW55" s="223"/>
      <c r="FEX55" s="223"/>
      <c r="FFG55" s="223"/>
      <c r="FFH55" s="223"/>
      <c r="FFQ55" s="223"/>
      <c r="FFR55" s="223"/>
      <c r="FGA55" s="223"/>
      <c r="FGB55" s="223"/>
      <c r="FGK55" s="223"/>
      <c r="FGL55" s="223"/>
      <c r="FGU55" s="223"/>
      <c r="FGV55" s="223"/>
      <c r="FHE55" s="223"/>
      <c r="FHF55" s="223"/>
      <c r="FHO55" s="223"/>
      <c r="FHP55" s="223"/>
      <c r="FHY55" s="223"/>
      <c r="FHZ55" s="223"/>
      <c r="FII55" s="223"/>
      <c r="FIJ55" s="223"/>
      <c r="FIS55" s="223"/>
      <c r="FIT55" s="223"/>
      <c r="FJC55" s="223"/>
      <c r="FJD55" s="223"/>
      <c r="FJM55" s="223"/>
      <c r="FJN55" s="223"/>
      <c r="FJW55" s="223"/>
      <c r="FJX55" s="223"/>
      <c r="FKG55" s="223"/>
      <c r="FKH55" s="223"/>
      <c r="FKQ55" s="223"/>
      <c r="FKR55" s="223"/>
      <c r="FLA55" s="223"/>
      <c r="FLB55" s="223"/>
      <c r="FLK55" s="223"/>
      <c r="FLL55" s="223"/>
      <c r="FLU55" s="223"/>
      <c r="FLV55" s="223"/>
      <c r="FME55" s="223"/>
      <c r="FMF55" s="223"/>
      <c r="FMO55" s="223"/>
      <c r="FMP55" s="223"/>
      <c r="FMY55" s="223"/>
      <c r="FMZ55" s="223"/>
      <c r="FNI55" s="223"/>
      <c r="FNJ55" s="223"/>
      <c r="FNS55" s="223"/>
      <c r="FNT55" s="223"/>
      <c r="FOC55" s="223"/>
      <c r="FOD55" s="223"/>
      <c r="FOM55" s="223"/>
      <c r="FON55" s="223"/>
      <c r="FOW55" s="223"/>
      <c r="FOX55" s="223"/>
      <c r="FPG55" s="223"/>
      <c r="FPH55" s="223"/>
      <c r="FPQ55" s="223"/>
      <c r="FPR55" s="223"/>
      <c r="FQA55" s="223"/>
      <c r="FQB55" s="223"/>
      <c r="FQK55" s="223"/>
      <c r="FQL55" s="223"/>
      <c r="FQU55" s="223"/>
      <c r="FQV55" s="223"/>
      <c r="FRE55" s="223"/>
      <c r="FRF55" s="223"/>
      <c r="FRO55" s="223"/>
      <c r="FRP55" s="223"/>
      <c r="FRY55" s="223"/>
      <c r="FRZ55" s="223"/>
      <c r="FSI55" s="223"/>
      <c r="FSJ55" s="223"/>
      <c r="FSS55" s="223"/>
      <c r="FST55" s="223"/>
      <c r="FTC55" s="223"/>
      <c r="FTD55" s="223"/>
      <c r="FTM55" s="223"/>
      <c r="FTN55" s="223"/>
      <c r="FTW55" s="223"/>
      <c r="FTX55" s="223"/>
      <c r="FUG55" s="223"/>
      <c r="FUH55" s="223"/>
      <c r="FUQ55" s="223"/>
      <c r="FUR55" s="223"/>
      <c r="FVA55" s="223"/>
      <c r="FVB55" s="223"/>
      <c r="FVK55" s="223"/>
      <c r="FVL55" s="223"/>
      <c r="FVU55" s="223"/>
      <c r="FVV55" s="223"/>
      <c r="FWE55" s="223"/>
      <c r="FWF55" s="223"/>
      <c r="FWO55" s="223"/>
      <c r="FWP55" s="223"/>
      <c r="FWY55" s="223"/>
      <c r="FWZ55" s="223"/>
      <c r="FXI55" s="223"/>
      <c r="FXJ55" s="223"/>
      <c r="FXS55" s="223"/>
      <c r="FXT55" s="223"/>
      <c r="FYC55" s="223"/>
      <c r="FYD55" s="223"/>
      <c r="FYM55" s="223"/>
      <c r="FYN55" s="223"/>
      <c r="FYW55" s="223"/>
      <c r="FYX55" s="223"/>
      <c r="FZG55" s="223"/>
      <c r="FZH55" s="223"/>
      <c r="FZQ55" s="223"/>
      <c r="FZR55" s="223"/>
      <c r="GAA55" s="223"/>
      <c r="GAB55" s="223"/>
      <c r="GAK55" s="223"/>
      <c r="GAL55" s="223"/>
      <c r="GAU55" s="223"/>
      <c r="GAV55" s="223"/>
      <c r="GBE55" s="223"/>
      <c r="GBF55" s="223"/>
      <c r="GBO55" s="223"/>
      <c r="GBP55" s="223"/>
      <c r="GBY55" s="223"/>
      <c r="GBZ55" s="223"/>
      <c r="GCI55" s="223"/>
      <c r="GCJ55" s="223"/>
      <c r="GCS55" s="223"/>
      <c r="GCT55" s="223"/>
      <c r="GDC55" s="223"/>
      <c r="GDD55" s="223"/>
      <c r="GDM55" s="223"/>
      <c r="GDN55" s="223"/>
      <c r="GDW55" s="223"/>
      <c r="GDX55" s="223"/>
      <c r="GEG55" s="223"/>
      <c r="GEH55" s="223"/>
      <c r="GEQ55" s="223"/>
      <c r="GER55" s="223"/>
      <c r="GFA55" s="223"/>
      <c r="GFB55" s="223"/>
      <c r="GFK55" s="223"/>
      <c r="GFL55" s="223"/>
      <c r="GFU55" s="223"/>
      <c r="GFV55" s="223"/>
      <c r="GGE55" s="223"/>
      <c r="GGF55" s="223"/>
      <c r="GGO55" s="223"/>
      <c r="GGP55" s="223"/>
      <c r="GGY55" s="223"/>
      <c r="GGZ55" s="223"/>
      <c r="GHI55" s="223"/>
      <c r="GHJ55" s="223"/>
      <c r="GHS55" s="223"/>
      <c r="GHT55" s="223"/>
      <c r="GIC55" s="223"/>
      <c r="GID55" s="223"/>
      <c r="GIM55" s="223"/>
      <c r="GIN55" s="223"/>
      <c r="GIW55" s="223"/>
      <c r="GIX55" s="223"/>
      <c r="GJG55" s="223"/>
      <c r="GJH55" s="223"/>
      <c r="GJQ55" s="223"/>
      <c r="GJR55" s="223"/>
      <c r="GKA55" s="223"/>
      <c r="GKB55" s="223"/>
      <c r="GKK55" s="223"/>
      <c r="GKL55" s="223"/>
      <c r="GKU55" s="223"/>
      <c r="GKV55" s="223"/>
      <c r="GLE55" s="223"/>
      <c r="GLF55" s="223"/>
      <c r="GLO55" s="223"/>
      <c r="GLP55" s="223"/>
      <c r="GLY55" s="223"/>
      <c r="GLZ55" s="223"/>
      <c r="GMI55" s="223"/>
      <c r="GMJ55" s="223"/>
      <c r="GMS55" s="223"/>
      <c r="GMT55" s="223"/>
      <c r="GNC55" s="223"/>
      <c r="GND55" s="223"/>
      <c r="GNM55" s="223"/>
      <c r="GNN55" s="223"/>
      <c r="GNW55" s="223"/>
      <c r="GNX55" s="223"/>
      <c r="GOG55" s="223"/>
      <c r="GOH55" s="223"/>
      <c r="GOQ55" s="223"/>
      <c r="GOR55" s="223"/>
      <c r="GPA55" s="223"/>
      <c r="GPB55" s="223"/>
      <c r="GPK55" s="223"/>
      <c r="GPL55" s="223"/>
      <c r="GPU55" s="223"/>
      <c r="GPV55" s="223"/>
      <c r="GQE55" s="223"/>
      <c r="GQF55" s="223"/>
      <c r="GQO55" s="223"/>
      <c r="GQP55" s="223"/>
      <c r="GQY55" s="223"/>
      <c r="GQZ55" s="223"/>
      <c r="GRI55" s="223"/>
      <c r="GRJ55" s="223"/>
      <c r="GRS55" s="223"/>
      <c r="GRT55" s="223"/>
      <c r="GSC55" s="223"/>
      <c r="GSD55" s="223"/>
      <c r="GSM55" s="223"/>
      <c r="GSN55" s="223"/>
      <c r="GSW55" s="223"/>
      <c r="GSX55" s="223"/>
      <c r="GTG55" s="223"/>
      <c r="GTH55" s="223"/>
      <c r="GTQ55" s="223"/>
      <c r="GTR55" s="223"/>
      <c r="GUA55" s="223"/>
      <c r="GUB55" s="223"/>
      <c r="GUK55" s="223"/>
      <c r="GUL55" s="223"/>
      <c r="GUU55" s="223"/>
      <c r="GUV55" s="223"/>
      <c r="GVE55" s="223"/>
      <c r="GVF55" s="223"/>
      <c r="GVO55" s="223"/>
      <c r="GVP55" s="223"/>
      <c r="GVY55" s="223"/>
      <c r="GVZ55" s="223"/>
      <c r="GWI55" s="223"/>
      <c r="GWJ55" s="223"/>
      <c r="GWS55" s="223"/>
      <c r="GWT55" s="223"/>
      <c r="GXC55" s="223"/>
      <c r="GXD55" s="223"/>
      <c r="GXM55" s="223"/>
      <c r="GXN55" s="223"/>
      <c r="GXW55" s="223"/>
      <c r="GXX55" s="223"/>
      <c r="GYG55" s="223"/>
      <c r="GYH55" s="223"/>
      <c r="GYQ55" s="223"/>
      <c r="GYR55" s="223"/>
      <c r="GZA55" s="223"/>
      <c r="GZB55" s="223"/>
      <c r="GZK55" s="223"/>
      <c r="GZL55" s="223"/>
      <c r="GZU55" s="223"/>
      <c r="GZV55" s="223"/>
      <c r="HAE55" s="223"/>
      <c r="HAF55" s="223"/>
      <c r="HAO55" s="223"/>
      <c r="HAP55" s="223"/>
      <c r="HAY55" s="223"/>
      <c r="HAZ55" s="223"/>
      <c r="HBI55" s="223"/>
      <c r="HBJ55" s="223"/>
      <c r="HBS55" s="223"/>
      <c r="HBT55" s="223"/>
      <c r="HCC55" s="223"/>
      <c r="HCD55" s="223"/>
      <c r="HCM55" s="223"/>
      <c r="HCN55" s="223"/>
      <c r="HCW55" s="223"/>
      <c r="HCX55" s="223"/>
      <c r="HDG55" s="223"/>
      <c r="HDH55" s="223"/>
      <c r="HDQ55" s="223"/>
      <c r="HDR55" s="223"/>
      <c r="HEA55" s="223"/>
      <c r="HEB55" s="223"/>
      <c r="HEK55" s="223"/>
      <c r="HEL55" s="223"/>
      <c r="HEU55" s="223"/>
      <c r="HEV55" s="223"/>
      <c r="HFE55" s="223"/>
      <c r="HFF55" s="223"/>
      <c r="HFO55" s="223"/>
      <c r="HFP55" s="223"/>
      <c r="HFY55" s="223"/>
      <c r="HFZ55" s="223"/>
      <c r="HGI55" s="223"/>
      <c r="HGJ55" s="223"/>
      <c r="HGS55" s="223"/>
      <c r="HGT55" s="223"/>
      <c r="HHC55" s="223"/>
      <c r="HHD55" s="223"/>
      <c r="HHM55" s="223"/>
      <c r="HHN55" s="223"/>
      <c r="HHW55" s="223"/>
      <c r="HHX55" s="223"/>
      <c r="HIG55" s="223"/>
      <c r="HIH55" s="223"/>
      <c r="HIQ55" s="223"/>
      <c r="HIR55" s="223"/>
      <c r="HJA55" s="223"/>
      <c r="HJB55" s="223"/>
      <c r="HJK55" s="223"/>
      <c r="HJL55" s="223"/>
      <c r="HJU55" s="223"/>
      <c r="HJV55" s="223"/>
      <c r="HKE55" s="223"/>
      <c r="HKF55" s="223"/>
      <c r="HKO55" s="223"/>
      <c r="HKP55" s="223"/>
      <c r="HKY55" s="223"/>
      <c r="HKZ55" s="223"/>
      <c r="HLI55" s="223"/>
      <c r="HLJ55" s="223"/>
      <c r="HLS55" s="223"/>
      <c r="HLT55" s="223"/>
      <c r="HMC55" s="223"/>
      <c r="HMD55" s="223"/>
      <c r="HMM55" s="223"/>
      <c r="HMN55" s="223"/>
      <c r="HMW55" s="223"/>
      <c r="HMX55" s="223"/>
      <c r="HNG55" s="223"/>
      <c r="HNH55" s="223"/>
      <c r="HNQ55" s="223"/>
      <c r="HNR55" s="223"/>
      <c r="HOA55" s="223"/>
      <c r="HOB55" s="223"/>
      <c r="HOK55" s="223"/>
      <c r="HOL55" s="223"/>
      <c r="HOU55" s="223"/>
      <c r="HOV55" s="223"/>
      <c r="HPE55" s="223"/>
      <c r="HPF55" s="223"/>
      <c r="HPO55" s="223"/>
      <c r="HPP55" s="223"/>
      <c r="HPY55" s="223"/>
      <c r="HPZ55" s="223"/>
      <c r="HQI55" s="223"/>
      <c r="HQJ55" s="223"/>
      <c r="HQS55" s="223"/>
      <c r="HQT55" s="223"/>
      <c r="HRC55" s="223"/>
      <c r="HRD55" s="223"/>
      <c r="HRM55" s="223"/>
      <c r="HRN55" s="223"/>
      <c r="HRW55" s="223"/>
      <c r="HRX55" s="223"/>
      <c r="HSG55" s="223"/>
      <c r="HSH55" s="223"/>
      <c r="HSQ55" s="223"/>
      <c r="HSR55" s="223"/>
      <c r="HTA55" s="223"/>
      <c r="HTB55" s="223"/>
      <c r="HTK55" s="223"/>
      <c r="HTL55" s="223"/>
      <c r="HTU55" s="223"/>
      <c r="HTV55" s="223"/>
      <c r="HUE55" s="223"/>
      <c r="HUF55" s="223"/>
      <c r="HUO55" s="223"/>
      <c r="HUP55" s="223"/>
      <c r="HUY55" s="223"/>
      <c r="HUZ55" s="223"/>
      <c r="HVI55" s="223"/>
      <c r="HVJ55" s="223"/>
      <c r="HVS55" s="223"/>
      <c r="HVT55" s="223"/>
      <c r="HWC55" s="223"/>
      <c r="HWD55" s="223"/>
      <c r="HWM55" s="223"/>
      <c r="HWN55" s="223"/>
      <c r="HWW55" s="223"/>
      <c r="HWX55" s="223"/>
      <c r="HXG55" s="223"/>
      <c r="HXH55" s="223"/>
      <c r="HXQ55" s="223"/>
      <c r="HXR55" s="223"/>
      <c r="HYA55" s="223"/>
      <c r="HYB55" s="223"/>
      <c r="HYK55" s="223"/>
      <c r="HYL55" s="223"/>
      <c r="HYU55" s="223"/>
      <c r="HYV55" s="223"/>
      <c r="HZE55" s="223"/>
      <c r="HZF55" s="223"/>
      <c r="HZO55" s="223"/>
      <c r="HZP55" s="223"/>
      <c r="HZY55" s="223"/>
      <c r="HZZ55" s="223"/>
      <c r="IAI55" s="223"/>
      <c r="IAJ55" s="223"/>
      <c r="IAS55" s="223"/>
      <c r="IAT55" s="223"/>
      <c r="IBC55" s="223"/>
      <c r="IBD55" s="223"/>
      <c r="IBM55" s="223"/>
      <c r="IBN55" s="223"/>
      <c r="IBW55" s="223"/>
      <c r="IBX55" s="223"/>
      <c r="ICG55" s="223"/>
      <c r="ICH55" s="223"/>
      <c r="ICQ55" s="223"/>
      <c r="ICR55" s="223"/>
      <c r="IDA55" s="223"/>
      <c r="IDB55" s="223"/>
      <c r="IDK55" s="223"/>
      <c r="IDL55" s="223"/>
      <c r="IDU55" s="223"/>
      <c r="IDV55" s="223"/>
      <c r="IEE55" s="223"/>
      <c r="IEF55" s="223"/>
      <c r="IEO55" s="223"/>
      <c r="IEP55" s="223"/>
      <c r="IEY55" s="223"/>
      <c r="IEZ55" s="223"/>
      <c r="IFI55" s="223"/>
      <c r="IFJ55" s="223"/>
      <c r="IFS55" s="223"/>
      <c r="IFT55" s="223"/>
      <c r="IGC55" s="223"/>
      <c r="IGD55" s="223"/>
      <c r="IGM55" s="223"/>
      <c r="IGN55" s="223"/>
      <c r="IGW55" s="223"/>
      <c r="IGX55" s="223"/>
      <c r="IHG55" s="223"/>
      <c r="IHH55" s="223"/>
      <c r="IHQ55" s="223"/>
      <c r="IHR55" s="223"/>
      <c r="IIA55" s="223"/>
      <c r="IIB55" s="223"/>
      <c r="IIK55" s="223"/>
      <c r="IIL55" s="223"/>
      <c r="IIU55" s="223"/>
      <c r="IIV55" s="223"/>
      <c r="IJE55" s="223"/>
      <c r="IJF55" s="223"/>
      <c r="IJO55" s="223"/>
      <c r="IJP55" s="223"/>
      <c r="IJY55" s="223"/>
      <c r="IJZ55" s="223"/>
      <c r="IKI55" s="223"/>
      <c r="IKJ55" s="223"/>
      <c r="IKS55" s="223"/>
      <c r="IKT55" s="223"/>
      <c r="ILC55" s="223"/>
      <c r="ILD55" s="223"/>
      <c r="ILM55" s="223"/>
      <c r="ILN55" s="223"/>
      <c r="ILW55" s="223"/>
      <c r="ILX55" s="223"/>
      <c r="IMG55" s="223"/>
      <c r="IMH55" s="223"/>
      <c r="IMQ55" s="223"/>
      <c r="IMR55" s="223"/>
      <c r="INA55" s="223"/>
      <c r="INB55" s="223"/>
      <c r="INK55" s="223"/>
      <c r="INL55" s="223"/>
      <c r="INU55" s="223"/>
      <c r="INV55" s="223"/>
      <c r="IOE55" s="223"/>
      <c r="IOF55" s="223"/>
      <c r="IOO55" s="223"/>
      <c r="IOP55" s="223"/>
      <c r="IOY55" s="223"/>
      <c r="IOZ55" s="223"/>
      <c r="IPI55" s="223"/>
      <c r="IPJ55" s="223"/>
      <c r="IPS55" s="223"/>
      <c r="IPT55" s="223"/>
      <c r="IQC55" s="223"/>
      <c r="IQD55" s="223"/>
      <c r="IQM55" s="223"/>
      <c r="IQN55" s="223"/>
      <c r="IQW55" s="223"/>
      <c r="IQX55" s="223"/>
      <c r="IRG55" s="223"/>
      <c r="IRH55" s="223"/>
      <c r="IRQ55" s="223"/>
      <c r="IRR55" s="223"/>
      <c r="ISA55" s="223"/>
      <c r="ISB55" s="223"/>
      <c r="ISK55" s="223"/>
      <c r="ISL55" s="223"/>
      <c r="ISU55" s="223"/>
      <c r="ISV55" s="223"/>
      <c r="ITE55" s="223"/>
      <c r="ITF55" s="223"/>
      <c r="ITO55" s="223"/>
      <c r="ITP55" s="223"/>
      <c r="ITY55" s="223"/>
      <c r="ITZ55" s="223"/>
      <c r="IUI55" s="223"/>
      <c r="IUJ55" s="223"/>
      <c r="IUS55" s="223"/>
      <c r="IUT55" s="223"/>
      <c r="IVC55" s="223"/>
      <c r="IVD55" s="223"/>
      <c r="IVM55" s="223"/>
      <c r="IVN55" s="223"/>
      <c r="IVW55" s="223"/>
      <c r="IVX55" s="223"/>
      <c r="IWG55" s="223"/>
      <c r="IWH55" s="223"/>
      <c r="IWQ55" s="223"/>
      <c r="IWR55" s="223"/>
      <c r="IXA55" s="223"/>
      <c r="IXB55" s="223"/>
      <c r="IXK55" s="223"/>
      <c r="IXL55" s="223"/>
      <c r="IXU55" s="223"/>
      <c r="IXV55" s="223"/>
      <c r="IYE55" s="223"/>
      <c r="IYF55" s="223"/>
      <c r="IYO55" s="223"/>
      <c r="IYP55" s="223"/>
      <c r="IYY55" s="223"/>
      <c r="IYZ55" s="223"/>
      <c r="IZI55" s="223"/>
      <c r="IZJ55" s="223"/>
      <c r="IZS55" s="223"/>
      <c r="IZT55" s="223"/>
      <c r="JAC55" s="223"/>
      <c r="JAD55" s="223"/>
      <c r="JAM55" s="223"/>
      <c r="JAN55" s="223"/>
      <c r="JAW55" s="223"/>
      <c r="JAX55" s="223"/>
      <c r="JBG55" s="223"/>
      <c r="JBH55" s="223"/>
      <c r="JBQ55" s="223"/>
      <c r="JBR55" s="223"/>
      <c r="JCA55" s="223"/>
      <c r="JCB55" s="223"/>
      <c r="JCK55" s="223"/>
      <c r="JCL55" s="223"/>
      <c r="JCU55" s="223"/>
      <c r="JCV55" s="223"/>
      <c r="JDE55" s="223"/>
      <c r="JDF55" s="223"/>
      <c r="JDO55" s="223"/>
      <c r="JDP55" s="223"/>
      <c r="JDY55" s="223"/>
      <c r="JDZ55" s="223"/>
      <c r="JEI55" s="223"/>
      <c r="JEJ55" s="223"/>
      <c r="JES55" s="223"/>
      <c r="JET55" s="223"/>
      <c r="JFC55" s="223"/>
      <c r="JFD55" s="223"/>
      <c r="JFM55" s="223"/>
      <c r="JFN55" s="223"/>
      <c r="JFW55" s="223"/>
      <c r="JFX55" s="223"/>
      <c r="JGG55" s="223"/>
      <c r="JGH55" s="223"/>
      <c r="JGQ55" s="223"/>
      <c r="JGR55" s="223"/>
      <c r="JHA55" s="223"/>
      <c r="JHB55" s="223"/>
      <c r="JHK55" s="223"/>
      <c r="JHL55" s="223"/>
      <c r="JHU55" s="223"/>
      <c r="JHV55" s="223"/>
      <c r="JIE55" s="223"/>
      <c r="JIF55" s="223"/>
      <c r="JIO55" s="223"/>
      <c r="JIP55" s="223"/>
      <c r="JIY55" s="223"/>
      <c r="JIZ55" s="223"/>
      <c r="JJI55" s="223"/>
      <c r="JJJ55" s="223"/>
      <c r="JJS55" s="223"/>
      <c r="JJT55" s="223"/>
      <c r="JKC55" s="223"/>
      <c r="JKD55" s="223"/>
      <c r="JKM55" s="223"/>
      <c r="JKN55" s="223"/>
      <c r="JKW55" s="223"/>
      <c r="JKX55" s="223"/>
      <c r="JLG55" s="223"/>
      <c r="JLH55" s="223"/>
      <c r="JLQ55" s="223"/>
      <c r="JLR55" s="223"/>
      <c r="JMA55" s="223"/>
      <c r="JMB55" s="223"/>
      <c r="JMK55" s="223"/>
      <c r="JML55" s="223"/>
      <c r="JMU55" s="223"/>
      <c r="JMV55" s="223"/>
      <c r="JNE55" s="223"/>
      <c r="JNF55" s="223"/>
      <c r="JNO55" s="223"/>
      <c r="JNP55" s="223"/>
      <c r="JNY55" s="223"/>
      <c r="JNZ55" s="223"/>
      <c r="JOI55" s="223"/>
      <c r="JOJ55" s="223"/>
      <c r="JOS55" s="223"/>
      <c r="JOT55" s="223"/>
      <c r="JPC55" s="223"/>
      <c r="JPD55" s="223"/>
      <c r="JPM55" s="223"/>
      <c r="JPN55" s="223"/>
      <c r="JPW55" s="223"/>
      <c r="JPX55" s="223"/>
      <c r="JQG55" s="223"/>
      <c r="JQH55" s="223"/>
      <c r="JQQ55" s="223"/>
      <c r="JQR55" s="223"/>
      <c r="JRA55" s="223"/>
      <c r="JRB55" s="223"/>
      <c r="JRK55" s="223"/>
      <c r="JRL55" s="223"/>
      <c r="JRU55" s="223"/>
      <c r="JRV55" s="223"/>
      <c r="JSE55" s="223"/>
      <c r="JSF55" s="223"/>
      <c r="JSO55" s="223"/>
      <c r="JSP55" s="223"/>
      <c r="JSY55" s="223"/>
      <c r="JSZ55" s="223"/>
      <c r="JTI55" s="223"/>
      <c r="JTJ55" s="223"/>
      <c r="JTS55" s="223"/>
      <c r="JTT55" s="223"/>
      <c r="JUC55" s="223"/>
      <c r="JUD55" s="223"/>
      <c r="JUM55" s="223"/>
      <c r="JUN55" s="223"/>
      <c r="JUW55" s="223"/>
      <c r="JUX55" s="223"/>
      <c r="JVG55" s="223"/>
      <c r="JVH55" s="223"/>
      <c r="JVQ55" s="223"/>
      <c r="JVR55" s="223"/>
      <c r="JWA55" s="223"/>
      <c r="JWB55" s="223"/>
      <c r="JWK55" s="223"/>
      <c r="JWL55" s="223"/>
      <c r="JWU55" s="223"/>
      <c r="JWV55" s="223"/>
      <c r="JXE55" s="223"/>
      <c r="JXF55" s="223"/>
      <c r="JXO55" s="223"/>
      <c r="JXP55" s="223"/>
      <c r="JXY55" s="223"/>
      <c r="JXZ55" s="223"/>
      <c r="JYI55" s="223"/>
      <c r="JYJ55" s="223"/>
      <c r="JYS55" s="223"/>
      <c r="JYT55" s="223"/>
      <c r="JZC55" s="223"/>
      <c r="JZD55" s="223"/>
      <c r="JZM55" s="223"/>
      <c r="JZN55" s="223"/>
      <c r="JZW55" s="223"/>
      <c r="JZX55" s="223"/>
      <c r="KAG55" s="223"/>
      <c r="KAH55" s="223"/>
      <c r="KAQ55" s="223"/>
      <c r="KAR55" s="223"/>
      <c r="KBA55" s="223"/>
      <c r="KBB55" s="223"/>
      <c r="KBK55" s="223"/>
      <c r="KBL55" s="223"/>
      <c r="KBU55" s="223"/>
      <c r="KBV55" s="223"/>
      <c r="KCE55" s="223"/>
      <c r="KCF55" s="223"/>
      <c r="KCO55" s="223"/>
      <c r="KCP55" s="223"/>
      <c r="KCY55" s="223"/>
      <c r="KCZ55" s="223"/>
      <c r="KDI55" s="223"/>
      <c r="KDJ55" s="223"/>
      <c r="KDS55" s="223"/>
      <c r="KDT55" s="223"/>
      <c r="KEC55" s="223"/>
      <c r="KED55" s="223"/>
      <c r="KEM55" s="223"/>
      <c r="KEN55" s="223"/>
      <c r="KEW55" s="223"/>
      <c r="KEX55" s="223"/>
      <c r="KFG55" s="223"/>
      <c r="KFH55" s="223"/>
      <c r="KFQ55" s="223"/>
      <c r="KFR55" s="223"/>
      <c r="KGA55" s="223"/>
      <c r="KGB55" s="223"/>
      <c r="KGK55" s="223"/>
      <c r="KGL55" s="223"/>
      <c r="KGU55" s="223"/>
      <c r="KGV55" s="223"/>
      <c r="KHE55" s="223"/>
      <c r="KHF55" s="223"/>
      <c r="KHO55" s="223"/>
      <c r="KHP55" s="223"/>
      <c r="KHY55" s="223"/>
      <c r="KHZ55" s="223"/>
      <c r="KII55" s="223"/>
      <c r="KIJ55" s="223"/>
      <c r="KIS55" s="223"/>
      <c r="KIT55" s="223"/>
      <c r="KJC55" s="223"/>
      <c r="KJD55" s="223"/>
      <c r="KJM55" s="223"/>
      <c r="KJN55" s="223"/>
      <c r="KJW55" s="223"/>
      <c r="KJX55" s="223"/>
      <c r="KKG55" s="223"/>
      <c r="KKH55" s="223"/>
      <c r="KKQ55" s="223"/>
      <c r="KKR55" s="223"/>
      <c r="KLA55" s="223"/>
      <c r="KLB55" s="223"/>
      <c r="KLK55" s="223"/>
      <c r="KLL55" s="223"/>
      <c r="KLU55" s="223"/>
      <c r="KLV55" s="223"/>
      <c r="KME55" s="223"/>
      <c r="KMF55" s="223"/>
      <c r="KMO55" s="223"/>
      <c r="KMP55" s="223"/>
      <c r="KMY55" s="223"/>
      <c r="KMZ55" s="223"/>
      <c r="KNI55" s="223"/>
      <c r="KNJ55" s="223"/>
      <c r="KNS55" s="223"/>
      <c r="KNT55" s="223"/>
      <c r="KOC55" s="223"/>
      <c r="KOD55" s="223"/>
      <c r="KOM55" s="223"/>
      <c r="KON55" s="223"/>
      <c r="KOW55" s="223"/>
      <c r="KOX55" s="223"/>
      <c r="KPG55" s="223"/>
      <c r="KPH55" s="223"/>
      <c r="KPQ55" s="223"/>
      <c r="KPR55" s="223"/>
      <c r="KQA55" s="223"/>
      <c r="KQB55" s="223"/>
      <c r="KQK55" s="223"/>
      <c r="KQL55" s="223"/>
      <c r="KQU55" s="223"/>
      <c r="KQV55" s="223"/>
      <c r="KRE55" s="223"/>
      <c r="KRF55" s="223"/>
      <c r="KRO55" s="223"/>
      <c r="KRP55" s="223"/>
      <c r="KRY55" s="223"/>
      <c r="KRZ55" s="223"/>
      <c r="KSI55" s="223"/>
      <c r="KSJ55" s="223"/>
      <c r="KSS55" s="223"/>
      <c r="KST55" s="223"/>
      <c r="KTC55" s="223"/>
      <c r="KTD55" s="223"/>
      <c r="KTM55" s="223"/>
      <c r="KTN55" s="223"/>
      <c r="KTW55" s="223"/>
      <c r="KTX55" s="223"/>
      <c r="KUG55" s="223"/>
      <c r="KUH55" s="223"/>
      <c r="KUQ55" s="223"/>
      <c r="KUR55" s="223"/>
      <c r="KVA55" s="223"/>
      <c r="KVB55" s="223"/>
      <c r="KVK55" s="223"/>
      <c r="KVL55" s="223"/>
      <c r="KVU55" s="223"/>
      <c r="KVV55" s="223"/>
      <c r="KWE55" s="223"/>
      <c r="KWF55" s="223"/>
      <c r="KWO55" s="223"/>
      <c r="KWP55" s="223"/>
      <c r="KWY55" s="223"/>
      <c r="KWZ55" s="223"/>
      <c r="KXI55" s="223"/>
      <c r="KXJ55" s="223"/>
      <c r="KXS55" s="223"/>
      <c r="KXT55" s="223"/>
      <c r="KYC55" s="223"/>
      <c r="KYD55" s="223"/>
      <c r="KYM55" s="223"/>
      <c r="KYN55" s="223"/>
      <c r="KYW55" s="223"/>
      <c r="KYX55" s="223"/>
      <c r="KZG55" s="223"/>
      <c r="KZH55" s="223"/>
      <c r="KZQ55" s="223"/>
      <c r="KZR55" s="223"/>
      <c r="LAA55" s="223"/>
      <c r="LAB55" s="223"/>
      <c r="LAK55" s="223"/>
      <c r="LAL55" s="223"/>
      <c r="LAU55" s="223"/>
      <c r="LAV55" s="223"/>
      <c r="LBE55" s="223"/>
      <c r="LBF55" s="223"/>
      <c r="LBO55" s="223"/>
      <c r="LBP55" s="223"/>
      <c r="LBY55" s="223"/>
      <c r="LBZ55" s="223"/>
      <c r="LCI55" s="223"/>
      <c r="LCJ55" s="223"/>
      <c r="LCS55" s="223"/>
      <c r="LCT55" s="223"/>
      <c r="LDC55" s="223"/>
      <c r="LDD55" s="223"/>
      <c r="LDM55" s="223"/>
      <c r="LDN55" s="223"/>
      <c r="LDW55" s="223"/>
      <c r="LDX55" s="223"/>
      <c r="LEG55" s="223"/>
      <c r="LEH55" s="223"/>
      <c r="LEQ55" s="223"/>
      <c r="LER55" s="223"/>
      <c r="LFA55" s="223"/>
      <c r="LFB55" s="223"/>
      <c r="LFK55" s="223"/>
      <c r="LFL55" s="223"/>
      <c r="LFU55" s="223"/>
      <c r="LFV55" s="223"/>
      <c r="LGE55" s="223"/>
      <c r="LGF55" s="223"/>
      <c r="LGO55" s="223"/>
      <c r="LGP55" s="223"/>
      <c r="LGY55" s="223"/>
      <c r="LGZ55" s="223"/>
      <c r="LHI55" s="223"/>
      <c r="LHJ55" s="223"/>
      <c r="LHS55" s="223"/>
      <c r="LHT55" s="223"/>
      <c r="LIC55" s="223"/>
      <c r="LID55" s="223"/>
      <c r="LIM55" s="223"/>
      <c r="LIN55" s="223"/>
      <c r="LIW55" s="223"/>
      <c r="LIX55" s="223"/>
      <c r="LJG55" s="223"/>
      <c r="LJH55" s="223"/>
      <c r="LJQ55" s="223"/>
      <c r="LJR55" s="223"/>
      <c r="LKA55" s="223"/>
      <c r="LKB55" s="223"/>
      <c r="LKK55" s="223"/>
      <c r="LKL55" s="223"/>
      <c r="LKU55" s="223"/>
      <c r="LKV55" s="223"/>
      <c r="LLE55" s="223"/>
      <c r="LLF55" s="223"/>
      <c r="LLO55" s="223"/>
      <c r="LLP55" s="223"/>
      <c r="LLY55" s="223"/>
      <c r="LLZ55" s="223"/>
      <c r="LMI55" s="223"/>
      <c r="LMJ55" s="223"/>
      <c r="LMS55" s="223"/>
      <c r="LMT55" s="223"/>
      <c r="LNC55" s="223"/>
      <c r="LND55" s="223"/>
      <c r="LNM55" s="223"/>
      <c r="LNN55" s="223"/>
      <c r="LNW55" s="223"/>
      <c r="LNX55" s="223"/>
      <c r="LOG55" s="223"/>
      <c r="LOH55" s="223"/>
      <c r="LOQ55" s="223"/>
      <c r="LOR55" s="223"/>
      <c r="LPA55" s="223"/>
      <c r="LPB55" s="223"/>
      <c r="LPK55" s="223"/>
      <c r="LPL55" s="223"/>
      <c r="LPU55" s="223"/>
      <c r="LPV55" s="223"/>
      <c r="LQE55" s="223"/>
      <c r="LQF55" s="223"/>
      <c r="LQO55" s="223"/>
      <c r="LQP55" s="223"/>
      <c r="LQY55" s="223"/>
      <c r="LQZ55" s="223"/>
      <c r="LRI55" s="223"/>
      <c r="LRJ55" s="223"/>
      <c r="LRS55" s="223"/>
      <c r="LRT55" s="223"/>
      <c r="LSC55" s="223"/>
      <c r="LSD55" s="223"/>
      <c r="LSM55" s="223"/>
      <c r="LSN55" s="223"/>
      <c r="LSW55" s="223"/>
      <c r="LSX55" s="223"/>
      <c r="LTG55" s="223"/>
      <c r="LTH55" s="223"/>
      <c r="LTQ55" s="223"/>
      <c r="LTR55" s="223"/>
      <c r="LUA55" s="223"/>
      <c r="LUB55" s="223"/>
      <c r="LUK55" s="223"/>
      <c r="LUL55" s="223"/>
      <c r="LUU55" s="223"/>
      <c r="LUV55" s="223"/>
      <c r="LVE55" s="223"/>
      <c r="LVF55" s="223"/>
      <c r="LVO55" s="223"/>
      <c r="LVP55" s="223"/>
      <c r="LVY55" s="223"/>
      <c r="LVZ55" s="223"/>
      <c r="LWI55" s="223"/>
      <c r="LWJ55" s="223"/>
      <c r="LWS55" s="223"/>
      <c r="LWT55" s="223"/>
      <c r="LXC55" s="223"/>
      <c r="LXD55" s="223"/>
      <c r="LXM55" s="223"/>
      <c r="LXN55" s="223"/>
      <c r="LXW55" s="223"/>
      <c r="LXX55" s="223"/>
      <c r="LYG55" s="223"/>
      <c r="LYH55" s="223"/>
      <c r="LYQ55" s="223"/>
      <c r="LYR55" s="223"/>
      <c r="LZA55" s="223"/>
      <c r="LZB55" s="223"/>
      <c r="LZK55" s="223"/>
      <c r="LZL55" s="223"/>
      <c r="LZU55" s="223"/>
      <c r="LZV55" s="223"/>
      <c r="MAE55" s="223"/>
      <c r="MAF55" s="223"/>
      <c r="MAO55" s="223"/>
      <c r="MAP55" s="223"/>
      <c r="MAY55" s="223"/>
      <c r="MAZ55" s="223"/>
      <c r="MBI55" s="223"/>
      <c r="MBJ55" s="223"/>
      <c r="MBS55" s="223"/>
      <c r="MBT55" s="223"/>
      <c r="MCC55" s="223"/>
      <c r="MCD55" s="223"/>
      <c r="MCM55" s="223"/>
      <c r="MCN55" s="223"/>
      <c r="MCW55" s="223"/>
      <c r="MCX55" s="223"/>
      <c r="MDG55" s="223"/>
      <c r="MDH55" s="223"/>
      <c r="MDQ55" s="223"/>
      <c r="MDR55" s="223"/>
      <c r="MEA55" s="223"/>
      <c r="MEB55" s="223"/>
      <c r="MEK55" s="223"/>
      <c r="MEL55" s="223"/>
      <c r="MEU55" s="223"/>
      <c r="MEV55" s="223"/>
      <c r="MFE55" s="223"/>
      <c r="MFF55" s="223"/>
      <c r="MFO55" s="223"/>
      <c r="MFP55" s="223"/>
      <c r="MFY55" s="223"/>
      <c r="MFZ55" s="223"/>
      <c r="MGI55" s="223"/>
      <c r="MGJ55" s="223"/>
      <c r="MGS55" s="223"/>
      <c r="MGT55" s="223"/>
      <c r="MHC55" s="223"/>
      <c r="MHD55" s="223"/>
      <c r="MHM55" s="223"/>
      <c r="MHN55" s="223"/>
      <c r="MHW55" s="223"/>
      <c r="MHX55" s="223"/>
      <c r="MIG55" s="223"/>
      <c r="MIH55" s="223"/>
      <c r="MIQ55" s="223"/>
      <c r="MIR55" s="223"/>
      <c r="MJA55" s="223"/>
      <c r="MJB55" s="223"/>
      <c r="MJK55" s="223"/>
      <c r="MJL55" s="223"/>
      <c r="MJU55" s="223"/>
      <c r="MJV55" s="223"/>
      <c r="MKE55" s="223"/>
      <c r="MKF55" s="223"/>
      <c r="MKO55" s="223"/>
      <c r="MKP55" s="223"/>
      <c r="MKY55" s="223"/>
      <c r="MKZ55" s="223"/>
      <c r="MLI55" s="223"/>
      <c r="MLJ55" s="223"/>
      <c r="MLS55" s="223"/>
      <c r="MLT55" s="223"/>
      <c r="MMC55" s="223"/>
      <c r="MMD55" s="223"/>
      <c r="MMM55" s="223"/>
      <c r="MMN55" s="223"/>
      <c r="MMW55" s="223"/>
      <c r="MMX55" s="223"/>
      <c r="MNG55" s="223"/>
      <c r="MNH55" s="223"/>
      <c r="MNQ55" s="223"/>
      <c r="MNR55" s="223"/>
      <c r="MOA55" s="223"/>
      <c r="MOB55" s="223"/>
      <c r="MOK55" s="223"/>
      <c r="MOL55" s="223"/>
      <c r="MOU55" s="223"/>
      <c r="MOV55" s="223"/>
      <c r="MPE55" s="223"/>
      <c r="MPF55" s="223"/>
      <c r="MPO55" s="223"/>
      <c r="MPP55" s="223"/>
      <c r="MPY55" s="223"/>
      <c r="MPZ55" s="223"/>
      <c r="MQI55" s="223"/>
      <c r="MQJ55" s="223"/>
      <c r="MQS55" s="223"/>
      <c r="MQT55" s="223"/>
      <c r="MRC55" s="223"/>
      <c r="MRD55" s="223"/>
      <c r="MRM55" s="223"/>
      <c r="MRN55" s="223"/>
      <c r="MRW55" s="223"/>
      <c r="MRX55" s="223"/>
      <c r="MSG55" s="223"/>
      <c r="MSH55" s="223"/>
      <c r="MSQ55" s="223"/>
      <c r="MSR55" s="223"/>
      <c r="MTA55" s="223"/>
      <c r="MTB55" s="223"/>
      <c r="MTK55" s="223"/>
      <c r="MTL55" s="223"/>
      <c r="MTU55" s="223"/>
      <c r="MTV55" s="223"/>
      <c r="MUE55" s="223"/>
      <c r="MUF55" s="223"/>
      <c r="MUO55" s="223"/>
      <c r="MUP55" s="223"/>
      <c r="MUY55" s="223"/>
      <c r="MUZ55" s="223"/>
      <c r="MVI55" s="223"/>
      <c r="MVJ55" s="223"/>
      <c r="MVS55" s="223"/>
      <c r="MVT55" s="223"/>
      <c r="MWC55" s="223"/>
      <c r="MWD55" s="223"/>
      <c r="MWM55" s="223"/>
      <c r="MWN55" s="223"/>
      <c r="MWW55" s="223"/>
      <c r="MWX55" s="223"/>
      <c r="MXG55" s="223"/>
      <c r="MXH55" s="223"/>
      <c r="MXQ55" s="223"/>
      <c r="MXR55" s="223"/>
      <c r="MYA55" s="223"/>
      <c r="MYB55" s="223"/>
      <c r="MYK55" s="223"/>
      <c r="MYL55" s="223"/>
      <c r="MYU55" s="223"/>
      <c r="MYV55" s="223"/>
      <c r="MZE55" s="223"/>
      <c r="MZF55" s="223"/>
      <c r="MZO55" s="223"/>
      <c r="MZP55" s="223"/>
      <c r="MZY55" s="223"/>
      <c r="MZZ55" s="223"/>
      <c r="NAI55" s="223"/>
      <c r="NAJ55" s="223"/>
      <c r="NAS55" s="223"/>
      <c r="NAT55" s="223"/>
      <c r="NBC55" s="223"/>
      <c r="NBD55" s="223"/>
      <c r="NBM55" s="223"/>
      <c r="NBN55" s="223"/>
      <c r="NBW55" s="223"/>
      <c r="NBX55" s="223"/>
      <c r="NCG55" s="223"/>
      <c r="NCH55" s="223"/>
      <c r="NCQ55" s="223"/>
      <c r="NCR55" s="223"/>
      <c r="NDA55" s="223"/>
      <c r="NDB55" s="223"/>
      <c r="NDK55" s="223"/>
      <c r="NDL55" s="223"/>
      <c r="NDU55" s="223"/>
      <c r="NDV55" s="223"/>
      <c r="NEE55" s="223"/>
      <c r="NEF55" s="223"/>
      <c r="NEO55" s="223"/>
      <c r="NEP55" s="223"/>
      <c r="NEY55" s="223"/>
      <c r="NEZ55" s="223"/>
      <c r="NFI55" s="223"/>
      <c r="NFJ55" s="223"/>
      <c r="NFS55" s="223"/>
      <c r="NFT55" s="223"/>
      <c r="NGC55" s="223"/>
      <c r="NGD55" s="223"/>
      <c r="NGM55" s="223"/>
      <c r="NGN55" s="223"/>
      <c r="NGW55" s="223"/>
      <c r="NGX55" s="223"/>
      <c r="NHG55" s="223"/>
      <c r="NHH55" s="223"/>
      <c r="NHQ55" s="223"/>
      <c r="NHR55" s="223"/>
      <c r="NIA55" s="223"/>
      <c r="NIB55" s="223"/>
      <c r="NIK55" s="223"/>
      <c r="NIL55" s="223"/>
      <c r="NIU55" s="223"/>
      <c r="NIV55" s="223"/>
      <c r="NJE55" s="223"/>
      <c r="NJF55" s="223"/>
      <c r="NJO55" s="223"/>
      <c r="NJP55" s="223"/>
      <c r="NJY55" s="223"/>
      <c r="NJZ55" s="223"/>
      <c r="NKI55" s="223"/>
      <c r="NKJ55" s="223"/>
      <c r="NKS55" s="223"/>
      <c r="NKT55" s="223"/>
      <c r="NLC55" s="223"/>
      <c r="NLD55" s="223"/>
      <c r="NLM55" s="223"/>
      <c r="NLN55" s="223"/>
      <c r="NLW55" s="223"/>
      <c r="NLX55" s="223"/>
      <c r="NMG55" s="223"/>
      <c r="NMH55" s="223"/>
      <c r="NMQ55" s="223"/>
      <c r="NMR55" s="223"/>
      <c r="NNA55" s="223"/>
      <c r="NNB55" s="223"/>
      <c r="NNK55" s="223"/>
      <c r="NNL55" s="223"/>
      <c r="NNU55" s="223"/>
      <c r="NNV55" s="223"/>
      <c r="NOE55" s="223"/>
      <c r="NOF55" s="223"/>
      <c r="NOO55" s="223"/>
      <c r="NOP55" s="223"/>
      <c r="NOY55" s="223"/>
      <c r="NOZ55" s="223"/>
      <c r="NPI55" s="223"/>
      <c r="NPJ55" s="223"/>
      <c r="NPS55" s="223"/>
      <c r="NPT55" s="223"/>
      <c r="NQC55" s="223"/>
      <c r="NQD55" s="223"/>
      <c r="NQM55" s="223"/>
      <c r="NQN55" s="223"/>
      <c r="NQW55" s="223"/>
      <c r="NQX55" s="223"/>
      <c r="NRG55" s="223"/>
      <c r="NRH55" s="223"/>
      <c r="NRQ55" s="223"/>
      <c r="NRR55" s="223"/>
      <c r="NSA55" s="223"/>
      <c r="NSB55" s="223"/>
      <c r="NSK55" s="223"/>
      <c r="NSL55" s="223"/>
      <c r="NSU55" s="223"/>
      <c r="NSV55" s="223"/>
      <c r="NTE55" s="223"/>
      <c r="NTF55" s="223"/>
      <c r="NTO55" s="223"/>
      <c r="NTP55" s="223"/>
      <c r="NTY55" s="223"/>
      <c r="NTZ55" s="223"/>
      <c r="NUI55" s="223"/>
      <c r="NUJ55" s="223"/>
      <c r="NUS55" s="223"/>
      <c r="NUT55" s="223"/>
      <c r="NVC55" s="223"/>
      <c r="NVD55" s="223"/>
      <c r="NVM55" s="223"/>
      <c r="NVN55" s="223"/>
      <c r="NVW55" s="223"/>
      <c r="NVX55" s="223"/>
      <c r="NWG55" s="223"/>
      <c r="NWH55" s="223"/>
      <c r="NWQ55" s="223"/>
      <c r="NWR55" s="223"/>
      <c r="NXA55" s="223"/>
      <c r="NXB55" s="223"/>
      <c r="NXK55" s="223"/>
      <c r="NXL55" s="223"/>
      <c r="NXU55" s="223"/>
      <c r="NXV55" s="223"/>
      <c r="NYE55" s="223"/>
      <c r="NYF55" s="223"/>
      <c r="NYO55" s="223"/>
      <c r="NYP55" s="223"/>
      <c r="NYY55" s="223"/>
      <c r="NYZ55" s="223"/>
      <c r="NZI55" s="223"/>
      <c r="NZJ55" s="223"/>
      <c r="NZS55" s="223"/>
      <c r="NZT55" s="223"/>
      <c r="OAC55" s="223"/>
      <c r="OAD55" s="223"/>
      <c r="OAM55" s="223"/>
      <c r="OAN55" s="223"/>
      <c r="OAW55" s="223"/>
      <c r="OAX55" s="223"/>
      <c r="OBG55" s="223"/>
      <c r="OBH55" s="223"/>
      <c r="OBQ55" s="223"/>
      <c r="OBR55" s="223"/>
      <c r="OCA55" s="223"/>
      <c r="OCB55" s="223"/>
      <c r="OCK55" s="223"/>
      <c r="OCL55" s="223"/>
      <c r="OCU55" s="223"/>
      <c r="OCV55" s="223"/>
      <c r="ODE55" s="223"/>
      <c r="ODF55" s="223"/>
      <c r="ODO55" s="223"/>
      <c r="ODP55" s="223"/>
      <c r="ODY55" s="223"/>
      <c r="ODZ55" s="223"/>
      <c r="OEI55" s="223"/>
      <c r="OEJ55" s="223"/>
      <c r="OES55" s="223"/>
      <c r="OET55" s="223"/>
      <c r="OFC55" s="223"/>
      <c r="OFD55" s="223"/>
      <c r="OFM55" s="223"/>
      <c r="OFN55" s="223"/>
      <c r="OFW55" s="223"/>
      <c r="OFX55" s="223"/>
      <c r="OGG55" s="223"/>
      <c r="OGH55" s="223"/>
      <c r="OGQ55" s="223"/>
      <c r="OGR55" s="223"/>
      <c r="OHA55" s="223"/>
      <c r="OHB55" s="223"/>
      <c r="OHK55" s="223"/>
      <c r="OHL55" s="223"/>
      <c r="OHU55" s="223"/>
      <c r="OHV55" s="223"/>
      <c r="OIE55" s="223"/>
      <c r="OIF55" s="223"/>
      <c r="OIO55" s="223"/>
      <c r="OIP55" s="223"/>
      <c r="OIY55" s="223"/>
      <c r="OIZ55" s="223"/>
      <c r="OJI55" s="223"/>
      <c r="OJJ55" s="223"/>
      <c r="OJS55" s="223"/>
      <c r="OJT55" s="223"/>
      <c r="OKC55" s="223"/>
      <c r="OKD55" s="223"/>
      <c r="OKM55" s="223"/>
      <c r="OKN55" s="223"/>
      <c r="OKW55" s="223"/>
      <c r="OKX55" s="223"/>
      <c r="OLG55" s="223"/>
      <c r="OLH55" s="223"/>
      <c r="OLQ55" s="223"/>
      <c r="OLR55" s="223"/>
      <c r="OMA55" s="223"/>
      <c r="OMB55" s="223"/>
      <c r="OMK55" s="223"/>
      <c r="OML55" s="223"/>
      <c r="OMU55" s="223"/>
      <c r="OMV55" s="223"/>
      <c r="ONE55" s="223"/>
      <c r="ONF55" s="223"/>
      <c r="ONO55" s="223"/>
      <c r="ONP55" s="223"/>
      <c r="ONY55" s="223"/>
      <c r="ONZ55" s="223"/>
      <c r="OOI55" s="223"/>
      <c r="OOJ55" s="223"/>
      <c r="OOS55" s="223"/>
      <c r="OOT55" s="223"/>
      <c r="OPC55" s="223"/>
      <c r="OPD55" s="223"/>
      <c r="OPM55" s="223"/>
      <c r="OPN55" s="223"/>
      <c r="OPW55" s="223"/>
      <c r="OPX55" s="223"/>
      <c r="OQG55" s="223"/>
      <c r="OQH55" s="223"/>
      <c r="OQQ55" s="223"/>
      <c r="OQR55" s="223"/>
      <c r="ORA55" s="223"/>
      <c r="ORB55" s="223"/>
      <c r="ORK55" s="223"/>
      <c r="ORL55" s="223"/>
      <c r="ORU55" s="223"/>
      <c r="ORV55" s="223"/>
      <c r="OSE55" s="223"/>
      <c r="OSF55" s="223"/>
      <c r="OSO55" s="223"/>
      <c r="OSP55" s="223"/>
      <c r="OSY55" s="223"/>
      <c r="OSZ55" s="223"/>
      <c r="OTI55" s="223"/>
      <c r="OTJ55" s="223"/>
      <c r="OTS55" s="223"/>
      <c r="OTT55" s="223"/>
      <c r="OUC55" s="223"/>
      <c r="OUD55" s="223"/>
      <c r="OUM55" s="223"/>
      <c r="OUN55" s="223"/>
      <c r="OUW55" s="223"/>
      <c r="OUX55" s="223"/>
      <c r="OVG55" s="223"/>
      <c r="OVH55" s="223"/>
      <c r="OVQ55" s="223"/>
      <c r="OVR55" s="223"/>
      <c r="OWA55" s="223"/>
      <c r="OWB55" s="223"/>
      <c r="OWK55" s="223"/>
      <c r="OWL55" s="223"/>
      <c r="OWU55" s="223"/>
      <c r="OWV55" s="223"/>
      <c r="OXE55" s="223"/>
      <c r="OXF55" s="223"/>
      <c r="OXO55" s="223"/>
      <c r="OXP55" s="223"/>
      <c r="OXY55" s="223"/>
      <c r="OXZ55" s="223"/>
      <c r="OYI55" s="223"/>
      <c r="OYJ55" s="223"/>
      <c r="OYS55" s="223"/>
      <c r="OYT55" s="223"/>
      <c r="OZC55" s="223"/>
      <c r="OZD55" s="223"/>
      <c r="OZM55" s="223"/>
      <c r="OZN55" s="223"/>
      <c r="OZW55" s="223"/>
      <c r="OZX55" s="223"/>
      <c r="PAG55" s="223"/>
      <c r="PAH55" s="223"/>
      <c r="PAQ55" s="223"/>
      <c r="PAR55" s="223"/>
      <c r="PBA55" s="223"/>
      <c r="PBB55" s="223"/>
      <c r="PBK55" s="223"/>
      <c r="PBL55" s="223"/>
      <c r="PBU55" s="223"/>
      <c r="PBV55" s="223"/>
      <c r="PCE55" s="223"/>
      <c r="PCF55" s="223"/>
      <c r="PCO55" s="223"/>
      <c r="PCP55" s="223"/>
      <c r="PCY55" s="223"/>
      <c r="PCZ55" s="223"/>
      <c r="PDI55" s="223"/>
      <c r="PDJ55" s="223"/>
      <c r="PDS55" s="223"/>
      <c r="PDT55" s="223"/>
      <c r="PEC55" s="223"/>
      <c r="PED55" s="223"/>
      <c r="PEM55" s="223"/>
      <c r="PEN55" s="223"/>
      <c r="PEW55" s="223"/>
      <c r="PEX55" s="223"/>
      <c r="PFG55" s="223"/>
      <c r="PFH55" s="223"/>
      <c r="PFQ55" s="223"/>
      <c r="PFR55" s="223"/>
      <c r="PGA55" s="223"/>
      <c r="PGB55" s="223"/>
      <c r="PGK55" s="223"/>
      <c r="PGL55" s="223"/>
      <c r="PGU55" s="223"/>
      <c r="PGV55" s="223"/>
      <c r="PHE55" s="223"/>
      <c r="PHF55" s="223"/>
      <c r="PHO55" s="223"/>
      <c r="PHP55" s="223"/>
      <c r="PHY55" s="223"/>
      <c r="PHZ55" s="223"/>
      <c r="PII55" s="223"/>
      <c r="PIJ55" s="223"/>
      <c r="PIS55" s="223"/>
      <c r="PIT55" s="223"/>
      <c r="PJC55" s="223"/>
      <c r="PJD55" s="223"/>
      <c r="PJM55" s="223"/>
      <c r="PJN55" s="223"/>
      <c r="PJW55" s="223"/>
      <c r="PJX55" s="223"/>
      <c r="PKG55" s="223"/>
      <c r="PKH55" s="223"/>
      <c r="PKQ55" s="223"/>
      <c r="PKR55" s="223"/>
      <c r="PLA55" s="223"/>
      <c r="PLB55" s="223"/>
      <c r="PLK55" s="223"/>
      <c r="PLL55" s="223"/>
      <c r="PLU55" s="223"/>
      <c r="PLV55" s="223"/>
      <c r="PME55" s="223"/>
      <c r="PMF55" s="223"/>
      <c r="PMO55" s="223"/>
      <c r="PMP55" s="223"/>
      <c r="PMY55" s="223"/>
      <c r="PMZ55" s="223"/>
      <c r="PNI55" s="223"/>
      <c r="PNJ55" s="223"/>
      <c r="PNS55" s="223"/>
      <c r="PNT55" s="223"/>
      <c r="POC55" s="223"/>
      <c r="POD55" s="223"/>
      <c r="POM55" s="223"/>
      <c r="PON55" s="223"/>
      <c r="POW55" s="223"/>
      <c r="POX55" s="223"/>
      <c r="PPG55" s="223"/>
      <c r="PPH55" s="223"/>
      <c r="PPQ55" s="223"/>
      <c r="PPR55" s="223"/>
      <c r="PQA55" s="223"/>
      <c r="PQB55" s="223"/>
      <c r="PQK55" s="223"/>
      <c r="PQL55" s="223"/>
      <c r="PQU55" s="223"/>
      <c r="PQV55" s="223"/>
      <c r="PRE55" s="223"/>
      <c r="PRF55" s="223"/>
      <c r="PRO55" s="223"/>
      <c r="PRP55" s="223"/>
      <c r="PRY55" s="223"/>
      <c r="PRZ55" s="223"/>
      <c r="PSI55" s="223"/>
      <c r="PSJ55" s="223"/>
      <c r="PSS55" s="223"/>
      <c r="PST55" s="223"/>
      <c r="PTC55" s="223"/>
      <c r="PTD55" s="223"/>
      <c r="PTM55" s="223"/>
      <c r="PTN55" s="223"/>
      <c r="PTW55" s="223"/>
      <c r="PTX55" s="223"/>
      <c r="PUG55" s="223"/>
      <c r="PUH55" s="223"/>
      <c r="PUQ55" s="223"/>
      <c r="PUR55" s="223"/>
      <c r="PVA55" s="223"/>
      <c r="PVB55" s="223"/>
      <c r="PVK55" s="223"/>
      <c r="PVL55" s="223"/>
      <c r="PVU55" s="223"/>
      <c r="PVV55" s="223"/>
      <c r="PWE55" s="223"/>
      <c r="PWF55" s="223"/>
      <c r="PWO55" s="223"/>
      <c r="PWP55" s="223"/>
      <c r="PWY55" s="223"/>
      <c r="PWZ55" s="223"/>
      <c r="PXI55" s="223"/>
      <c r="PXJ55" s="223"/>
      <c r="PXS55" s="223"/>
      <c r="PXT55" s="223"/>
      <c r="PYC55" s="223"/>
      <c r="PYD55" s="223"/>
      <c r="PYM55" s="223"/>
      <c r="PYN55" s="223"/>
      <c r="PYW55" s="223"/>
      <c r="PYX55" s="223"/>
      <c r="PZG55" s="223"/>
      <c r="PZH55" s="223"/>
      <c r="PZQ55" s="223"/>
      <c r="PZR55" s="223"/>
      <c r="QAA55" s="223"/>
      <c r="QAB55" s="223"/>
      <c r="QAK55" s="223"/>
      <c r="QAL55" s="223"/>
      <c r="QAU55" s="223"/>
      <c r="QAV55" s="223"/>
      <c r="QBE55" s="223"/>
      <c r="QBF55" s="223"/>
      <c r="QBO55" s="223"/>
      <c r="QBP55" s="223"/>
      <c r="QBY55" s="223"/>
      <c r="QBZ55" s="223"/>
      <c r="QCI55" s="223"/>
      <c r="QCJ55" s="223"/>
      <c r="QCS55" s="223"/>
      <c r="QCT55" s="223"/>
      <c r="QDC55" s="223"/>
      <c r="QDD55" s="223"/>
      <c r="QDM55" s="223"/>
      <c r="QDN55" s="223"/>
      <c r="QDW55" s="223"/>
      <c r="QDX55" s="223"/>
      <c r="QEG55" s="223"/>
      <c r="QEH55" s="223"/>
      <c r="QEQ55" s="223"/>
      <c r="QER55" s="223"/>
      <c r="QFA55" s="223"/>
      <c r="QFB55" s="223"/>
      <c r="QFK55" s="223"/>
      <c r="QFL55" s="223"/>
      <c r="QFU55" s="223"/>
      <c r="QFV55" s="223"/>
      <c r="QGE55" s="223"/>
      <c r="QGF55" s="223"/>
      <c r="QGO55" s="223"/>
      <c r="QGP55" s="223"/>
      <c r="QGY55" s="223"/>
      <c r="QGZ55" s="223"/>
      <c r="QHI55" s="223"/>
      <c r="QHJ55" s="223"/>
      <c r="QHS55" s="223"/>
      <c r="QHT55" s="223"/>
      <c r="QIC55" s="223"/>
      <c r="QID55" s="223"/>
      <c r="QIM55" s="223"/>
      <c r="QIN55" s="223"/>
      <c r="QIW55" s="223"/>
      <c r="QIX55" s="223"/>
      <c r="QJG55" s="223"/>
      <c r="QJH55" s="223"/>
      <c r="QJQ55" s="223"/>
      <c r="QJR55" s="223"/>
      <c r="QKA55" s="223"/>
      <c r="QKB55" s="223"/>
      <c r="QKK55" s="223"/>
      <c r="QKL55" s="223"/>
      <c r="QKU55" s="223"/>
      <c r="QKV55" s="223"/>
      <c r="QLE55" s="223"/>
      <c r="QLF55" s="223"/>
      <c r="QLO55" s="223"/>
      <c r="QLP55" s="223"/>
      <c r="QLY55" s="223"/>
      <c r="QLZ55" s="223"/>
      <c r="QMI55" s="223"/>
      <c r="QMJ55" s="223"/>
      <c r="QMS55" s="223"/>
      <c r="QMT55" s="223"/>
      <c r="QNC55" s="223"/>
      <c r="QND55" s="223"/>
      <c r="QNM55" s="223"/>
      <c r="QNN55" s="223"/>
      <c r="QNW55" s="223"/>
      <c r="QNX55" s="223"/>
      <c r="QOG55" s="223"/>
      <c r="QOH55" s="223"/>
      <c r="QOQ55" s="223"/>
      <c r="QOR55" s="223"/>
      <c r="QPA55" s="223"/>
      <c r="QPB55" s="223"/>
      <c r="QPK55" s="223"/>
      <c r="QPL55" s="223"/>
      <c r="QPU55" s="223"/>
      <c r="QPV55" s="223"/>
      <c r="QQE55" s="223"/>
      <c r="QQF55" s="223"/>
      <c r="QQO55" s="223"/>
      <c r="QQP55" s="223"/>
      <c r="QQY55" s="223"/>
      <c r="QQZ55" s="223"/>
      <c r="QRI55" s="223"/>
      <c r="QRJ55" s="223"/>
      <c r="QRS55" s="223"/>
      <c r="QRT55" s="223"/>
      <c r="QSC55" s="223"/>
      <c r="QSD55" s="223"/>
      <c r="QSM55" s="223"/>
      <c r="QSN55" s="223"/>
      <c r="QSW55" s="223"/>
      <c r="QSX55" s="223"/>
      <c r="QTG55" s="223"/>
      <c r="QTH55" s="223"/>
      <c r="QTQ55" s="223"/>
      <c r="QTR55" s="223"/>
      <c r="QUA55" s="223"/>
      <c r="QUB55" s="223"/>
      <c r="QUK55" s="223"/>
      <c r="QUL55" s="223"/>
      <c r="QUU55" s="223"/>
      <c r="QUV55" s="223"/>
      <c r="QVE55" s="223"/>
      <c r="QVF55" s="223"/>
      <c r="QVO55" s="223"/>
      <c r="QVP55" s="223"/>
      <c r="QVY55" s="223"/>
      <c r="QVZ55" s="223"/>
      <c r="QWI55" s="223"/>
      <c r="QWJ55" s="223"/>
      <c r="QWS55" s="223"/>
      <c r="QWT55" s="223"/>
      <c r="QXC55" s="223"/>
      <c r="QXD55" s="223"/>
      <c r="QXM55" s="223"/>
      <c r="QXN55" s="223"/>
      <c r="QXW55" s="223"/>
      <c r="QXX55" s="223"/>
      <c r="QYG55" s="223"/>
      <c r="QYH55" s="223"/>
      <c r="QYQ55" s="223"/>
      <c r="QYR55" s="223"/>
      <c r="QZA55" s="223"/>
      <c r="QZB55" s="223"/>
      <c r="QZK55" s="223"/>
      <c r="QZL55" s="223"/>
      <c r="QZU55" s="223"/>
      <c r="QZV55" s="223"/>
      <c r="RAE55" s="223"/>
      <c r="RAF55" s="223"/>
      <c r="RAO55" s="223"/>
      <c r="RAP55" s="223"/>
      <c r="RAY55" s="223"/>
      <c r="RAZ55" s="223"/>
      <c r="RBI55" s="223"/>
      <c r="RBJ55" s="223"/>
      <c r="RBS55" s="223"/>
      <c r="RBT55" s="223"/>
      <c r="RCC55" s="223"/>
      <c r="RCD55" s="223"/>
      <c r="RCM55" s="223"/>
      <c r="RCN55" s="223"/>
      <c r="RCW55" s="223"/>
      <c r="RCX55" s="223"/>
      <c r="RDG55" s="223"/>
      <c r="RDH55" s="223"/>
      <c r="RDQ55" s="223"/>
      <c r="RDR55" s="223"/>
      <c r="REA55" s="223"/>
      <c r="REB55" s="223"/>
      <c r="REK55" s="223"/>
      <c r="REL55" s="223"/>
      <c r="REU55" s="223"/>
      <c r="REV55" s="223"/>
      <c r="RFE55" s="223"/>
      <c r="RFF55" s="223"/>
      <c r="RFO55" s="223"/>
      <c r="RFP55" s="223"/>
      <c r="RFY55" s="223"/>
      <c r="RFZ55" s="223"/>
      <c r="RGI55" s="223"/>
      <c r="RGJ55" s="223"/>
      <c r="RGS55" s="223"/>
      <c r="RGT55" s="223"/>
      <c r="RHC55" s="223"/>
      <c r="RHD55" s="223"/>
      <c r="RHM55" s="223"/>
      <c r="RHN55" s="223"/>
      <c r="RHW55" s="223"/>
      <c r="RHX55" s="223"/>
      <c r="RIG55" s="223"/>
      <c r="RIH55" s="223"/>
      <c r="RIQ55" s="223"/>
      <c r="RIR55" s="223"/>
      <c r="RJA55" s="223"/>
      <c r="RJB55" s="223"/>
      <c r="RJK55" s="223"/>
      <c r="RJL55" s="223"/>
      <c r="RJU55" s="223"/>
      <c r="RJV55" s="223"/>
      <c r="RKE55" s="223"/>
      <c r="RKF55" s="223"/>
      <c r="RKO55" s="223"/>
      <c r="RKP55" s="223"/>
      <c r="RKY55" s="223"/>
      <c r="RKZ55" s="223"/>
      <c r="RLI55" s="223"/>
      <c r="RLJ55" s="223"/>
      <c r="RLS55" s="223"/>
      <c r="RLT55" s="223"/>
      <c r="RMC55" s="223"/>
      <c r="RMD55" s="223"/>
      <c r="RMM55" s="223"/>
      <c r="RMN55" s="223"/>
      <c r="RMW55" s="223"/>
      <c r="RMX55" s="223"/>
      <c r="RNG55" s="223"/>
      <c r="RNH55" s="223"/>
      <c r="RNQ55" s="223"/>
      <c r="RNR55" s="223"/>
      <c r="ROA55" s="223"/>
      <c r="ROB55" s="223"/>
      <c r="ROK55" s="223"/>
      <c r="ROL55" s="223"/>
      <c r="ROU55" s="223"/>
      <c r="ROV55" s="223"/>
      <c r="RPE55" s="223"/>
      <c r="RPF55" s="223"/>
      <c r="RPO55" s="223"/>
      <c r="RPP55" s="223"/>
      <c r="RPY55" s="223"/>
      <c r="RPZ55" s="223"/>
      <c r="RQI55" s="223"/>
      <c r="RQJ55" s="223"/>
      <c r="RQS55" s="223"/>
      <c r="RQT55" s="223"/>
      <c r="RRC55" s="223"/>
      <c r="RRD55" s="223"/>
      <c r="RRM55" s="223"/>
      <c r="RRN55" s="223"/>
      <c r="RRW55" s="223"/>
      <c r="RRX55" s="223"/>
      <c r="RSG55" s="223"/>
      <c r="RSH55" s="223"/>
      <c r="RSQ55" s="223"/>
      <c r="RSR55" s="223"/>
      <c r="RTA55" s="223"/>
      <c r="RTB55" s="223"/>
      <c r="RTK55" s="223"/>
      <c r="RTL55" s="223"/>
      <c r="RTU55" s="223"/>
      <c r="RTV55" s="223"/>
      <c r="RUE55" s="223"/>
      <c r="RUF55" s="223"/>
      <c r="RUO55" s="223"/>
      <c r="RUP55" s="223"/>
      <c r="RUY55" s="223"/>
      <c r="RUZ55" s="223"/>
      <c r="RVI55" s="223"/>
      <c r="RVJ55" s="223"/>
      <c r="RVS55" s="223"/>
      <c r="RVT55" s="223"/>
      <c r="RWC55" s="223"/>
      <c r="RWD55" s="223"/>
      <c r="RWM55" s="223"/>
      <c r="RWN55" s="223"/>
      <c r="RWW55" s="223"/>
      <c r="RWX55" s="223"/>
      <c r="RXG55" s="223"/>
      <c r="RXH55" s="223"/>
      <c r="RXQ55" s="223"/>
      <c r="RXR55" s="223"/>
      <c r="RYA55" s="223"/>
      <c r="RYB55" s="223"/>
      <c r="RYK55" s="223"/>
      <c r="RYL55" s="223"/>
      <c r="RYU55" s="223"/>
      <c r="RYV55" s="223"/>
      <c r="RZE55" s="223"/>
      <c r="RZF55" s="223"/>
      <c r="RZO55" s="223"/>
      <c r="RZP55" s="223"/>
      <c r="RZY55" s="223"/>
      <c r="RZZ55" s="223"/>
      <c r="SAI55" s="223"/>
      <c r="SAJ55" s="223"/>
      <c r="SAS55" s="223"/>
      <c r="SAT55" s="223"/>
      <c r="SBC55" s="223"/>
      <c r="SBD55" s="223"/>
      <c r="SBM55" s="223"/>
      <c r="SBN55" s="223"/>
      <c r="SBW55" s="223"/>
      <c r="SBX55" s="223"/>
      <c r="SCG55" s="223"/>
      <c r="SCH55" s="223"/>
      <c r="SCQ55" s="223"/>
      <c r="SCR55" s="223"/>
      <c r="SDA55" s="223"/>
      <c r="SDB55" s="223"/>
      <c r="SDK55" s="223"/>
      <c r="SDL55" s="223"/>
      <c r="SDU55" s="223"/>
      <c r="SDV55" s="223"/>
      <c r="SEE55" s="223"/>
      <c r="SEF55" s="223"/>
      <c r="SEO55" s="223"/>
      <c r="SEP55" s="223"/>
      <c r="SEY55" s="223"/>
      <c r="SEZ55" s="223"/>
      <c r="SFI55" s="223"/>
      <c r="SFJ55" s="223"/>
      <c r="SFS55" s="223"/>
      <c r="SFT55" s="223"/>
      <c r="SGC55" s="223"/>
      <c r="SGD55" s="223"/>
      <c r="SGM55" s="223"/>
      <c r="SGN55" s="223"/>
      <c r="SGW55" s="223"/>
      <c r="SGX55" s="223"/>
      <c r="SHG55" s="223"/>
      <c r="SHH55" s="223"/>
      <c r="SHQ55" s="223"/>
      <c r="SHR55" s="223"/>
      <c r="SIA55" s="223"/>
      <c r="SIB55" s="223"/>
      <c r="SIK55" s="223"/>
      <c r="SIL55" s="223"/>
      <c r="SIU55" s="223"/>
      <c r="SIV55" s="223"/>
      <c r="SJE55" s="223"/>
      <c r="SJF55" s="223"/>
      <c r="SJO55" s="223"/>
      <c r="SJP55" s="223"/>
      <c r="SJY55" s="223"/>
      <c r="SJZ55" s="223"/>
      <c r="SKI55" s="223"/>
      <c r="SKJ55" s="223"/>
      <c r="SKS55" s="223"/>
      <c r="SKT55" s="223"/>
      <c r="SLC55" s="223"/>
      <c r="SLD55" s="223"/>
      <c r="SLM55" s="223"/>
      <c r="SLN55" s="223"/>
      <c r="SLW55" s="223"/>
      <c r="SLX55" s="223"/>
      <c r="SMG55" s="223"/>
      <c r="SMH55" s="223"/>
      <c r="SMQ55" s="223"/>
      <c r="SMR55" s="223"/>
      <c r="SNA55" s="223"/>
      <c r="SNB55" s="223"/>
      <c r="SNK55" s="223"/>
      <c r="SNL55" s="223"/>
      <c r="SNU55" s="223"/>
      <c r="SNV55" s="223"/>
      <c r="SOE55" s="223"/>
      <c r="SOF55" s="223"/>
      <c r="SOO55" s="223"/>
      <c r="SOP55" s="223"/>
      <c r="SOY55" s="223"/>
      <c r="SOZ55" s="223"/>
      <c r="SPI55" s="223"/>
      <c r="SPJ55" s="223"/>
      <c r="SPS55" s="223"/>
      <c r="SPT55" s="223"/>
      <c r="SQC55" s="223"/>
      <c r="SQD55" s="223"/>
      <c r="SQM55" s="223"/>
      <c r="SQN55" s="223"/>
      <c r="SQW55" s="223"/>
      <c r="SQX55" s="223"/>
      <c r="SRG55" s="223"/>
      <c r="SRH55" s="223"/>
      <c r="SRQ55" s="223"/>
      <c r="SRR55" s="223"/>
      <c r="SSA55" s="223"/>
      <c r="SSB55" s="223"/>
      <c r="SSK55" s="223"/>
      <c r="SSL55" s="223"/>
      <c r="SSU55" s="223"/>
      <c r="SSV55" s="223"/>
      <c r="STE55" s="223"/>
      <c r="STF55" s="223"/>
      <c r="STO55" s="223"/>
      <c r="STP55" s="223"/>
      <c r="STY55" s="223"/>
      <c r="STZ55" s="223"/>
      <c r="SUI55" s="223"/>
      <c r="SUJ55" s="223"/>
      <c r="SUS55" s="223"/>
      <c r="SUT55" s="223"/>
      <c r="SVC55" s="223"/>
      <c r="SVD55" s="223"/>
      <c r="SVM55" s="223"/>
      <c r="SVN55" s="223"/>
      <c r="SVW55" s="223"/>
      <c r="SVX55" s="223"/>
      <c r="SWG55" s="223"/>
      <c r="SWH55" s="223"/>
      <c r="SWQ55" s="223"/>
      <c r="SWR55" s="223"/>
      <c r="SXA55" s="223"/>
      <c r="SXB55" s="223"/>
      <c r="SXK55" s="223"/>
      <c r="SXL55" s="223"/>
      <c r="SXU55" s="223"/>
      <c r="SXV55" s="223"/>
      <c r="SYE55" s="223"/>
      <c r="SYF55" s="223"/>
      <c r="SYO55" s="223"/>
      <c r="SYP55" s="223"/>
      <c r="SYY55" s="223"/>
      <c r="SYZ55" s="223"/>
      <c r="SZI55" s="223"/>
      <c r="SZJ55" s="223"/>
      <c r="SZS55" s="223"/>
      <c r="SZT55" s="223"/>
      <c r="TAC55" s="223"/>
      <c r="TAD55" s="223"/>
      <c r="TAM55" s="223"/>
      <c r="TAN55" s="223"/>
      <c r="TAW55" s="223"/>
      <c r="TAX55" s="223"/>
      <c r="TBG55" s="223"/>
      <c r="TBH55" s="223"/>
      <c r="TBQ55" s="223"/>
      <c r="TBR55" s="223"/>
      <c r="TCA55" s="223"/>
      <c r="TCB55" s="223"/>
      <c r="TCK55" s="223"/>
      <c r="TCL55" s="223"/>
      <c r="TCU55" s="223"/>
      <c r="TCV55" s="223"/>
      <c r="TDE55" s="223"/>
      <c r="TDF55" s="223"/>
      <c r="TDO55" s="223"/>
      <c r="TDP55" s="223"/>
      <c r="TDY55" s="223"/>
      <c r="TDZ55" s="223"/>
      <c r="TEI55" s="223"/>
      <c r="TEJ55" s="223"/>
      <c r="TES55" s="223"/>
      <c r="TET55" s="223"/>
      <c r="TFC55" s="223"/>
      <c r="TFD55" s="223"/>
      <c r="TFM55" s="223"/>
      <c r="TFN55" s="223"/>
      <c r="TFW55" s="223"/>
      <c r="TFX55" s="223"/>
      <c r="TGG55" s="223"/>
      <c r="TGH55" s="223"/>
      <c r="TGQ55" s="223"/>
      <c r="TGR55" s="223"/>
      <c r="THA55" s="223"/>
      <c r="THB55" s="223"/>
      <c r="THK55" s="223"/>
      <c r="THL55" s="223"/>
      <c r="THU55" s="223"/>
      <c r="THV55" s="223"/>
      <c r="TIE55" s="223"/>
      <c r="TIF55" s="223"/>
      <c r="TIO55" s="223"/>
      <c r="TIP55" s="223"/>
      <c r="TIY55" s="223"/>
      <c r="TIZ55" s="223"/>
      <c r="TJI55" s="223"/>
      <c r="TJJ55" s="223"/>
      <c r="TJS55" s="223"/>
      <c r="TJT55" s="223"/>
      <c r="TKC55" s="223"/>
      <c r="TKD55" s="223"/>
      <c r="TKM55" s="223"/>
      <c r="TKN55" s="223"/>
      <c r="TKW55" s="223"/>
      <c r="TKX55" s="223"/>
      <c r="TLG55" s="223"/>
      <c r="TLH55" s="223"/>
      <c r="TLQ55" s="223"/>
      <c r="TLR55" s="223"/>
      <c r="TMA55" s="223"/>
      <c r="TMB55" s="223"/>
      <c r="TMK55" s="223"/>
      <c r="TML55" s="223"/>
      <c r="TMU55" s="223"/>
      <c r="TMV55" s="223"/>
      <c r="TNE55" s="223"/>
      <c r="TNF55" s="223"/>
      <c r="TNO55" s="223"/>
      <c r="TNP55" s="223"/>
      <c r="TNY55" s="223"/>
      <c r="TNZ55" s="223"/>
      <c r="TOI55" s="223"/>
      <c r="TOJ55" s="223"/>
      <c r="TOS55" s="223"/>
      <c r="TOT55" s="223"/>
      <c r="TPC55" s="223"/>
      <c r="TPD55" s="223"/>
      <c r="TPM55" s="223"/>
      <c r="TPN55" s="223"/>
      <c r="TPW55" s="223"/>
      <c r="TPX55" s="223"/>
      <c r="TQG55" s="223"/>
      <c r="TQH55" s="223"/>
      <c r="TQQ55" s="223"/>
      <c r="TQR55" s="223"/>
      <c r="TRA55" s="223"/>
      <c r="TRB55" s="223"/>
      <c r="TRK55" s="223"/>
      <c r="TRL55" s="223"/>
      <c r="TRU55" s="223"/>
      <c r="TRV55" s="223"/>
      <c r="TSE55" s="223"/>
      <c r="TSF55" s="223"/>
      <c r="TSO55" s="223"/>
      <c r="TSP55" s="223"/>
      <c r="TSY55" s="223"/>
      <c r="TSZ55" s="223"/>
      <c r="TTI55" s="223"/>
      <c r="TTJ55" s="223"/>
      <c r="TTS55" s="223"/>
      <c r="TTT55" s="223"/>
      <c r="TUC55" s="223"/>
      <c r="TUD55" s="223"/>
      <c r="TUM55" s="223"/>
      <c r="TUN55" s="223"/>
      <c r="TUW55" s="223"/>
      <c r="TUX55" s="223"/>
      <c r="TVG55" s="223"/>
      <c r="TVH55" s="223"/>
      <c r="TVQ55" s="223"/>
      <c r="TVR55" s="223"/>
      <c r="TWA55" s="223"/>
      <c r="TWB55" s="223"/>
      <c r="TWK55" s="223"/>
      <c r="TWL55" s="223"/>
      <c r="TWU55" s="223"/>
      <c r="TWV55" s="223"/>
      <c r="TXE55" s="223"/>
      <c r="TXF55" s="223"/>
      <c r="TXO55" s="223"/>
      <c r="TXP55" s="223"/>
      <c r="TXY55" s="223"/>
      <c r="TXZ55" s="223"/>
      <c r="TYI55" s="223"/>
      <c r="TYJ55" s="223"/>
      <c r="TYS55" s="223"/>
      <c r="TYT55" s="223"/>
      <c r="TZC55" s="223"/>
      <c r="TZD55" s="223"/>
      <c r="TZM55" s="223"/>
      <c r="TZN55" s="223"/>
      <c r="TZW55" s="223"/>
      <c r="TZX55" s="223"/>
      <c r="UAG55" s="223"/>
      <c r="UAH55" s="223"/>
      <c r="UAQ55" s="223"/>
      <c r="UAR55" s="223"/>
      <c r="UBA55" s="223"/>
      <c r="UBB55" s="223"/>
      <c r="UBK55" s="223"/>
      <c r="UBL55" s="223"/>
      <c r="UBU55" s="223"/>
      <c r="UBV55" s="223"/>
      <c r="UCE55" s="223"/>
      <c r="UCF55" s="223"/>
      <c r="UCO55" s="223"/>
      <c r="UCP55" s="223"/>
      <c r="UCY55" s="223"/>
      <c r="UCZ55" s="223"/>
      <c r="UDI55" s="223"/>
      <c r="UDJ55" s="223"/>
      <c r="UDS55" s="223"/>
      <c r="UDT55" s="223"/>
      <c r="UEC55" s="223"/>
      <c r="UED55" s="223"/>
      <c r="UEM55" s="223"/>
      <c r="UEN55" s="223"/>
      <c r="UEW55" s="223"/>
      <c r="UEX55" s="223"/>
      <c r="UFG55" s="223"/>
      <c r="UFH55" s="223"/>
      <c r="UFQ55" s="223"/>
      <c r="UFR55" s="223"/>
      <c r="UGA55" s="223"/>
      <c r="UGB55" s="223"/>
      <c r="UGK55" s="223"/>
      <c r="UGL55" s="223"/>
      <c r="UGU55" s="223"/>
      <c r="UGV55" s="223"/>
      <c r="UHE55" s="223"/>
      <c r="UHF55" s="223"/>
      <c r="UHO55" s="223"/>
      <c r="UHP55" s="223"/>
      <c r="UHY55" s="223"/>
      <c r="UHZ55" s="223"/>
      <c r="UII55" s="223"/>
      <c r="UIJ55" s="223"/>
      <c r="UIS55" s="223"/>
      <c r="UIT55" s="223"/>
      <c r="UJC55" s="223"/>
      <c r="UJD55" s="223"/>
      <c r="UJM55" s="223"/>
      <c r="UJN55" s="223"/>
      <c r="UJW55" s="223"/>
      <c r="UJX55" s="223"/>
      <c r="UKG55" s="223"/>
      <c r="UKH55" s="223"/>
      <c r="UKQ55" s="223"/>
      <c r="UKR55" s="223"/>
      <c r="ULA55" s="223"/>
      <c r="ULB55" s="223"/>
      <c r="ULK55" s="223"/>
      <c r="ULL55" s="223"/>
      <c r="ULU55" s="223"/>
      <c r="ULV55" s="223"/>
      <c r="UME55" s="223"/>
      <c r="UMF55" s="223"/>
      <c r="UMO55" s="223"/>
      <c r="UMP55" s="223"/>
      <c r="UMY55" s="223"/>
      <c r="UMZ55" s="223"/>
      <c r="UNI55" s="223"/>
      <c r="UNJ55" s="223"/>
      <c r="UNS55" s="223"/>
      <c r="UNT55" s="223"/>
      <c r="UOC55" s="223"/>
      <c r="UOD55" s="223"/>
      <c r="UOM55" s="223"/>
      <c r="UON55" s="223"/>
      <c r="UOW55" s="223"/>
      <c r="UOX55" s="223"/>
      <c r="UPG55" s="223"/>
      <c r="UPH55" s="223"/>
      <c r="UPQ55" s="223"/>
      <c r="UPR55" s="223"/>
      <c r="UQA55" s="223"/>
      <c r="UQB55" s="223"/>
      <c r="UQK55" s="223"/>
      <c r="UQL55" s="223"/>
      <c r="UQU55" s="223"/>
      <c r="UQV55" s="223"/>
      <c r="URE55" s="223"/>
      <c r="URF55" s="223"/>
      <c r="URO55" s="223"/>
      <c r="URP55" s="223"/>
      <c r="URY55" s="223"/>
      <c r="URZ55" s="223"/>
      <c r="USI55" s="223"/>
      <c r="USJ55" s="223"/>
      <c r="USS55" s="223"/>
      <c r="UST55" s="223"/>
      <c r="UTC55" s="223"/>
      <c r="UTD55" s="223"/>
      <c r="UTM55" s="223"/>
      <c r="UTN55" s="223"/>
      <c r="UTW55" s="223"/>
      <c r="UTX55" s="223"/>
      <c r="UUG55" s="223"/>
      <c r="UUH55" s="223"/>
      <c r="UUQ55" s="223"/>
      <c r="UUR55" s="223"/>
      <c r="UVA55" s="223"/>
      <c r="UVB55" s="223"/>
      <c r="UVK55" s="223"/>
      <c r="UVL55" s="223"/>
      <c r="UVU55" s="223"/>
      <c r="UVV55" s="223"/>
      <c r="UWE55" s="223"/>
      <c r="UWF55" s="223"/>
      <c r="UWO55" s="223"/>
      <c r="UWP55" s="223"/>
      <c r="UWY55" s="223"/>
      <c r="UWZ55" s="223"/>
      <c r="UXI55" s="223"/>
      <c r="UXJ55" s="223"/>
      <c r="UXS55" s="223"/>
      <c r="UXT55" s="223"/>
      <c r="UYC55" s="223"/>
      <c r="UYD55" s="223"/>
      <c r="UYM55" s="223"/>
      <c r="UYN55" s="223"/>
      <c r="UYW55" s="223"/>
      <c r="UYX55" s="223"/>
      <c r="UZG55" s="223"/>
      <c r="UZH55" s="223"/>
      <c r="UZQ55" s="223"/>
      <c r="UZR55" s="223"/>
      <c r="VAA55" s="223"/>
      <c r="VAB55" s="223"/>
      <c r="VAK55" s="223"/>
      <c r="VAL55" s="223"/>
      <c r="VAU55" s="223"/>
      <c r="VAV55" s="223"/>
      <c r="VBE55" s="223"/>
      <c r="VBF55" s="223"/>
      <c r="VBO55" s="223"/>
      <c r="VBP55" s="223"/>
      <c r="VBY55" s="223"/>
      <c r="VBZ55" s="223"/>
      <c r="VCI55" s="223"/>
      <c r="VCJ55" s="223"/>
      <c r="VCS55" s="223"/>
      <c r="VCT55" s="223"/>
      <c r="VDC55" s="223"/>
      <c r="VDD55" s="223"/>
      <c r="VDM55" s="223"/>
      <c r="VDN55" s="223"/>
      <c r="VDW55" s="223"/>
      <c r="VDX55" s="223"/>
      <c r="VEG55" s="223"/>
      <c r="VEH55" s="223"/>
      <c r="VEQ55" s="223"/>
      <c r="VER55" s="223"/>
      <c r="VFA55" s="223"/>
      <c r="VFB55" s="223"/>
      <c r="VFK55" s="223"/>
      <c r="VFL55" s="223"/>
      <c r="VFU55" s="223"/>
      <c r="VFV55" s="223"/>
      <c r="VGE55" s="223"/>
      <c r="VGF55" s="223"/>
      <c r="VGO55" s="223"/>
      <c r="VGP55" s="223"/>
      <c r="VGY55" s="223"/>
      <c r="VGZ55" s="223"/>
      <c r="VHI55" s="223"/>
      <c r="VHJ55" s="223"/>
      <c r="VHS55" s="223"/>
      <c r="VHT55" s="223"/>
      <c r="VIC55" s="223"/>
      <c r="VID55" s="223"/>
      <c r="VIM55" s="223"/>
      <c r="VIN55" s="223"/>
      <c r="VIW55" s="223"/>
      <c r="VIX55" s="223"/>
      <c r="VJG55" s="223"/>
      <c r="VJH55" s="223"/>
      <c r="VJQ55" s="223"/>
      <c r="VJR55" s="223"/>
      <c r="VKA55" s="223"/>
      <c r="VKB55" s="223"/>
      <c r="VKK55" s="223"/>
      <c r="VKL55" s="223"/>
      <c r="VKU55" s="223"/>
      <c r="VKV55" s="223"/>
      <c r="VLE55" s="223"/>
      <c r="VLF55" s="223"/>
      <c r="VLO55" s="223"/>
      <c r="VLP55" s="223"/>
      <c r="VLY55" s="223"/>
      <c r="VLZ55" s="223"/>
      <c r="VMI55" s="223"/>
      <c r="VMJ55" s="223"/>
      <c r="VMS55" s="223"/>
      <c r="VMT55" s="223"/>
      <c r="VNC55" s="223"/>
      <c r="VND55" s="223"/>
      <c r="VNM55" s="223"/>
      <c r="VNN55" s="223"/>
      <c r="VNW55" s="223"/>
      <c r="VNX55" s="223"/>
      <c r="VOG55" s="223"/>
      <c r="VOH55" s="223"/>
      <c r="VOQ55" s="223"/>
      <c r="VOR55" s="223"/>
      <c r="VPA55" s="223"/>
      <c r="VPB55" s="223"/>
      <c r="VPK55" s="223"/>
      <c r="VPL55" s="223"/>
      <c r="VPU55" s="223"/>
      <c r="VPV55" s="223"/>
      <c r="VQE55" s="223"/>
      <c r="VQF55" s="223"/>
      <c r="VQO55" s="223"/>
      <c r="VQP55" s="223"/>
      <c r="VQY55" s="223"/>
      <c r="VQZ55" s="223"/>
      <c r="VRI55" s="223"/>
      <c r="VRJ55" s="223"/>
      <c r="VRS55" s="223"/>
      <c r="VRT55" s="223"/>
      <c r="VSC55" s="223"/>
      <c r="VSD55" s="223"/>
      <c r="VSM55" s="223"/>
      <c r="VSN55" s="223"/>
      <c r="VSW55" s="223"/>
      <c r="VSX55" s="223"/>
      <c r="VTG55" s="223"/>
      <c r="VTH55" s="223"/>
      <c r="VTQ55" s="223"/>
      <c r="VTR55" s="223"/>
      <c r="VUA55" s="223"/>
      <c r="VUB55" s="223"/>
      <c r="VUK55" s="223"/>
      <c r="VUL55" s="223"/>
      <c r="VUU55" s="223"/>
      <c r="VUV55" s="223"/>
      <c r="VVE55" s="223"/>
      <c r="VVF55" s="223"/>
      <c r="VVO55" s="223"/>
      <c r="VVP55" s="223"/>
      <c r="VVY55" s="223"/>
      <c r="VVZ55" s="223"/>
      <c r="VWI55" s="223"/>
      <c r="VWJ55" s="223"/>
      <c r="VWS55" s="223"/>
      <c r="VWT55" s="223"/>
      <c r="VXC55" s="223"/>
      <c r="VXD55" s="223"/>
      <c r="VXM55" s="223"/>
      <c r="VXN55" s="223"/>
      <c r="VXW55" s="223"/>
      <c r="VXX55" s="223"/>
      <c r="VYG55" s="223"/>
      <c r="VYH55" s="223"/>
      <c r="VYQ55" s="223"/>
      <c r="VYR55" s="223"/>
      <c r="VZA55" s="223"/>
      <c r="VZB55" s="223"/>
      <c r="VZK55" s="223"/>
      <c r="VZL55" s="223"/>
      <c r="VZU55" s="223"/>
      <c r="VZV55" s="223"/>
      <c r="WAE55" s="223"/>
      <c r="WAF55" s="223"/>
      <c r="WAO55" s="223"/>
      <c r="WAP55" s="223"/>
      <c r="WAY55" s="223"/>
      <c r="WAZ55" s="223"/>
      <c r="WBI55" s="223"/>
      <c r="WBJ55" s="223"/>
      <c r="WBS55" s="223"/>
      <c r="WBT55" s="223"/>
      <c r="WCC55" s="223"/>
      <c r="WCD55" s="223"/>
      <c r="WCM55" s="223"/>
      <c r="WCN55" s="223"/>
      <c r="WCW55" s="223"/>
      <c r="WCX55" s="223"/>
      <c r="WDG55" s="223"/>
      <c r="WDH55" s="223"/>
      <c r="WDQ55" s="223"/>
      <c r="WDR55" s="223"/>
      <c r="WEA55" s="223"/>
      <c r="WEB55" s="223"/>
      <c r="WEK55" s="223"/>
      <c r="WEL55" s="223"/>
      <c r="WEU55" s="223"/>
      <c r="WEV55" s="223"/>
      <c r="WFE55" s="223"/>
      <c r="WFF55" s="223"/>
      <c r="WFO55" s="223"/>
      <c r="WFP55" s="223"/>
      <c r="WFY55" s="223"/>
      <c r="WFZ55" s="223"/>
      <c r="WGI55" s="223"/>
      <c r="WGJ55" s="223"/>
      <c r="WGS55" s="223"/>
      <c r="WGT55" s="223"/>
      <c r="WHC55" s="223"/>
      <c r="WHD55" s="223"/>
      <c r="WHM55" s="223"/>
      <c r="WHN55" s="223"/>
      <c r="WHW55" s="223"/>
      <c r="WHX55" s="223"/>
      <c r="WIG55" s="223"/>
      <c r="WIH55" s="223"/>
      <c r="WIQ55" s="223"/>
      <c r="WIR55" s="223"/>
      <c r="WJA55" s="223"/>
      <c r="WJB55" s="223"/>
      <c r="WJK55" s="223"/>
      <c r="WJL55" s="223"/>
      <c r="WJU55" s="223"/>
      <c r="WJV55" s="223"/>
      <c r="WKE55" s="223"/>
      <c r="WKF55" s="223"/>
      <c r="WKO55" s="223"/>
      <c r="WKP55" s="223"/>
      <c r="WKY55" s="223"/>
      <c r="WKZ55" s="223"/>
      <c r="WLI55" s="223"/>
      <c r="WLJ55" s="223"/>
      <c r="WLS55" s="223"/>
      <c r="WLT55" s="223"/>
      <c r="WMC55" s="223"/>
      <c r="WMD55" s="223"/>
      <c r="WMM55" s="223"/>
      <c r="WMN55" s="223"/>
      <c r="WMW55" s="223"/>
      <c r="WMX55" s="223"/>
      <c r="WNG55" s="223"/>
      <c r="WNH55" s="223"/>
      <c r="WNQ55" s="223"/>
      <c r="WNR55" s="223"/>
      <c r="WOA55" s="223"/>
      <c r="WOB55" s="223"/>
      <c r="WOK55" s="223"/>
      <c r="WOL55" s="223"/>
      <c r="WOU55" s="223"/>
      <c r="WOV55" s="223"/>
      <c r="WPE55" s="223"/>
      <c r="WPF55" s="223"/>
      <c r="WPO55" s="223"/>
      <c r="WPP55" s="223"/>
      <c r="WPY55" s="223"/>
      <c r="WPZ55" s="223"/>
      <c r="WQI55" s="223"/>
      <c r="WQJ55" s="223"/>
      <c r="WQS55" s="223"/>
      <c r="WQT55" s="223"/>
      <c r="WRC55" s="223"/>
      <c r="WRD55" s="223"/>
      <c r="WRM55" s="223"/>
      <c r="WRN55" s="223"/>
      <c r="WRW55" s="223"/>
      <c r="WRX55" s="223"/>
      <c r="WSG55" s="223"/>
      <c r="WSH55" s="223"/>
      <c r="WSQ55" s="223"/>
      <c r="WSR55" s="223"/>
      <c r="WTA55" s="223"/>
      <c r="WTB55" s="223"/>
      <c r="WTK55" s="223"/>
      <c r="WTL55" s="223"/>
      <c r="WTU55" s="223"/>
      <c r="WTV55" s="223"/>
      <c r="WUE55" s="223"/>
      <c r="WUF55" s="223"/>
      <c r="WUO55" s="223"/>
      <c r="WUP55" s="223"/>
      <c r="WUY55" s="223"/>
      <c r="WUZ55" s="223"/>
      <c r="WVI55" s="223"/>
      <c r="WVJ55" s="223"/>
      <c r="WVS55" s="223"/>
      <c r="WVT55" s="223"/>
      <c r="WWC55" s="223"/>
      <c r="WWD55" s="223"/>
      <c r="WWM55" s="223"/>
      <c r="WWN55" s="223"/>
      <c r="WWW55" s="223"/>
      <c r="WWX55" s="223"/>
      <c r="WXG55" s="223"/>
      <c r="WXH55" s="223"/>
      <c r="WXQ55" s="223"/>
      <c r="WXR55" s="223"/>
      <c r="WYA55" s="223"/>
      <c r="WYB55" s="223"/>
      <c r="WYK55" s="223"/>
      <c r="WYL55" s="223"/>
      <c r="WYU55" s="223"/>
      <c r="WYV55" s="223"/>
      <c r="WZE55" s="223"/>
      <c r="WZF55" s="223"/>
      <c r="WZO55" s="223"/>
      <c r="WZP55" s="223"/>
      <c r="WZY55" s="223"/>
      <c r="WZZ55" s="223"/>
      <c r="XAI55" s="223"/>
      <c r="XAJ55" s="223"/>
      <c r="XAS55" s="223"/>
      <c r="XAT55" s="223"/>
      <c r="XBC55" s="223"/>
      <c r="XBD55" s="223"/>
      <c r="XBM55" s="223"/>
      <c r="XBN55" s="223"/>
      <c r="XBW55" s="223"/>
      <c r="XBX55" s="223"/>
      <c r="XCG55" s="223"/>
      <c r="XCH55" s="223"/>
      <c r="XCQ55" s="223"/>
      <c r="XCR55" s="223"/>
      <c r="XDA55" s="223"/>
      <c r="XDB55" s="223"/>
      <c r="XDK55" s="223"/>
      <c r="XDL55" s="223"/>
      <c r="XDU55" s="223"/>
      <c r="XDV55" s="223"/>
      <c r="XEE55" s="223"/>
      <c r="XEF55" s="223"/>
      <c r="XEO55" s="223"/>
      <c r="XEP55" s="223"/>
      <c r="XEY55" s="223"/>
      <c r="XEZ55" s="223"/>
    </row>
    <row r="56" spans="1:1020 1029:2040 2049:3070 3079:4090 4099:5120 5129:6140 6149:7160 7169:8190 8199:9210 9219:10240 10249:11260 11269:12280 12289:13310 13319:14330 14339:15360 15369:16380" ht="60" customHeight="1" thickBot="1" x14ac:dyDescent="0.25">
      <c r="A56" s="1817" t="s">
        <v>185</v>
      </c>
      <c r="B56" s="1806" t="s">
        <v>140</v>
      </c>
      <c r="C56" s="1808" t="s">
        <v>186</v>
      </c>
      <c r="D56" s="1809"/>
      <c r="E56" s="1878" t="s">
        <v>187</v>
      </c>
      <c r="F56" s="1817" t="s">
        <v>188</v>
      </c>
      <c r="G56" s="1803" t="s">
        <v>189</v>
      </c>
      <c r="H56" s="1804"/>
      <c r="I56" s="1803" t="s">
        <v>190</v>
      </c>
      <c r="J56" s="1804"/>
      <c r="K56" s="1803" t="s">
        <v>191</v>
      </c>
      <c r="L56" s="1804"/>
      <c r="M56" s="242" t="s">
        <v>192</v>
      </c>
    </row>
    <row r="57" spans="1:1020 1029:2040 2049:3070 3079:4090 4099:5120 5129:6140 6149:7160 7169:8190 8199:9210 9219:10240 10249:11260 11269:12280 12289:13310 13319:14330 14339:15360 15369:16380" ht="60" customHeight="1" thickBot="1" x14ac:dyDescent="0.25">
      <c r="A57" s="1885"/>
      <c r="B57" s="1886"/>
      <c r="C57" s="242" t="s">
        <v>193</v>
      </c>
      <c r="D57" s="242" t="s">
        <v>194</v>
      </c>
      <c r="E57" s="1887"/>
      <c r="F57" s="1885"/>
      <c r="G57" s="478" t="s">
        <v>195</v>
      </c>
      <c r="H57" s="478" t="s">
        <v>196</v>
      </c>
      <c r="I57" s="478" t="s">
        <v>195</v>
      </c>
      <c r="J57" s="478" t="s">
        <v>196</v>
      </c>
      <c r="K57" s="478" t="s">
        <v>195</v>
      </c>
      <c r="L57" s="478" t="s">
        <v>196</v>
      </c>
      <c r="M57" s="242" t="s">
        <v>197</v>
      </c>
    </row>
    <row r="58" spans="1:1020 1029:2040 2049:3070 3079:4090 4099:5120 5129:6140 6149:7160 7169:8190 8199:9210 9219:10240 10249:11260 11269:12280 12289:13310 13319:14330 14339:15360 15369:16380" ht="65.099999999999994" customHeight="1" thickBot="1" x14ac:dyDescent="0.25">
      <c r="A58" s="454">
        <v>1</v>
      </c>
      <c r="B58" s="455" t="str">
        <f>'DATOS &lt;'!F79</f>
        <v>20 kg Pex</v>
      </c>
      <c r="C58" s="1247" t="str">
        <f>'DATOS &lt;'!B110</f>
        <v>20 kg</v>
      </c>
      <c r="D58" s="456" t="e">
        <f>'20 kg &lt; (C)'!$G$76</f>
        <v>#N/A</v>
      </c>
      <c r="E58" s="456">
        <f>'DATOS &lt;'!C110</f>
        <v>0.33</v>
      </c>
      <c r="F58" s="1263">
        <f>'DATOS &lt;'!D110</f>
        <v>1</v>
      </c>
      <c r="G58" s="457" t="e">
        <f>'gramo Max-Min &lt; '!AA39</f>
        <v>#N/A</v>
      </c>
      <c r="H58" s="457" t="e">
        <f>'gramo Max-Min &lt; '!AA38</f>
        <v>#N/A</v>
      </c>
      <c r="I58" s="457" t="e">
        <f>'gramo Max-Min &lt; '!AB39</f>
        <v>#N/A</v>
      </c>
      <c r="J58" s="458" t="e">
        <f>'gramo Max-Min &lt; '!AB38</f>
        <v>#N/A</v>
      </c>
      <c r="K58" s="458" t="e">
        <f>'gramo Max-Min &lt; '!AC39</f>
        <v>#N/A</v>
      </c>
      <c r="L58" s="458" t="e">
        <f>'gramo Max-Min &lt; '!AC38</f>
        <v>#N/A</v>
      </c>
      <c r="M58" s="459" t="e">
        <f>IF(ABS(D58)+E58&gt;=((F58)),"NO","SI")</f>
        <v>#N/A</v>
      </c>
    </row>
    <row r="59" spans="1:1020 1029:2040 2049:3070 3079:4090 4099:5120 5129:6140 6149:7160 7169:8190 8199:9210 9219:10240 10249:11260 11269:12280 12289:13310 13319:14330 14339:15360 15369:16380" ht="20.100000000000001" customHeight="1" x14ac:dyDescent="0.2">
      <c r="A59" s="1051"/>
      <c r="B59" s="1051"/>
      <c r="C59" s="1051"/>
      <c r="D59" s="1051"/>
      <c r="E59" s="1051"/>
      <c r="F59" s="1051"/>
      <c r="G59" s="1052"/>
      <c r="H59" s="1052"/>
      <c r="I59" s="1052"/>
      <c r="J59" s="1053"/>
    </row>
    <row r="60" spans="1:1020 1029:2040 2049:3070 3079:4090 4099:5120 5129:6140 6149:7160 7169:8190 8199:9210 9219:10240 10249:11260 11269:12280 12289:13310 13319:14330 14339:15360 15369:16380" ht="26.25" customHeight="1" x14ac:dyDescent="0.2">
      <c r="A60" s="1805" t="s">
        <v>598</v>
      </c>
      <c r="B60" s="1805"/>
      <c r="C60" s="1805"/>
      <c r="D60" s="1805"/>
      <c r="E60" s="1805"/>
      <c r="F60" s="1805"/>
      <c r="G60" s="1805"/>
      <c r="H60" s="1805"/>
      <c r="I60" s="1805"/>
      <c r="J60" s="1805"/>
      <c r="K60" s="1805"/>
      <c r="L60" s="1805"/>
      <c r="M60" s="1805"/>
    </row>
    <row r="61" spans="1:1020 1029:2040 2049:3070 3079:4090 4099:5120 5129:6140 6149:7160 7169:8190 8199:9210 9219:10240 10249:11260 11269:12280 12289:13310 13319:14330 14339:15360 15369:16380" ht="33" customHeight="1" x14ac:dyDescent="0.2">
      <c r="A61" s="1805"/>
      <c r="B61" s="1805"/>
      <c r="C61" s="1805"/>
      <c r="D61" s="1805"/>
      <c r="E61" s="1805"/>
      <c r="F61" s="1805"/>
      <c r="G61" s="1805"/>
      <c r="H61" s="1805"/>
      <c r="I61" s="1805"/>
      <c r="J61" s="1805"/>
      <c r="K61" s="1805"/>
      <c r="L61" s="1805"/>
      <c r="M61" s="1805"/>
    </row>
    <row r="62" spans="1:1020 1029:2040 2049:3070 3079:4090 4099:5120 5129:6140 6149:7160 7169:8190 8199:9210 9219:10240 10249:11260 11269:12280 12289:13310 13319:14330 14339:15360 15369:16380" ht="33" customHeight="1" x14ac:dyDescent="0.2">
      <c r="A62" s="1805"/>
      <c r="B62" s="1805"/>
      <c r="C62" s="1805"/>
      <c r="D62" s="1805"/>
      <c r="E62" s="1805"/>
      <c r="F62" s="1805"/>
      <c r="G62" s="1805"/>
      <c r="H62" s="1805"/>
      <c r="I62" s="1805"/>
      <c r="J62" s="1805"/>
      <c r="K62" s="1805"/>
      <c r="L62" s="1805"/>
      <c r="M62" s="1805"/>
    </row>
    <row r="63" spans="1:1020 1029:2040 2049:3070 3079:4090 4099:5120 5129:6140 6149:7160 7169:8190 8199:9210 9219:10240 10249:11260 11269:12280 12289:13310 13319:14330 14339:15360 15369:16380" ht="20.100000000000001" customHeight="1" x14ac:dyDescent="0.2">
      <c r="A63" s="1054"/>
      <c r="B63" s="1054"/>
      <c r="C63" s="1054"/>
      <c r="D63" s="1054"/>
      <c r="E63" s="1054"/>
      <c r="F63" s="1054"/>
      <c r="G63" s="1054"/>
      <c r="H63" s="1054"/>
      <c r="I63" s="1054"/>
      <c r="J63" s="1054"/>
    </row>
    <row r="64" spans="1:1020 1029:2040 2049:3070 3079:4090 4099:5120 5129:6140 6149:7160 7169:8190 8199:9210 9219:10240 10249:11260 11269:12280 12289:13310 13319:14330 14339:15360 15369:16380" ht="23.1" customHeight="1" x14ac:dyDescent="0.2">
      <c r="A64" s="1054"/>
      <c r="B64" s="1054"/>
      <c r="C64" s="1054"/>
      <c r="D64" s="1054"/>
      <c r="E64" s="1054"/>
      <c r="F64" s="1054"/>
      <c r="G64" s="1054"/>
      <c r="H64" s="1054"/>
      <c r="I64" s="1054"/>
      <c r="J64" s="1054"/>
    </row>
    <row r="65" spans="1:13" ht="125.1" customHeight="1" x14ac:dyDescent="0.2">
      <c r="A65" s="1054"/>
      <c r="B65" s="1054"/>
      <c r="C65" s="1054"/>
      <c r="D65" s="1054"/>
      <c r="E65" s="1054"/>
      <c r="F65" s="1054"/>
      <c r="G65" s="1054"/>
      <c r="H65" s="1054"/>
      <c r="I65" s="1054"/>
      <c r="J65" s="1054"/>
    </row>
    <row r="66" spans="1:13" ht="35.1" customHeight="1" x14ac:dyDescent="0.2">
      <c r="A66" s="1054"/>
      <c r="B66" s="1054"/>
      <c r="C66" s="1054"/>
      <c r="D66" s="1054"/>
      <c r="E66" s="1054"/>
      <c r="F66" s="1054"/>
      <c r="G66" s="1054"/>
      <c r="H66" s="1054"/>
      <c r="I66" s="1054"/>
      <c r="J66" s="1054"/>
    </row>
    <row r="67" spans="1:13" ht="35.1" customHeight="1" x14ac:dyDescent="0.2">
      <c r="A67" s="1055"/>
      <c r="B67" s="1055"/>
      <c r="C67" s="1055"/>
      <c r="D67" s="1055"/>
      <c r="E67" s="1055"/>
      <c r="F67" s="1055"/>
      <c r="J67" s="1814" t="s">
        <v>8</v>
      </c>
      <c r="K67" s="1814"/>
      <c r="L67" s="1815">
        <f>L3</f>
        <v>0</v>
      </c>
      <c r="M67" s="1815"/>
    </row>
    <row r="68" spans="1:13" ht="23.1" customHeight="1" x14ac:dyDescent="0.2">
      <c r="A68" s="1816" t="s">
        <v>198</v>
      </c>
      <c r="B68" s="1816"/>
      <c r="C68" s="1816"/>
      <c r="D68" s="1816"/>
    </row>
    <row r="69" spans="1:13" ht="20.100000000000001" customHeight="1" x14ac:dyDescent="0.2"/>
    <row r="70" spans="1:13" s="1056" customFormat="1" ht="33" customHeight="1" x14ac:dyDescent="0.25">
      <c r="A70" s="1295" t="s">
        <v>199</v>
      </c>
      <c r="B70" s="1799" t="s">
        <v>200</v>
      </c>
      <c r="C70" s="1799"/>
      <c r="D70" s="1799"/>
      <c r="E70" s="1799"/>
      <c r="F70" s="1799"/>
      <c r="G70" s="1799"/>
      <c r="H70" s="1799"/>
      <c r="I70" s="1799"/>
      <c r="J70" s="1799"/>
      <c r="K70" s="1799"/>
      <c r="L70" s="1799"/>
      <c r="M70" s="1799"/>
    </row>
    <row r="71" spans="1:13" s="1056" customFormat="1" ht="23.1" customHeight="1" x14ac:dyDescent="0.25">
      <c r="A71" s="1295" t="s">
        <v>199</v>
      </c>
      <c r="B71" s="1799" t="s">
        <v>201</v>
      </c>
      <c r="C71" s="1799"/>
      <c r="D71" s="1799"/>
      <c r="E71" s="1799"/>
      <c r="F71" s="1799"/>
      <c r="G71" s="1799"/>
      <c r="H71" s="1799"/>
      <c r="I71" s="1799"/>
      <c r="J71" s="1799"/>
      <c r="K71" s="1799"/>
      <c r="L71" s="1799"/>
      <c r="M71" s="1799"/>
    </row>
    <row r="72" spans="1:13" s="1056" customFormat="1" ht="33" customHeight="1" x14ac:dyDescent="0.25">
      <c r="A72" s="1295" t="s">
        <v>199</v>
      </c>
      <c r="B72" s="1799" t="s">
        <v>202</v>
      </c>
      <c r="C72" s="1799"/>
      <c r="D72" s="1799"/>
      <c r="E72" s="1799"/>
      <c r="F72" s="1799"/>
      <c r="G72" s="1799"/>
      <c r="H72" s="1799"/>
      <c r="I72" s="1799"/>
      <c r="J72" s="1799"/>
      <c r="K72" s="1799"/>
      <c r="L72" s="1799"/>
      <c r="M72" s="1799"/>
    </row>
    <row r="73" spans="1:13" s="1056" customFormat="1" ht="23.1" customHeight="1" x14ac:dyDescent="0.25">
      <c r="A73" s="1295" t="s">
        <v>199</v>
      </c>
      <c r="B73" s="1799" t="s">
        <v>203</v>
      </c>
      <c r="C73" s="1799"/>
      <c r="D73" s="1799"/>
      <c r="E73" s="1799"/>
      <c r="F73" s="1799"/>
      <c r="G73" s="1799"/>
      <c r="H73" s="1799"/>
      <c r="I73" s="1799"/>
      <c r="J73" s="1799"/>
      <c r="K73" s="1799"/>
      <c r="L73" s="1799"/>
      <c r="M73" s="1799"/>
    </row>
    <row r="74" spans="1:13" s="1056" customFormat="1" ht="23.1" customHeight="1" x14ac:dyDescent="0.25">
      <c r="A74" s="1295" t="s">
        <v>199</v>
      </c>
      <c r="B74" s="1799" t="s">
        <v>204</v>
      </c>
      <c r="C74" s="1799"/>
      <c r="D74" s="1799"/>
      <c r="E74" s="1799"/>
      <c r="F74" s="1799"/>
      <c r="G74" s="1799"/>
      <c r="H74" s="1799"/>
      <c r="I74" s="1799"/>
      <c r="J74" s="1799"/>
      <c r="K74" s="1799"/>
      <c r="L74" s="1799"/>
      <c r="M74" s="1799"/>
    </row>
    <row r="75" spans="1:13" s="1056" customFormat="1" ht="33" customHeight="1" x14ac:dyDescent="0.25">
      <c r="A75" s="1295" t="s">
        <v>199</v>
      </c>
      <c r="B75" s="1799" t="s">
        <v>205</v>
      </c>
      <c r="C75" s="1799"/>
      <c r="D75" s="1799"/>
      <c r="E75" s="1799"/>
      <c r="F75" s="1799"/>
      <c r="G75" s="1799"/>
      <c r="H75" s="1799"/>
      <c r="I75" s="1799"/>
      <c r="J75" s="1799"/>
      <c r="K75" s="1799"/>
      <c r="L75" s="1799"/>
      <c r="M75" s="1799"/>
    </row>
    <row r="76" spans="1:13" s="1056" customFormat="1" ht="23.1" customHeight="1" x14ac:dyDescent="0.25">
      <c r="A76" s="1295" t="s">
        <v>199</v>
      </c>
      <c r="B76" s="1799" t="s">
        <v>206</v>
      </c>
      <c r="C76" s="1799"/>
      <c r="D76" s="1799"/>
      <c r="E76" s="1799"/>
      <c r="F76" s="1799"/>
      <c r="G76" s="1799"/>
      <c r="H76" s="1799"/>
      <c r="I76" s="1799"/>
      <c r="J76" s="1799"/>
      <c r="K76" s="1799"/>
      <c r="L76" s="1799"/>
      <c r="M76" s="1799"/>
    </row>
    <row r="77" spans="1:13" s="1056" customFormat="1" ht="23.1" customHeight="1" x14ac:dyDescent="0.25">
      <c r="A77" s="1295" t="s">
        <v>199</v>
      </c>
      <c r="B77" s="1799" t="s">
        <v>568</v>
      </c>
      <c r="C77" s="1799"/>
      <c r="D77" s="1799"/>
      <c r="E77" s="1799"/>
      <c r="F77" s="1799"/>
      <c r="G77" s="1799"/>
      <c r="H77" s="1799"/>
      <c r="I77" s="1799"/>
      <c r="J77" s="1799"/>
      <c r="K77" s="1799"/>
      <c r="L77" s="1799"/>
      <c r="M77" s="1799"/>
    </row>
    <row r="78" spans="1:13" ht="23.1" customHeight="1" x14ac:dyDescent="0.2">
      <c r="A78" s="1295" t="s">
        <v>199</v>
      </c>
      <c r="B78" s="1799" t="s">
        <v>207</v>
      </c>
      <c r="C78" s="1799"/>
      <c r="D78" s="1799"/>
      <c r="E78" s="1799"/>
      <c r="F78" s="1799"/>
      <c r="G78" s="1799"/>
      <c r="H78" s="1799"/>
      <c r="I78" s="1799"/>
      <c r="J78" s="1799"/>
      <c r="K78" s="1799"/>
      <c r="L78" s="1799"/>
      <c r="M78" s="1799"/>
    </row>
    <row r="79" spans="1:13" ht="23.1" customHeight="1" x14ac:dyDescent="0.2">
      <c r="A79" s="1295" t="s">
        <v>199</v>
      </c>
      <c r="B79" s="1799" t="s">
        <v>599</v>
      </c>
      <c r="C79" s="1799"/>
      <c r="D79" s="1799"/>
      <c r="E79" s="1799"/>
      <c r="F79" s="1799"/>
      <c r="G79" s="1799"/>
      <c r="H79" s="1799"/>
      <c r="I79" s="1799"/>
      <c r="J79" s="1799"/>
      <c r="K79" s="1799"/>
      <c r="L79" s="1799"/>
      <c r="M79" s="1799"/>
    </row>
    <row r="80" spans="1:13" ht="33" customHeight="1" x14ac:dyDescent="0.2">
      <c r="A80" s="1295" t="s">
        <v>199</v>
      </c>
      <c r="B80" s="1799" t="s">
        <v>208</v>
      </c>
      <c r="C80" s="1799"/>
      <c r="D80" s="1799"/>
      <c r="E80" s="1799"/>
      <c r="F80" s="1799"/>
      <c r="G80" s="1799"/>
      <c r="H80" s="1799"/>
      <c r="I80" s="1799"/>
      <c r="J80" s="1799"/>
      <c r="K80" s="1799"/>
      <c r="L80" s="1799"/>
      <c r="M80" s="1799"/>
    </row>
    <row r="81" spans="1:13" ht="20.100000000000001" customHeight="1" x14ac:dyDescent="0.2">
      <c r="A81" s="228"/>
      <c r="B81" s="1882"/>
      <c r="C81" s="1882"/>
      <c r="D81" s="1882"/>
      <c r="E81" s="1882"/>
      <c r="F81" s="1882"/>
      <c r="G81" s="1882"/>
      <c r="H81" s="1882"/>
      <c r="I81" s="1882"/>
      <c r="J81" s="1882"/>
    </row>
    <row r="82" spans="1:13" ht="20.100000000000001" customHeight="1" x14ac:dyDescent="0.2"/>
    <row r="83" spans="1:13" ht="23.1" customHeight="1" x14ac:dyDescent="0.25">
      <c r="A83" s="1800"/>
      <c r="B83" s="1800"/>
      <c r="C83" s="1800"/>
      <c r="E83" s="229"/>
    </row>
    <row r="84" spans="1:13" ht="20.100000000000001" customHeight="1" x14ac:dyDescent="0.2"/>
    <row r="85" spans="1:13" ht="20.100000000000001" customHeight="1" x14ac:dyDescent="0.2">
      <c r="G85" s="1057"/>
      <c r="J85" s="1003"/>
    </row>
    <row r="86" spans="1:13" ht="23.1" customHeight="1" thickBot="1" x14ac:dyDescent="0.3">
      <c r="A86" s="229"/>
      <c r="B86" s="1861"/>
      <c r="C86" s="1861"/>
      <c r="D86" s="1861"/>
      <c r="E86" s="1861"/>
      <c r="F86" s="1262"/>
      <c r="H86" s="1861"/>
      <c r="I86" s="1861"/>
      <c r="J86" s="1861"/>
      <c r="K86" s="1861"/>
      <c r="L86" s="1861"/>
      <c r="M86" s="1262"/>
    </row>
    <row r="87" spans="1:13" ht="23.1" customHeight="1" x14ac:dyDescent="0.2">
      <c r="B87" s="1801" t="s">
        <v>209</v>
      </c>
      <c r="C87" s="1801"/>
      <c r="D87" s="1801"/>
      <c r="E87" s="1801"/>
      <c r="F87" s="1004"/>
      <c r="H87" s="1801" t="e">
        <f>VLOOKUP($M$86,'DATOS &lt;'!B131:G135,6,FALSE)</f>
        <v>#N/A</v>
      </c>
      <c r="I87" s="1801"/>
      <c r="J87" s="1801"/>
      <c r="K87" s="1801"/>
      <c r="L87" s="1801"/>
    </row>
    <row r="88" spans="1:13" ht="33" customHeight="1" x14ac:dyDescent="0.25">
      <c r="A88" s="229"/>
      <c r="B88" s="1802" t="e">
        <f>VLOOKUP($F$86,'DATOS &lt;'!$B$131:$E$135,4,FALSE)</f>
        <v>#N/A</v>
      </c>
      <c r="C88" s="1802"/>
      <c r="D88" s="1802"/>
      <c r="E88" s="1802"/>
      <c r="F88" s="409"/>
      <c r="H88" s="1802"/>
      <c r="I88" s="1802"/>
      <c r="J88" s="1802"/>
      <c r="K88" s="1802"/>
      <c r="L88" s="1802"/>
    </row>
    <row r="89" spans="1:13" ht="23.1" customHeight="1" x14ac:dyDescent="0.2">
      <c r="B89" s="1802" t="e">
        <f>VLOOKUP($F$86,'DATOS &lt;'!$B$131:$E$135,2,FALSE)</f>
        <v>#N/A</v>
      </c>
      <c r="C89" s="1802"/>
      <c r="D89" s="1802"/>
      <c r="E89" s="1802"/>
      <c r="F89" s="1004"/>
      <c r="H89" s="1802" t="e">
        <f>VLOOKUP($M$86,'DATOS &lt;'!$B$131:$G$135,2,FALSE)</f>
        <v>#N/A</v>
      </c>
      <c r="I89" s="1802"/>
      <c r="J89" s="1802"/>
      <c r="K89" s="1802"/>
      <c r="L89" s="1802"/>
    </row>
    <row r="90" spans="1:13" x14ac:dyDescent="0.2">
      <c r="B90" s="1004"/>
      <c r="C90" s="1004"/>
      <c r="D90" s="1004"/>
      <c r="E90" s="1004"/>
      <c r="F90" s="1004"/>
      <c r="G90" s="1004"/>
      <c r="H90" s="1004"/>
      <c r="I90" s="1004"/>
      <c r="J90" s="1004"/>
    </row>
    <row r="91" spans="1:13" ht="23.1" customHeight="1" x14ac:dyDescent="0.2">
      <c r="B91" s="1884" t="s">
        <v>211</v>
      </c>
      <c r="C91" s="1884"/>
      <c r="D91" s="1858"/>
      <c r="E91" s="1858"/>
      <c r="H91" s="1860" t="s">
        <v>212</v>
      </c>
      <c r="I91" s="1860"/>
      <c r="J91" s="1860"/>
      <c r="K91" s="1858"/>
      <c r="L91" s="1858"/>
    </row>
    <row r="92" spans="1:13" x14ac:dyDescent="0.2">
      <c r="J92" s="1003"/>
    </row>
    <row r="93" spans="1:13" ht="23.1" customHeight="1" x14ac:dyDescent="0.25">
      <c r="A93" s="1800" t="s">
        <v>213</v>
      </c>
      <c r="B93" s="1800"/>
      <c r="C93" s="1800"/>
      <c r="D93" s="1800"/>
      <c r="E93" s="1800"/>
      <c r="F93" s="1800"/>
      <c r="G93" s="1800"/>
      <c r="H93" s="1800"/>
      <c r="I93" s="1800"/>
      <c r="J93" s="1800"/>
      <c r="K93" s="1800"/>
      <c r="L93" s="1800"/>
      <c r="M93" s="1800"/>
    </row>
  </sheetData>
  <sheetProtection password="CF7A" sheet="1" objects="1" scenarios="1"/>
  <mergeCells count="101">
    <mergeCell ref="J3:K3"/>
    <mergeCell ref="L3:M3"/>
    <mergeCell ref="A4:C4"/>
    <mergeCell ref="G4:H4"/>
    <mergeCell ref="A1:M1"/>
    <mergeCell ref="J40:K40"/>
    <mergeCell ref="L40:M40"/>
    <mergeCell ref="J67:K67"/>
    <mergeCell ref="L67:M67"/>
    <mergeCell ref="A47:C47"/>
    <mergeCell ref="G47:H47"/>
    <mergeCell ref="I47:J47"/>
    <mergeCell ref="A49:J49"/>
    <mergeCell ref="A41:J41"/>
    <mergeCell ref="B45:D45"/>
    <mergeCell ref="H45:I45"/>
    <mergeCell ref="J45:K45"/>
    <mergeCell ref="B46:D46"/>
    <mergeCell ref="A51:M52"/>
    <mergeCell ref="A6:B6"/>
    <mergeCell ref="D6:J6"/>
    <mergeCell ref="A12:J12"/>
    <mergeCell ref="A14:C14"/>
    <mergeCell ref="D14:J14"/>
    <mergeCell ref="A7:B7"/>
    <mergeCell ref="D7:J7"/>
    <mergeCell ref="A8:B8"/>
    <mergeCell ref="D8:G8"/>
    <mergeCell ref="A10:C10"/>
    <mergeCell ref="D10:E10"/>
    <mergeCell ref="K10:L10"/>
    <mergeCell ref="A36:B36"/>
    <mergeCell ref="C36:D36"/>
    <mergeCell ref="E36:F36"/>
    <mergeCell ref="A28:M28"/>
    <mergeCell ref="A15:C15"/>
    <mergeCell ref="D15:G15"/>
    <mergeCell ref="A16:C16"/>
    <mergeCell ref="D16:G16"/>
    <mergeCell ref="A21:F21"/>
    <mergeCell ref="B23:E23"/>
    <mergeCell ref="A24:D24"/>
    <mergeCell ref="E24:F24"/>
    <mergeCell ref="A26:J26"/>
    <mergeCell ref="A22:M22"/>
    <mergeCell ref="A17:C17"/>
    <mergeCell ref="D17:E17"/>
    <mergeCell ref="F17:G17"/>
    <mergeCell ref="A43:M43"/>
    <mergeCell ref="D91:E91"/>
    <mergeCell ref="K91:L91"/>
    <mergeCell ref="H46:I46"/>
    <mergeCell ref="J46:K46"/>
    <mergeCell ref="A68:D68"/>
    <mergeCell ref="H87:L88"/>
    <mergeCell ref="A19:E19"/>
    <mergeCell ref="F19:J19"/>
    <mergeCell ref="A30:J30"/>
    <mergeCell ref="A31:J31"/>
    <mergeCell ref="B33:C34"/>
    <mergeCell ref="D33:E34"/>
    <mergeCell ref="F33:G34"/>
    <mergeCell ref="H33:K33"/>
    <mergeCell ref="H34:I34"/>
    <mergeCell ref="J34:K34"/>
    <mergeCell ref="C56:D56"/>
    <mergeCell ref="E56:E57"/>
    <mergeCell ref="F56:F57"/>
    <mergeCell ref="A93:M93"/>
    <mergeCell ref="B87:E87"/>
    <mergeCell ref="B81:J81"/>
    <mergeCell ref="A83:C83"/>
    <mergeCell ref="B86:E86"/>
    <mergeCell ref="B89:E89"/>
    <mergeCell ref="B91:C91"/>
    <mergeCell ref="H91:J91"/>
    <mergeCell ref="B88:E88"/>
    <mergeCell ref="H10:J10"/>
    <mergeCell ref="H86:L86"/>
    <mergeCell ref="H89:L89"/>
    <mergeCell ref="A54:J54"/>
    <mergeCell ref="A56:A57"/>
    <mergeCell ref="B56:B57"/>
    <mergeCell ref="B79:M79"/>
    <mergeCell ref="B80:M80"/>
    <mergeCell ref="G56:H56"/>
    <mergeCell ref="I56:J56"/>
    <mergeCell ref="K56:L56"/>
    <mergeCell ref="B74:M74"/>
    <mergeCell ref="B75:M75"/>
    <mergeCell ref="B76:M76"/>
    <mergeCell ref="B77:M77"/>
    <mergeCell ref="B78:M78"/>
    <mergeCell ref="B72:M72"/>
    <mergeCell ref="B73:M73"/>
    <mergeCell ref="A60:M62"/>
    <mergeCell ref="B70:M70"/>
    <mergeCell ref="B71:M71"/>
    <mergeCell ref="B35:C35"/>
    <mergeCell ref="D35:E35"/>
    <mergeCell ref="F35:G35"/>
  </mergeCells>
  <conditionalFormatting sqref="M58">
    <cfRule type="containsText" dxfId="0" priority="1" operator="containsText" text="NO">
      <formula>NOT(ISERROR(SEARCH("NO",M58)))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V.16 (2023-11-10)
&amp;P de 3
</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C00-000000000000}">
          <x14:formula1>
            <xm:f>'DATOS &lt;'!$B$131:$B$135</xm:f>
          </x14:formula1>
          <xm:sqref>M86 F86</xm:sqref>
        </x14:dataValidation>
        <x14:dataValidation type="list" allowBlank="1" showInputMessage="1" showErrorMessage="1" xr:uid="{00000000-0002-0000-2C00-000001000000}">
          <x14:formula1>
            <xm:f>'DATOS &lt;'!$B$202:$B$215</xm:f>
          </x14:formula1>
          <xm:sqref>K32</xm:sqref>
        </x14:dataValidation>
        <x14:dataValidation type="list" allowBlank="1" showInputMessage="1" showErrorMessage="1" xr:uid="{00000000-0002-0000-2C00-000002000000}">
          <x14:formula1>
            <xm:f>'DATOS &lt;'!$I$115:$I$118</xm:f>
          </x14:formula1>
          <xm:sqref>M41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FFF00"/>
  </sheetPr>
  <dimension ref="A1:U107"/>
  <sheetViews>
    <sheetView showGridLines="0" view="pageBreakPreview" topLeftCell="A67"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8"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358" t="e">
        <f>VLOOKUP($I$26,'DATOS &lt;'!$B$131:$G$135,2,FALSE)</f>
        <v>#N/A</v>
      </c>
      <c r="I28" s="1359"/>
      <c r="J28" s="626"/>
    </row>
    <row r="29" spans="1:14" s="627" customFormat="1" ht="31.5" customHeight="1" x14ac:dyDescent="0.2">
      <c r="A29" s="1382"/>
      <c r="B29" s="638" t="s">
        <v>47</v>
      </c>
      <c r="C29" s="396"/>
      <c r="D29" s="107"/>
      <c r="E29" s="108"/>
      <c r="F29" s="626"/>
      <c r="G29" s="626"/>
      <c r="H29" s="626"/>
      <c r="I29" s="626"/>
      <c r="J29" s="626"/>
    </row>
    <row r="30" spans="1:14" s="627" customFormat="1" ht="31.5" customHeight="1" x14ac:dyDescent="0.2">
      <c r="A30" s="1382"/>
      <c r="B30" s="638" t="s">
        <v>47</v>
      </c>
      <c r="C30" s="396"/>
      <c r="D30" s="107"/>
      <c r="E30" s="108"/>
      <c r="F30" s="626"/>
      <c r="G30" s="626"/>
      <c r="H30" s="626"/>
      <c r="I30" s="626"/>
      <c r="J30" s="626"/>
    </row>
    <row r="31" spans="1:14" s="627" customFormat="1" ht="31.5" customHeight="1" thickBot="1" x14ac:dyDescent="0.25">
      <c r="A31" s="1383"/>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66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24" t="s">
        <v>63</v>
      </c>
      <c r="B52" s="1425"/>
      <c r="C52" s="1425"/>
      <c r="D52" s="1425"/>
      <c r="E52" s="1425"/>
      <c r="F52" s="1425"/>
      <c r="G52" s="1425"/>
      <c r="H52" s="1425"/>
      <c r="I52" s="1425"/>
      <c r="J52" s="1425"/>
      <c r="K52" s="1425"/>
      <c r="L52" s="1425"/>
      <c r="M52" s="1425"/>
      <c r="N52" s="1425"/>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38"/>
      <c r="I76" s="782"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s>
  <conditionalFormatting sqref="G59 G62 G66:G68">
    <cfRule type="cellIs" dxfId="13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'DATOS &lt;'!$B$7:$B$19</xm:f>
          </x14:formula1>
          <xm:sqref>I3:J4</xm:sqref>
        </x14:dataValidation>
        <x14:dataValidation type="list" allowBlank="1" showInputMessage="1" showErrorMessage="1" xr:uid="{00000000-0002-0000-0400-000001000000}">
          <x14:formula1>
            <xm:f>'DATOS &lt;'!$N$82:$N$134</xm:f>
          </x14:formula1>
          <xm:sqref>E6</xm:sqref>
        </x14:dataValidation>
        <x14:dataValidation type="list" allowBlank="1" showInputMessage="1" showErrorMessage="1" xr:uid="{00000000-0002-0000-0400-000002000000}">
          <x14:formula1>
            <xm:f>'DATOS &lt;'!$B$118:$B$124</xm:f>
          </x14:formula1>
          <xm:sqref>J13</xm:sqref>
        </x14:dataValidation>
        <x14:dataValidation type="list" allowBlank="1" showInputMessage="1" showErrorMessage="1" xr:uid="{00000000-0002-0000-0400-000003000000}">
          <x14:formula1>
            <xm:f>'DATOS &lt;'!$B$131:$B$135</xm:f>
          </x14:formula1>
          <xm:sqref>I26</xm:sqref>
        </x14:dataValidation>
        <x14:dataValidation type="list" allowBlank="1" showInputMessage="1" showErrorMessage="1" xr:uid="{00000000-0002-0000-0400-000004000000}">
          <x14:formula1>
            <xm:f>'DATOS &lt;'!$I$202:$I$205</xm:f>
          </x14:formula1>
          <xm:sqref>J19:J20</xm:sqref>
        </x14:dataValidation>
        <x14:dataValidation type="list" allowBlank="1" showInputMessage="1" showErrorMessage="1" xr:uid="{00000000-0002-0000-0400-000005000000}">
          <x14:formula1>
            <xm:f>'DATOS &lt;'!$I$129:$I$130</xm:f>
          </x14:formula1>
          <xm:sqref>N39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781"/>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8"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33.7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358" t="e">
        <f>VLOOKUP($I$26,'DATOS &lt;'!$B$131:$G$135,2,FALSE)</f>
        <v>#N/A</v>
      </c>
      <c r="I28" s="1359"/>
    </row>
    <row r="29" spans="1:14" s="627" customFormat="1" ht="31.5" customHeight="1" x14ac:dyDescent="0.2">
      <c r="A29" s="1382"/>
      <c r="B29" s="638" t="s">
        <v>47</v>
      </c>
      <c r="C29" s="396"/>
      <c r="D29" s="107"/>
      <c r="E29" s="108"/>
      <c r="F29" s="626"/>
      <c r="G29" s="626"/>
      <c r="H29" s="626"/>
      <c r="I29" s="626"/>
    </row>
    <row r="30" spans="1:14" s="627" customFormat="1" ht="31.5" customHeight="1" x14ac:dyDescent="0.2">
      <c r="A30" s="1382"/>
      <c r="B30" s="638" t="s">
        <v>47</v>
      </c>
      <c r="C30" s="396"/>
      <c r="D30" s="107"/>
      <c r="E30" s="108"/>
      <c r="F30" s="626"/>
      <c r="G30" s="626"/>
      <c r="H30" s="626"/>
      <c r="I30" s="626"/>
    </row>
    <row r="31" spans="1:14" s="627" customFormat="1" ht="31.5" customHeight="1" thickBot="1" x14ac:dyDescent="0.25">
      <c r="A31" s="1383"/>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24" t="s">
        <v>54</v>
      </c>
      <c r="B46" s="1425"/>
      <c r="C46" s="1425"/>
      <c r="D46" s="1425"/>
      <c r="E46" s="1425"/>
      <c r="F46" s="1425"/>
      <c r="G46" s="1425"/>
      <c r="H46" s="1425"/>
      <c r="I46" s="1425"/>
      <c r="J46" s="1425"/>
      <c r="K46" s="1425"/>
      <c r="L46" s="1425"/>
      <c r="M46" s="1425"/>
      <c r="N46" s="1425"/>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24" t="s">
        <v>63</v>
      </c>
      <c r="B52" s="1425"/>
      <c r="C52" s="1425"/>
      <c r="D52" s="1425"/>
      <c r="E52" s="1425"/>
      <c r="F52" s="1425"/>
      <c r="G52" s="1425"/>
      <c r="H52" s="1425"/>
      <c r="I52" s="1425"/>
      <c r="J52" s="1425"/>
      <c r="K52" s="1425"/>
      <c r="L52" s="1425"/>
      <c r="M52" s="1425"/>
      <c r="N52" s="1425"/>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c r="K56" s="1425"/>
      <c r="L56" s="1425"/>
      <c r="M56" s="1425"/>
      <c r="N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s>
  <conditionalFormatting sqref="G59 G62 G66:G68">
    <cfRule type="cellIs" dxfId="13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'DATOS &lt;'!$B$7:$B$19</xm:f>
          </x14:formula1>
          <xm:sqref>I3:J4</xm:sqref>
        </x14:dataValidation>
        <x14:dataValidation type="list" allowBlank="1" showInputMessage="1" showErrorMessage="1" xr:uid="{00000000-0002-0000-0500-000001000000}">
          <x14:formula1>
            <xm:f>'DATOS &lt;'!$B$118:$B$124</xm:f>
          </x14:formula1>
          <xm:sqref>J13</xm:sqref>
        </x14:dataValidation>
        <x14:dataValidation type="list" allowBlank="1" showInputMessage="1" showErrorMessage="1" xr:uid="{00000000-0002-0000-0500-000002000000}">
          <x14:formula1>
            <xm:f>'DATOS &lt;'!$B$131:$B$135</xm:f>
          </x14:formula1>
          <xm:sqref>I26</xm:sqref>
        </x14:dataValidation>
        <x14:dataValidation type="list" allowBlank="1" showInputMessage="1" showErrorMessage="1" xr:uid="{00000000-0002-0000-0500-000003000000}">
          <x14:formula1>
            <xm:f>'DATOS &lt;'!$N$82:$N$134</xm:f>
          </x14:formula1>
          <xm:sqref>E6</xm:sqref>
        </x14:dataValidation>
        <x14:dataValidation type="list" allowBlank="1" showInputMessage="1" showErrorMessage="1" xr:uid="{00000000-0002-0000-0500-000004000000}">
          <x14:formula1>
            <xm:f>'DATOS &lt;'!$I$202:$I$205</xm:f>
          </x14:formula1>
          <xm:sqref>J19:J20</xm:sqref>
        </x14:dataValidation>
        <x14:dataValidation type="list" allowBlank="1" showInputMessage="1" showErrorMessage="1" xr:uid="{00000000-0002-0000-0500-000005000000}">
          <x14:formula1>
            <xm:f>'DATOS &lt;'!$I$129:$I$130</xm:f>
          </x14:formula1>
          <xm:sqref>N39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FF00"/>
  </sheetPr>
  <dimension ref="A1:U107"/>
  <sheetViews>
    <sheetView showGridLines="0" view="pageBreakPreview" topLeftCell="A61"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8"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x14ac:dyDescent="0.2"/>
    <row r="18" spans="1:14" ht="31.5" customHeight="1" x14ac:dyDescent="0.2">
      <c r="A18" s="1424" t="s">
        <v>32</v>
      </c>
      <c r="B18" s="1425"/>
      <c r="C18" s="1425"/>
      <c r="D18" s="1425"/>
      <c r="E18" s="1425"/>
      <c r="F18" s="1425"/>
      <c r="G18" s="1425"/>
      <c r="H18" s="1425"/>
      <c r="I18" s="1425"/>
      <c r="J18" s="1425"/>
      <c r="K18" s="1425"/>
      <c r="L18" s="1425"/>
      <c r="M18" s="1425"/>
      <c r="N18" s="1425"/>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x14ac:dyDescent="0.2">
      <c r="A21" s="626"/>
      <c r="B21" s="626"/>
      <c r="C21" s="626"/>
      <c r="D21" s="626"/>
      <c r="E21" s="626"/>
      <c r="F21" s="626"/>
      <c r="G21" s="626"/>
      <c r="H21" s="626"/>
      <c r="I21" s="626"/>
      <c r="J21" s="626"/>
      <c r="K21" s="581"/>
    </row>
    <row r="22" spans="1:14" s="627" customFormat="1" ht="31.5" customHeight="1" thickBot="1" x14ac:dyDescent="0.25">
      <c r="A22" s="1424" t="s">
        <v>39</v>
      </c>
      <c r="B22" s="1425"/>
      <c r="C22" s="1425"/>
      <c r="D22" s="1425"/>
      <c r="E22" s="1425"/>
      <c r="F22" s="1425"/>
      <c r="G22" s="1425"/>
      <c r="H22" s="1425"/>
      <c r="I22" s="1425"/>
      <c r="J22" s="1425"/>
      <c r="K22" s="1425"/>
      <c r="L22" s="1425"/>
      <c r="M22" s="1425"/>
      <c r="N22" s="1425"/>
    </row>
    <row r="23" spans="1:14" s="626" customFormat="1" ht="2.25" customHeight="1" thickBot="1" x14ac:dyDescent="0.25">
      <c r="A23" s="777"/>
      <c r="B23" s="778"/>
      <c r="C23" s="778"/>
      <c r="D23" s="778"/>
      <c r="E23" s="778"/>
      <c r="F23" s="778"/>
      <c r="G23" s="778"/>
      <c r="H23" s="778"/>
      <c r="I23" s="778"/>
      <c r="J23" s="779"/>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33"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358" t="e">
        <f>VLOOKUP($I$26,'DATOS &lt;'!$B$131:$G$135,2,FALSE)</f>
        <v>#N/A</v>
      </c>
      <c r="I28" s="1359"/>
      <c r="J28" s="626"/>
    </row>
    <row r="29" spans="1:14" s="627" customFormat="1" ht="31.5" customHeight="1" x14ac:dyDescent="0.2">
      <c r="A29" s="1382"/>
      <c r="B29" s="638" t="s">
        <v>47</v>
      </c>
      <c r="C29" s="396"/>
      <c r="D29" s="107"/>
      <c r="E29" s="108"/>
      <c r="F29" s="626"/>
      <c r="G29" s="626"/>
      <c r="J29" s="626"/>
    </row>
    <row r="30" spans="1:14" s="627" customFormat="1" ht="31.5" customHeight="1" x14ac:dyDescent="0.2">
      <c r="A30" s="1382"/>
      <c r="B30" s="638" t="s">
        <v>47</v>
      </c>
      <c r="C30" s="396"/>
      <c r="D30" s="107"/>
      <c r="E30" s="108"/>
      <c r="F30" s="626"/>
      <c r="G30" s="626"/>
      <c r="J30" s="626"/>
    </row>
    <row r="31" spans="1:14" s="627" customFormat="1" ht="31.5" customHeight="1" thickBot="1" x14ac:dyDescent="0.25">
      <c r="A31" s="1383"/>
      <c r="B31" s="639" t="s">
        <v>46</v>
      </c>
      <c r="C31" s="397"/>
      <c r="D31" s="120"/>
      <c r="E31" s="121"/>
      <c r="F31" s="626"/>
      <c r="G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24" t="s">
        <v>54</v>
      </c>
      <c r="B46" s="1425"/>
      <c r="C46" s="1425"/>
      <c r="D46" s="1425"/>
      <c r="E46" s="1425"/>
      <c r="F46" s="1425"/>
      <c r="G46" s="1425"/>
      <c r="H46" s="1425"/>
      <c r="I46" s="1425"/>
      <c r="J46" s="1425"/>
      <c r="K46" s="1425"/>
      <c r="L46" s="1425"/>
      <c r="M46" s="1425"/>
      <c r="N46" s="1425"/>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24" t="s">
        <v>63</v>
      </c>
      <c r="B52" s="1425"/>
      <c r="C52" s="1425"/>
      <c r="D52" s="1425"/>
      <c r="E52" s="1425"/>
      <c r="F52" s="1425"/>
      <c r="G52" s="1425"/>
      <c r="H52" s="1425"/>
      <c r="I52" s="1425"/>
      <c r="J52" s="1425"/>
      <c r="K52" s="1425"/>
      <c r="L52" s="1425"/>
      <c r="M52" s="1425"/>
      <c r="N52" s="1425"/>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24" t="s">
        <v>69</v>
      </c>
      <c r="B56" s="1425"/>
      <c r="C56" s="1425"/>
      <c r="D56" s="1425"/>
      <c r="E56" s="1425"/>
      <c r="F56" s="1425"/>
      <c r="G56" s="1425"/>
      <c r="H56" s="1425"/>
      <c r="I56" s="1425"/>
      <c r="J56" s="1425"/>
      <c r="K56" s="1425"/>
      <c r="L56" s="1425"/>
      <c r="M56" s="1425"/>
      <c r="N56" s="1425"/>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s>
  <conditionalFormatting sqref="G59 G62 G66:G68">
    <cfRule type="cellIs" dxfId="13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'DATOS &lt;'!$B$7:$B$19</xm:f>
          </x14:formula1>
          <xm:sqref>I3:J4</xm:sqref>
        </x14:dataValidation>
        <x14:dataValidation type="list" allowBlank="1" showInputMessage="1" showErrorMessage="1" xr:uid="{00000000-0002-0000-0600-000001000000}">
          <x14:formula1>
            <xm:f>'DATOS &lt;'!$B$118:$B$124</xm:f>
          </x14:formula1>
          <xm:sqref>J13</xm:sqref>
        </x14:dataValidation>
        <x14:dataValidation type="list" allowBlank="1" showInputMessage="1" showErrorMessage="1" xr:uid="{00000000-0002-0000-0600-000002000000}">
          <x14:formula1>
            <xm:f>'DATOS &lt;'!$B$131:$B$135</xm:f>
          </x14:formula1>
          <xm:sqref>I26</xm:sqref>
        </x14:dataValidation>
        <x14:dataValidation type="list" allowBlank="1" showInputMessage="1" showErrorMessage="1" xr:uid="{00000000-0002-0000-0600-000003000000}">
          <x14:formula1>
            <xm:f>'DATOS &lt;'!$N$82:$N$134</xm:f>
          </x14:formula1>
          <xm:sqref>E6</xm:sqref>
        </x14:dataValidation>
        <x14:dataValidation type="list" allowBlank="1" showInputMessage="1" showErrorMessage="1" xr:uid="{00000000-0002-0000-0600-000004000000}">
          <x14:formula1>
            <xm:f>'DATOS &lt;'!$I$202:$I$205</xm:f>
          </x14:formula1>
          <xm:sqref>J19:J20</xm:sqref>
        </x14:dataValidation>
        <x14:dataValidation type="list" allowBlank="1" showInputMessage="1" showErrorMessage="1" xr:uid="{00000000-0002-0000-0600-000005000000}">
          <x14:formula1>
            <xm:f>'DATOS &lt;'!$I$129:$I$130</xm:f>
          </x14:formula1>
          <xm:sqref>N39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8"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358" t="e">
        <f>VLOOKUP($I$26,'DATOS &lt;'!$B$131:$G$135,2,FALSE)</f>
        <v>#N/A</v>
      </c>
      <c r="I28" s="1359"/>
    </row>
    <row r="29" spans="1:14" s="627" customFormat="1" ht="31.5" customHeight="1" x14ac:dyDescent="0.2">
      <c r="A29" s="1382"/>
      <c r="B29" s="638" t="s">
        <v>47</v>
      </c>
      <c r="C29" s="396"/>
      <c r="D29" s="107"/>
      <c r="E29" s="108"/>
      <c r="F29" s="626"/>
      <c r="G29" s="626"/>
      <c r="H29" s="626"/>
      <c r="I29" s="626"/>
      <c r="J29" s="626"/>
    </row>
    <row r="30" spans="1:14" s="627" customFormat="1" ht="31.5" customHeight="1" x14ac:dyDescent="0.2">
      <c r="A30" s="1382"/>
      <c r="B30" s="638" t="s">
        <v>47</v>
      </c>
      <c r="C30" s="396"/>
      <c r="D30" s="107"/>
      <c r="E30" s="108"/>
      <c r="F30" s="626"/>
      <c r="G30" s="626"/>
      <c r="H30" s="626"/>
      <c r="I30" s="626"/>
      <c r="J30" s="626"/>
    </row>
    <row r="31" spans="1:14" s="627" customFormat="1" ht="31.5" customHeight="1" thickBot="1" x14ac:dyDescent="0.25">
      <c r="A31" s="1383"/>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24" t="s">
        <v>54</v>
      </c>
      <c r="B46" s="1425"/>
      <c r="C46" s="1425"/>
      <c r="D46" s="1425"/>
      <c r="E46" s="1425"/>
      <c r="F46" s="1425"/>
      <c r="G46" s="1425"/>
      <c r="H46" s="1425"/>
      <c r="I46" s="1425"/>
      <c r="J46" s="1425"/>
      <c r="K46" s="1425"/>
      <c r="L46" s="1425"/>
      <c r="M46" s="1425"/>
      <c r="N46" s="1425"/>
    </row>
    <row r="47" spans="1:14" s="627" customFormat="1" ht="31.5" customHeight="1" thickBot="1" x14ac:dyDescent="0.25">
      <c r="A47" s="1419" t="s">
        <v>55</v>
      </c>
      <c r="B47" s="1420"/>
      <c r="C47" s="1421" t="s">
        <v>56</v>
      </c>
      <c r="D47" s="1422"/>
      <c r="E47" s="1423"/>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24" t="s">
        <v>63</v>
      </c>
      <c r="B52" s="1425"/>
      <c r="C52" s="1425"/>
      <c r="D52" s="1425"/>
      <c r="E52" s="1425"/>
      <c r="F52" s="1425"/>
      <c r="G52" s="1425"/>
      <c r="H52" s="1425"/>
      <c r="I52" s="1425"/>
      <c r="J52" s="1425"/>
      <c r="K52" s="1425"/>
      <c r="L52" s="1425"/>
      <c r="M52" s="1425"/>
      <c r="N52" s="1425"/>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s>
  <conditionalFormatting sqref="G59 G62 G66:G68">
    <cfRule type="cellIs" dxfId="13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'DATOS &lt;'!$B$7:$B$19</xm:f>
          </x14:formula1>
          <xm:sqref>I3:J4</xm:sqref>
        </x14:dataValidation>
        <x14:dataValidation type="list" allowBlank="1" showInputMessage="1" showErrorMessage="1" xr:uid="{00000000-0002-0000-0700-000001000000}">
          <x14:formula1>
            <xm:f>'DATOS &lt;'!$B$118:$B$124</xm:f>
          </x14:formula1>
          <xm:sqref>J13</xm:sqref>
        </x14:dataValidation>
        <x14:dataValidation type="list" allowBlank="1" showInputMessage="1" showErrorMessage="1" xr:uid="{00000000-0002-0000-0700-000002000000}">
          <x14:formula1>
            <xm:f>'DATOS &lt;'!$B$131:$B$135</xm:f>
          </x14:formula1>
          <xm:sqref>I26</xm:sqref>
        </x14:dataValidation>
        <x14:dataValidation type="list" allowBlank="1" showInputMessage="1" showErrorMessage="1" xr:uid="{00000000-0002-0000-0700-000003000000}">
          <x14:formula1>
            <xm:f>'DATOS &lt;'!$N$82:$N$134</xm:f>
          </x14:formula1>
          <xm:sqref>E6</xm:sqref>
        </x14:dataValidation>
        <x14:dataValidation type="list" allowBlank="1" showInputMessage="1" showErrorMessage="1" xr:uid="{00000000-0002-0000-0700-000004000000}">
          <x14:formula1>
            <xm:f>'DATOS &lt;'!$I$202:$I$205</xm:f>
          </x14:formula1>
          <xm:sqref>J19:J20</xm:sqref>
        </x14:dataValidation>
        <x14:dataValidation type="list" allowBlank="1" showInputMessage="1" showErrorMessage="1" xr:uid="{00000000-0002-0000-0700-000005000000}">
          <x14:formula1>
            <xm:f>'DATOS &lt;'!$I$129:$I$130</xm:f>
          </x14:formula1>
          <xm:sqref>N39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91"/>
      <c r="B1" s="1392"/>
      <c r="C1" s="1393" t="s">
        <v>0</v>
      </c>
      <c r="D1" s="1394"/>
      <c r="E1" s="1394"/>
      <c r="F1" s="1394"/>
      <c r="G1" s="1394"/>
      <c r="H1" s="1394"/>
      <c r="I1" s="1394"/>
      <c r="J1" s="1394"/>
      <c r="K1" s="1394"/>
      <c r="L1" s="1394"/>
      <c r="M1" s="1395"/>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96"/>
      <c r="J3" s="1397"/>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98"/>
      <c r="J4" s="1399"/>
      <c r="K4" s="581"/>
    </row>
    <row r="5" spans="1:16" ht="6.75" customHeight="1" thickBot="1" x14ac:dyDescent="0.25">
      <c r="A5" s="93"/>
      <c r="B5" s="93"/>
      <c r="C5" s="93"/>
      <c r="D5" s="581"/>
      <c r="E5" s="581"/>
      <c r="F5" s="93"/>
      <c r="G5" s="93"/>
      <c r="H5" s="93"/>
      <c r="I5" s="581"/>
      <c r="J5" s="581"/>
    </row>
    <row r="6" spans="1:16" ht="31.5" customHeight="1" thickBot="1" x14ac:dyDescent="0.25">
      <c r="A6" s="1400" t="s">
        <v>9</v>
      </c>
      <c r="B6" s="1401"/>
      <c r="C6" s="1401"/>
      <c r="D6" s="1402"/>
      <c r="E6" s="4"/>
      <c r="F6" s="1400" t="s">
        <v>10</v>
      </c>
      <c r="G6" s="1401"/>
      <c r="H6" s="1401"/>
      <c r="I6" s="1402"/>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54" t="s">
        <v>16</v>
      </c>
      <c r="G9" s="1355"/>
      <c r="H9" s="608" t="e">
        <f>(VLOOKUP($J$6,'DATOS &lt;'!B47:I79,6,FALSE))/1000</f>
        <v>#N/A</v>
      </c>
      <c r="I9" s="602" t="s">
        <v>17</v>
      </c>
      <c r="K9" s="749"/>
    </row>
    <row r="10" spans="1:16" s="609" customFormat="1" ht="31.5" customHeight="1" x14ac:dyDescent="0.25">
      <c r="A10" s="1354" t="s">
        <v>18</v>
      </c>
      <c r="B10" s="1355"/>
      <c r="C10" s="28" t="e">
        <f>(VLOOKUP($E$6,'DATOS &lt;'!N82:AC134,8,FALSE))/1000</f>
        <v>#N/A</v>
      </c>
      <c r="D10" s="602" t="s">
        <v>17</v>
      </c>
      <c r="F10" s="1354" t="s">
        <v>19</v>
      </c>
      <c r="G10" s="1355"/>
      <c r="H10" s="610" t="e">
        <f>VLOOKUP($J$6,'DATOS &lt;'!B47:I79,7,FALSE)</f>
        <v>#N/A</v>
      </c>
      <c r="I10" s="602" t="s">
        <v>20</v>
      </c>
      <c r="J10" s="611"/>
    </row>
    <row r="11" spans="1:16" s="609" customFormat="1" ht="31.5" customHeight="1" thickBot="1" x14ac:dyDescent="0.3">
      <c r="A11" s="1354" t="s">
        <v>21</v>
      </c>
      <c r="B11" s="1355"/>
      <c r="C11" s="28" t="e">
        <f>VLOOKUP($E$6,'DATOS &lt;'!N82:AC134,10,FALSE)</f>
        <v>#N/A</v>
      </c>
      <c r="D11" s="602" t="s">
        <v>22</v>
      </c>
      <c r="E11" s="612"/>
      <c r="F11" s="1384" t="s">
        <v>23</v>
      </c>
      <c r="G11" s="1385"/>
      <c r="H11" s="613" t="e">
        <f>VLOOKUP($J$6,'DATOS &lt;'!B47:I79,8,FALSE)</f>
        <v>#N/A</v>
      </c>
      <c r="I11" s="614" t="s">
        <v>20</v>
      </c>
      <c r="J11" s="611"/>
    </row>
    <row r="12" spans="1:16" s="609" customFormat="1" ht="31.5" customHeight="1" thickBot="1" x14ac:dyDescent="0.3">
      <c r="A12" s="1354" t="s">
        <v>24</v>
      </c>
      <c r="B12" s="1355"/>
      <c r="C12" s="28" t="e">
        <f>VLOOKUP($E$6,'DATOS &lt;'!N82:AC134,12,FALSE)</f>
        <v>#N/A</v>
      </c>
      <c r="D12" s="602" t="s">
        <v>22</v>
      </c>
      <c r="E12" s="611"/>
      <c r="F12" s="611"/>
      <c r="G12" s="611"/>
      <c r="H12" s="611"/>
    </row>
    <row r="13" spans="1:16" s="609" customFormat="1" ht="31.5" customHeight="1" thickBot="1" x14ac:dyDescent="0.3">
      <c r="A13" s="1354" t="s">
        <v>25</v>
      </c>
      <c r="B13" s="1355"/>
      <c r="C13" s="153" t="e">
        <f>VLOOKUP($E$6,'DATOS &lt;'!N82:AC134,13,FALSE)</f>
        <v>#N/A</v>
      </c>
      <c r="D13" s="602" t="s">
        <v>20</v>
      </c>
      <c r="E13" s="611"/>
      <c r="F13" s="1386" t="s">
        <v>27</v>
      </c>
      <c r="G13" s="1387"/>
      <c r="H13" s="1387"/>
      <c r="I13" s="1388"/>
      <c r="J13" s="5"/>
    </row>
    <row r="14" spans="1:16" s="609" customFormat="1" ht="31.5" customHeight="1" x14ac:dyDescent="0.2">
      <c r="A14" s="1354" t="s">
        <v>28</v>
      </c>
      <c r="B14" s="1355"/>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60" t="s">
        <v>29</v>
      </c>
      <c r="B15" s="1361"/>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62" t="s">
        <v>31</v>
      </c>
      <c r="B16" s="1363"/>
      <c r="C16" s="1364" t="e">
        <f>VLOOKUP($E$6,'DATOS &lt;'!N82:AC134,16,FALSE)</f>
        <v>#N/A</v>
      </c>
      <c r="D16" s="1365"/>
      <c r="F16" s="581"/>
      <c r="G16" s="581"/>
      <c r="H16" s="581"/>
      <c r="I16" s="581"/>
      <c r="J16" s="581"/>
    </row>
    <row r="17" spans="1:14" ht="30.95" customHeight="1" thickBot="1" x14ac:dyDescent="0.25"/>
    <row r="18" spans="1:14" ht="31.5" customHeight="1" thickBot="1" x14ac:dyDescent="0.25">
      <c r="A18" s="1307" t="s">
        <v>32</v>
      </c>
      <c r="B18" s="1308"/>
      <c r="C18" s="1308"/>
      <c r="D18" s="1308"/>
      <c r="E18" s="1308"/>
      <c r="F18" s="1308"/>
      <c r="G18" s="1308"/>
      <c r="H18" s="1308"/>
      <c r="I18" s="1308"/>
      <c r="J18" s="1308"/>
      <c r="K18" s="1308"/>
      <c r="L18" s="1308"/>
      <c r="M18" s="1308"/>
      <c r="N18" s="1309"/>
    </row>
    <row r="19" spans="1:14" ht="46.5" customHeight="1" thickBot="1" x14ac:dyDescent="0.25">
      <c r="A19" s="618" t="s">
        <v>12</v>
      </c>
      <c r="B19" s="619" t="e">
        <f>VLOOKUP($J$19,'DATOS &lt;'!I202:V206,2,FALSE)</f>
        <v>#N/A</v>
      </c>
      <c r="C19" s="620" t="s">
        <v>33</v>
      </c>
      <c r="D19" s="621" t="e">
        <f>VLOOKUP(J19,'DATOS &lt;'!I202:V206,3,FALSE)</f>
        <v>#N/A</v>
      </c>
      <c r="E19" s="622" t="s">
        <v>8</v>
      </c>
      <c r="F19" s="1366" t="e">
        <f>VLOOKUP(J19,'DATOS &lt;'!I202:V206,5,FALSE)</f>
        <v>#N/A</v>
      </c>
      <c r="G19" s="1367"/>
      <c r="H19" s="620" t="s">
        <v>34</v>
      </c>
      <c r="I19" s="623" t="e">
        <f>VLOOKUP(J19,'DATOS &lt;'!I202:V206,4,FALSE)</f>
        <v>#N/A</v>
      </c>
      <c r="J19" s="1389"/>
    </row>
    <row r="20" spans="1:14" ht="31.5" customHeight="1" thickBot="1" x14ac:dyDescent="0.25">
      <c r="A20" s="1368" t="s">
        <v>35</v>
      </c>
      <c r="B20" s="1369"/>
      <c r="C20" s="624" t="s">
        <v>36</v>
      </c>
      <c r="D20" s="619" t="e">
        <f>VLOOKUP(J19,'DATOS &lt;'!I202:V206,6,FALSE)</f>
        <v>#N/A</v>
      </c>
      <c r="E20" s="1370" t="s">
        <v>37</v>
      </c>
      <c r="F20" s="1371"/>
      <c r="G20" s="619" t="e">
        <f>VLOOKUP(J19,'DATOS &lt;'!I202:V206,7,FALSE)</f>
        <v>#N/A</v>
      </c>
      <c r="H20" s="620" t="s">
        <v>38</v>
      </c>
      <c r="I20" s="625" t="e">
        <f>VLOOKUP(J19,'DATOS &lt;'!I202:V206,8,FALSE)</f>
        <v>#N/A</v>
      </c>
      <c r="J20" s="1390"/>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07" t="s">
        <v>39</v>
      </c>
      <c r="B22" s="1308"/>
      <c r="C22" s="1308"/>
      <c r="D22" s="1308"/>
      <c r="E22" s="1308"/>
      <c r="F22" s="1308"/>
      <c r="G22" s="1308"/>
      <c r="H22" s="1308"/>
      <c r="I22" s="1308"/>
      <c r="J22" s="1308"/>
      <c r="K22" s="1308"/>
      <c r="L22" s="1308"/>
      <c r="M22" s="1308"/>
      <c r="N22" s="1309"/>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372" t="s">
        <v>36</v>
      </c>
      <c r="D24" s="1373"/>
      <c r="E24" s="1"/>
      <c r="F24" s="1374" t="s">
        <v>37</v>
      </c>
      <c r="G24" s="1375"/>
      <c r="H24" s="2"/>
      <c r="I24" s="632" t="s">
        <v>38</v>
      </c>
      <c r="J24" s="155"/>
    </row>
    <row r="25" spans="1:14" s="627" customFormat="1" ht="15" customHeight="1" thickBot="1" x14ac:dyDescent="0.25">
      <c r="A25" s="626"/>
      <c r="B25" s="626"/>
      <c r="C25" s="626"/>
      <c r="D25" s="626"/>
      <c r="E25" s="626"/>
      <c r="F25" s="626"/>
      <c r="I25" s="626"/>
    </row>
    <row r="26" spans="1:14" s="627" customFormat="1" ht="31.5" customHeight="1" thickBot="1" x14ac:dyDescent="0.25">
      <c r="A26" s="750" t="s">
        <v>41</v>
      </c>
      <c r="B26" s="751">
        <v>3</v>
      </c>
      <c r="C26" s="1378" t="s">
        <v>42</v>
      </c>
      <c r="D26" s="1379"/>
      <c r="E26" s="1380"/>
      <c r="F26" s="626"/>
      <c r="H26" s="626"/>
      <c r="I26" s="6"/>
    </row>
    <row r="27" spans="1:14" s="627" customFormat="1" ht="31.5" customHeight="1" thickBot="1" x14ac:dyDescent="0.25">
      <c r="A27" s="1356" t="s">
        <v>43</v>
      </c>
      <c r="B27" s="1415"/>
      <c r="C27" s="752">
        <v>1</v>
      </c>
      <c r="D27" s="635">
        <v>2</v>
      </c>
      <c r="E27" s="636">
        <v>3</v>
      </c>
      <c r="F27" s="626"/>
      <c r="H27" s="1376" t="s">
        <v>44</v>
      </c>
      <c r="I27" s="1377"/>
    </row>
    <row r="28" spans="1:14" s="627" customFormat="1" ht="31.5" customHeight="1" thickBot="1" x14ac:dyDescent="0.25">
      <c r="A28" s="1381" t="s">
        <v>45</v>
      </c>
      <c r="B28" s="637" t="s">
        <v>46</v>
      </c>
      <c r="C28" s="395"/>
      <c r="D28" s="118"/>
      <c r="E28" s="119"/>
      <c r="F28" s="626"/>
      <c r="G28" s="626"/>
      <c r="H28" s="1358" t="e">
        <f>VLOOKUP($I$26,'DATOS &lt;'!$B$131:$G$135,2,FALSE)</f>
        <v>#N/A</v>
      </c>
      <c r="I28" s="1359"/>
      <c r="J28" s="626"/>
    </row>
    <row r="29" spans="1:14" s="627" customFormat="1" ht="31.5" customHeight="1" x14ac:dyDescent="0.2">
      <c r="A29" s="1382"/>
      <c r="B29" s="638" t="s">
        <v>47</v>
      </c>
      <c r="C29" s="540"/>
      <c r="D29" s="181"/>
      <c r="E29" s="182"/>
      <c r="F29" s="626"/>
      <c r="G29" s="626"/>
      <c r="H29" s="626"/>
      <c r="I29" s="626"/>
      <c r="J29" s="626"/>
    </row>
    <row r="30" spans="1:14" s="627" customFormat="1" ht="31.5" customHeight="1" x14ac:dyDescent="0.2">
      <c r="A30" s="1382"/>
      <c r="B30" s="638" t="s">
        <v>47</v>
      </c>
      <c r="C30" s="540"/>
      <c r="D30" s="181"/>
      <c r="E30" s="182"/>
      <c r="F30" s="626"/>
      <c r="G30" s="626"/>
      <c r="H30" s="626"/>
      <c r="I30" s="626"/>
      <c r="J30" s="626"/>
    </row>
    <row r="31" spans="1:14" s="627" customFormat="1" ht="31.5" customHeight="1" thickBot="1" x14ac:dyDescent="0.25">
      <c r="A31" s="1383"/>
      <c r="B31" s="639" t="s">
        <v>46</v>
      </c>
      <c r="C31" s="541"/>
      <c r="D31" s="183"/>
      <c r="E31" s="184"/>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372" t="s">
        <v>36</v>
      </c>
      <c r="D33" s="1373"/>
      <c r="E33" s="1"/>
      <c r="F33" s="1374" t="s">
        <v>37</v>
      </c>
      <c r="G33" s="1375"/>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07" t="s">
        <v>49</v>
      </c>
      <c r="B36" s="1308"/>
      <c r="C36" s="1308"/>
      <c r="D36" s="1308"/>
      <c r="E36" s="1308"/>
      <c r="F36" s="1308"/>
      <c r="G36" s="1308"/>
      <c r="H36" s="1308"/>
      <c r="I36" s="1308"/>
      <c r="J36" s="1308"/>
      <c r="K36" s="1308"/>
      <c r="L36" s="1308"/>
      <c r="M36" s="1308"/>
      <c r="N36" s="1309"/>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78" t="s">
        <v>50</v>
      </c>
      <c r="C38" s="1379"/>
      <c r="D38" s="1379"/>
      <c r="E38" s="1380"/>
      <c r="F38" s="626"/>
      <c r="G38" s="626"/>
      <c r="H38" s="1314" t="s">
        <v>51</v>
      </c>
      <c r="I38" s="1315"/>
      <c r="J38" s="1315"/>
      <c r="K38" s="1315"/>
      <c r="L38" s="1315"/>
      <c r="M38" s="1316"/>
    </row>
    <row r="39" spans="1:14" s="627" customFormat="1" ht="31.5" customHeight="1" thickBot="1" x14ac:dyDescent="0.25">
      <c r="A39" s="626"/>
      <c r="B39" s="643" t="s">
        <v>43</v>
      </c>
      <c r="C39" s="644">
        <v>1</v>
      </c>
      <c r="D39" s="645">
        <v>2</v>
      </c>
      <c r="E39" s="646">
        <v>3</v>
      </c>
      <c r="F39" s="626"/>
      <c r="G39" s="626"/>
      <c r="H39" s="1317" t="e">
        <f>VLOOKUP($N$39,'DATOS &lt;'!$I$127:$L$130,2,FALSE)</f>
        <v>#N/A</v>
      </c>
      <c r="I39" s="1318"/>
      <c r="J39" s="1318"/>
      <c r="K39" s="1318"/>
      <c r="L39" s="1318"/>
      <c r="M39" s="1319"/>
      <c r="N39" s="1293"/>
    </row>
    <row r="40" spans="1:14" s="627" customFormat="1" ht="31.5" customHeight="1" x14ac:dyDescent="0.2">
      <c r="A40" s="647"/>
      <c r="B40" s="648"/>
      <c r="C40" s="649" t="e">
        <f>+AVERAGE(C28,C31)</f>
        <v>#DIV/0!</v>
      </c>
      <c r="D40" s="650" t="e">
        <f>+AVERAGE(D28,D31)</f>
        <v>#DIV/0!</v>
      </c>
      <c r="E40" s="651" t="e">
        <f>+AVERAGE(E28,E31)</f>
        <v>#DIV/0!</v>
      </c>
      <c r="F40" s="626"/>
      <c r="G40" s="626"/>
      <c r="H40" s="1320" t="s">
        <v>532</v>
      </c>
      <c r="I40" s="1321"/>
      <c r="J40" s="1321"/>
      <c r="K40" s="1321"/>
      <c r="L40" s="1321"/>
      <c r="M40" s="1322"/>
    </row>
    <row r="41" spans="1:14" s="627" customFormat="1" ht="31.5" customHeight="1" x14ac:dyDescent="0.2">
      <c r="A41" s="647"/>
      <c r="B41" s="652"/>
      <c r="C41" s="653" t="e">
        <f>+AVERAGE(C29:C30)</f>
        <v>#DIV/0!</v>
      </c>
      <c r="D41" s="654" t="e">
        <f>+AVERAGE(D29:D30)</f>
        <v>#DIV/0!</v>
      </c>
      <c r="E41" s="655" t="e">
        <f>+AVERAGE(E29:E30)</f>
        <v>#DIV/0!</v>
      </c>
      <c r="F41" s="626"/>
      <c r="G41" s="626"/>
      <c r="H41" s="1323"/>
      <c r="I41" s="1324"/>
      <c r="J41" s="1324"/>
      <c r="K41" s="1324"/>
      <c r="L41" s="1324"/>
      <c r="M41" s="1325"/>
    </row>
    <row r="42" spans="1:14" s="627" customFormat="1" ht="31.5" customHeight="1" thickBot="1" x14ac:dyDescent="0.25">
      <c r="A42" s="647"/>
      <c r="B42" s="656"/>
      <c r="C42" s="657" t="e">
        <f>+C41-C40</f>
        <v>#DIV/0!</v>
      </c>
      <c r="D42" s="658" t="e">
        <f>+D41-D40</f>
        <v>#DIV/0!</v>
      </c>
      <c r="E42" s="659" t="e">
        <f>+E41-E40</f>
        <v>#DIV/0!</v>
      </c>
      <c r="F42" s="626"/>
      <c r="G42" s="626"/>
      <c r="H42" s="1326"/>
      <c r="I42" s="1327"/>
      <c r="J42" s="1327"/>
      <c r="K42" s="1327"/>
      <c r="L42" s="1327"/>
      <c r="M42" s="1328"/>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07" t="s">
        <v>54</v>
      </c>
      <c r="B46" s="1308"/>
      <c r="C46" s="1308"/>
      <c r="D46" s="1308"/>
      <c r="E46" s="1308"/>
      <c r="F46" s="1308"/>
      <c r="G46" s="1308"/>
      <c r="H46" s="1308"/>
      <c r="I46" s="1308"/>
      <c r="J46" s="1308"/>
      <c r="K46" s="1308"/>
      <c r="L46" s="1308"/>
      <c r="M46" s="1308"/>
      <c r="N46" s="1309"/>
    </row>
    <row r="47" spans="1:14" s="627" customFormat="1" ht="31.5" customHeight="1" thickBot="1" x14ac:dyDescent="0.25">
      <c r="A47" s="1403" t="s">
        <v>55</v>
      </c>
      <c r="B47" s="1404"/>
      <c r="C47" s="1407" t="s">
        <v>56</v>
      </c>
      <c r="D47" s="1408"/>
      <c r="E47" s="1409"/>
      <c r="F47" s="626"/>
      <c r="G47" s="626"/>
      <c r="H47" s="626"/>
      <c r="I47" s="626"/>
      <c r="J47" s="626"/>
    </row>
    <row r="48" spans="1:14" s="627" customFormat="1" ht="36.75" customHeight="1" thickBot="1" x14ac:dyDescent="0.25">
      <c r="A48" s="1405"/>
      <c r="B48" s="1406"/>
      <c r="C48" s="665" t="s">
        <v>36</v>
      </c>
      <c r="D48" s="666" t="s">
        <v>37</v>
      </c>
      <c r="E48" s="667" t="s">
        <v>38</v>
      </c>
      <c r="G48" s="1299" t="s">
        <v>57</v>
      </c>
      <c r="H48" s="1300"/>
      <c r="I48" s="754" t="e">
        <f>+(0.34848*E50-0.009*D50*EXP(0.061*C50))/(273.15+C50)</f>
        <v>#DIV/0!</v>
      </c>
      <c r="J48" s="669" t="s">
        <v>58</v>
      </c>
    </row>
    <row r="49" spans="1:21" s="627" customFormat="1" ht="33" customHeight="1" thickBot="1" x14ac:dyDescent="0.25">
      <c r="A49" s="1312" t="s">
        <v>59</v>
      </c>
      <c r="B49" s="1313"/>
      <c r="C49" s="670" t="e">
        <f>+AVERAGE(E33,E24)</f>
        <v>#DIV/0!</v>
      </c>
      <c r="D49" s="671" t="e">
        <f>+AVERAGE(H33,H24)</f>
        <v>#DIV/0!</v>
      </c>
      <c r="E49" s="672" t="e">
        <f>+AVERAGE(J33,J24)</f>
        <v>#DIV/0!</v>
      </c>
      <c r="G49" s="1310" t="s">
        <v>60</v>
      </c>
      <c r="H49" s="1311"/>
      <c r="I49" s="673" t="e">
        <f>I48*((0.0001)^2+(0.001*I20/2)^2+(-0.0034*D20/2)^2+(-0.01*G20/2)^2)^0.5</f>
        <v>#DIV/0!</v>
      </c>
      <c r="J49" s="674" t="s">
        <v>58</v>
      </c>
    </row>
    <row r="50" spans="1:21" s="627" customFormat="1" ht="36.75" customHeight="1" thickBot="1" x14ac:dyDescent="0.25">
      <c r="A50" s="1297" t="s">
        <v>61</v>
      </c>
      <c r="B50" s="129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299" t="s">
        <v>62</v>
      </c>
      <c r="H50" s="1300"/>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07" t="s">
        <v>63</v>
      </c>
      <c r="B52" s="1308"/>
      <c r="C52" s="1308"/>
      <c r="D52" s="1308"/>
      <c r="E52" s="1308"/>
      <c r="F52" s="1308"/>
      <c r="G52" s="1308"/>
      <c r="H52" s="1308"/>
      <c r="I52" s="1308"/>
      <c r="J52" s="1308"/>
      <c r="K52" s="1308"/>
      <c r="L52" s="1308"/>
      <c r="M52" s="1308"/>
      <c r="N52" s="1309"/>
    </row>
    <row r="53" spans="1:21" s="627" customFormat="1" ht="31.5" customHeight="1" x14ac:dyDescent="0.35">
      <c r="A53" s="626"/>
      <c r="B53" s="680" t="s">
        <v>64</v>
      </c>
      <c r="C53" s="681"/>
      <c r="D53" s="1301" t="s">
        <v>65</v>
      </c>
      <c r="E53" s="1301"/>
      <c r="F53" s="682" t="s">
        <v>66</v>
      </c>
      <c r="G53" s="683" t="s">
        <v>67</v>
      </c>
      <c r="H53" s="1302" t="s">
        <v>68</v>
      </c>
      <c r="I53" s="1303"/>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07" t="s">
        <v>69</v>
      </c>
      <c r="B56" s="1308"/>
      <c r="C56" s="1308"/>
      <c r="D56" s="1308"/>
      <c r="E56" s="1308"/>
      <c r="F56" s="1308"/>
      <c r="G56" s="1308"/>
      <c r="H56" s="1308"/>
      <c r="I56" s="1308"/>
      <c r="J56" s="1308"/>
      <c r="K56" s="1308"/>
      <c r="L56" s="1308"/>
      <c r="M56" s="1308"/>
      <c r="N56" s="1309"/>
    </row>
    <row r="57" spans="1:21" s="627" customFormat="1" ht="15" customHeight="1" thickBot="1" x14ac:dyDescent="0.25">
      <c r="A57" s="626"/>
      <c r="B57" s="626"/>
      <c r="C57" s="626"/>
      <c r="D57" s="626"/>
      <c r="E57" s="626"/>
    </row>
    <row r="58" spans="1:21" s="627" customFormat="1" ht="31.5" customHeight="1" thickBot="1" x14ac:dyDescent="0.25">
      <c r="A58" s="1345" t="s">
        <v>56</v>
      </c>
      <c r="B58" s="1346"/>
      <c r="C58" s="1347" t="s">
        <v>70</v>
      </c>
      <c r="D58" s="1348"/>
      <c r="E58" s="1349" t="s">
        <v>71</v>
      </c>
      <c r="F58" s="1350"/>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0" t="s">
        <v>77</v>
      </c>
      <c r="J60" s="1411"/>
      <c r="K60" s="1411"/>
      <c r="L60" s="1411"/>
      <c r="M60" s="1411"/>
      <c r="N60" s="1412"/>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12" t="s">
        <v>96</v>
      </c>
      <c r="E70" s="1313"/>
      <c r="F70" s="727"/>
      <c r="G70" s="728" t="e">
        <f>+SQRT(SUMSQ(C59,C62,C66,C67,C68))</f>
        <v>#DIV/0!</v>
      </c>
      <c r="H70" s="729" t="s">
        <v>22</v>
      </c>
      <c r="K70" s="627"/>
      <c r="L70" s="627"/>
      <c r="M70" s="627"/>
      <c r="S70" s="627"/>
      <c r="T70" s="627"/>
      <c r="U70" s="627"/>
    </row>
    <row r="71" spans="1:21" s="92" customFormat="1" ht="35.1" customHeight="1" thickBot="1" x14ac:dyDescent="0.25">
      <c r="D71" s="1312" t="s">
        <v>97</v>
      </c>
      <c r="E71" s="1313"/>
      <c r="F71" s="730"/>
      <c r="G71" s="728" t="e">
        <f>+G70*2</f>
        <v>#DIV/0!</v>
      </c>
      <c r="H71" s="731" t="s">
        <v>22</v>
      </c>
      <c r="K71" s="95"/>
      <c r="O71" s="627"/>
      <c r="P71" s="627"/>
      <c r="Q71" s="627"/>
      <c r="R71" s="627"/>
      <c r="S71" s="627"/>
      <c r="T71" s="627"/>
      <c r="U71" s="627"/>
    </row>
    <row r="72" spans="1:21" s="92" customFormat="1" ht="33.75" customHeight="1" thickBot="1" x14ac:dyDescent="4.45">
      <c r="B72" s="1304" t="s">
        <v>98</v>
      </c>
      <c r="C72" s="1305"/>
      <c r="D72" s="1305"/>
      <c r="E72" s="1305"/>
      <c r="F72" s="1305"/>
      <c r="G72" s="1305"/>
      <c r="H72" s="1305"/>
      <c r="I72" s="1305"/>
      <c r="J72" s="1305"/>
      <c r="K72" s="1306"/>
      <c r="L72" s="732"/>
      <c r="O72" s="627"/>
      <c r="P72" s="627"/>
      <c r="Q72" s="627"/>
      <c r="R72" s="627"/>
      <c r="S72" s="627"/>
      <c r="T72" s="627"/>
      <c r="U72" s="627"/>
    </row>
    <row r="73" spans="1:21" s="92" customFormat="1" ht="35.1" customHeight="1" thickBot="1" x14ac:dyDescent="0.25">
      <c r="B73" s="1329" t="s">
        <v>99</v>
      </c>
      <c r="C73" s="1330"/>
      <c r="D73" s="1330"/>
      <c r="E73" s="1331"/>
      <c r="F73" s="733"/>
      <c r="G73" s="734"/>
      <c r="H73" s="1332"/>
      <c r="I73" s="1333"/>
      <c r="J73" s="1333"/>
      <c r="K73" s="1334"/>
      <c r="O73" s="627"/>
      <c r="P73" s="627"/>
      <c r="Q73" s="627"/>
      <c r="R73" s="627"/>
      <c r="S73" s="627"/>
      <c r="T73" s="627"/>
      <c r="U73" s="627"/>
    </row>
    <row r="74" spans="1:21" s="92" customFormat="1" ht="40.5" customHeight="1" x14ac:dyDescent="0.2">
      <c r="B74" s="1061"/>
      <c r="C74" s="735" t="s">
        <v>100</v>
      </c>
      <c r="D74" s="736" t="s">
        <v>101</v>
      </c>
      <c r="E74" s="737"/>
      <c r="F74" s="1335"/>
      <c r="G74" s="1335"/>
      <c r="H74" s="1336" t="s">
        <v>102</v>
      </c>
      <c r="I74" s="1413" t="s">
        <v>103</v>
      </c>
      <c r="J74" s="1413"/>
      <c r="K74" s="1414"/>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37"/>
      <c r="I75" s="1243" t="e">
        <f>ROUNDUP(G70*K68,2-1-INT(LOG10(ABS(G70*K68))))</f>
        <v>#DIV/0!</v>
      </c>
      <c r="J75" s="1341"/>
      <c r="K75" s="1342"/>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75" t="e">
        <f>F75/1000</f>
        <v>#N/A</v>
      </c>
      <c r="G76" s="747"/>
      <c r="H76" s="1338"/>
      <c r="I76" s="746" t="e">
        <f>I75/1000</f>
        <v>#DIV/0!</v>
      </c>
      <c r="J76" s="1343"/>
      <c r="K76" s="1344"/>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s>
  <conditionalFormatting sqref="G59 G62 G66:G68">
    <cfRule type="cellIs" dxfId="13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'DATOS &lt;'!$B$7:$B$19</xm:f>
          </x14:formula1>
          <xm:sqref>I3:J4</xm:sqref>
        </x14:dataValidation>
        <x14:dataValidation type="list" allowBlank="1" showInputMessage="1" showErrorMessage="1" xr:uid="{00000000-0002-0000-0800-000001000000}">
          <x14:formula1>
            <xm:f>'DATOS &lt;'!$B$118:$B$124</xm:f>
          </x14:formula1>
          <xm:sqref>J13</xm:sqref>
        </x14:dataValidation>
        <x14:dataValidation type="list" allowBlank="1" showInputMessage="1" showErrorMessage="1" xr:uid="{00000000-0002-0000-0800-000002000000}">
          <x14:formula1>
            <xm:f>'DATOS &lt;'!$B$131:$B$135</xm:f>
          </x14:formula1>
          <xm:sqref>I26</xm:sqref>
        </x14:dataValidation>
        <x14:dataValidation type="list" allowBlank="1" showInputMessage="1" showErrorMessage="1" xr:uid="{00000000-0002-0000-0800-000003000000}">
          <x14:formula1>
            <xm:f>'DATOS &lt;'!$N$82:$N$134</xm:f>
          </x14:formula1>
          <xm:sqref>E6</xm:sqref>
        </x14:dataValidation>
        <x14:dataValidation type="list" allowBlank="1" showInputMessage="1" showErrorMessage="1" xr:uid="{00000000-0002-0000-0800-000004000000}">
          <x14:formula1>
            <xm:f>'DATOS &lt;'!$I$202:$I$205</xm:f>
          </x14:formula1>
          <xm:sqref>J19:J20</xm:sqref>
        </x14:dataValidation>
        <x14:dataValidation type="list" allowBlank="1" showInputMessage="1" showErrorMessage="1" xr:uid="{00000000-0002-0000-0800-000005000000}">
          <x14:formula1>
            <xm:f>'DATOS &lt;'!$I$129:$I$130</xm:f>
          </x14:formula1>
          <xm:sqref>N39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77fbba6-218f-4b47-97d6-7d2e76c99511">
      <Terms xmlns="http://schemas.microsoft.com/office/infopath/2007/PartnerControls"/>
    </lcf76f155ced4ddcb4097134ff3c332f>
    <TaxCatchAll xmlns="76bf1092-07a7-4d49-8efa-9c03eb38496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D31E3AD115C5347982FF35605B89D07" ma:contentTypeVersion="14" ma:contentTypeDescription="Crear nuevo documento." ma:contentTypeScope="" ma:versionID="cfcf5ef5e68e1f20267f6c9c733a4a3f">
  <xsd:schema xmlns:xsd="http://www.w3.org/2001/XMLSchema" xmlns:xs="http://www.w3.org/2001/XMLSchema" xmlns:p="http://schemas.microsoft.com/office/2006/metadata/properties" xmlns:ns2="777fbba6-218f-4b47-97d6-7d2e76c99511" xmlns:ns3="76bf1092-07a7-4d49-8efa-9c03eb38496f" targetNamespace="http://schemas.microsoft.com/office/2006/metadata/properties" ma:root="true" ma:fieldsID="985a6c3c8d68af41e3b6852594c2c8c2" ns2:_="" ns3:_="">
    <xsd:import namespace="777fbba6-218f-4b47-97d6-7d2e76c99511"/>
    <xsd:import namespace="76bf1092-07a7-4d49-8efa-9c03eb38496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7fbba6-218f-4b47-97d6-7d2e76c9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f1092-07a7-4d49-8efa-9c03eb3849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98994f9-6030-4f5e-b127-f24f7fbb7519}" ma:internalName="TaxCatchAll" ma:showField="CatchAllData" ma:web="76bf1092-07a7-4d49-8efa-9c03eb38496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A9A6EA-4277-4939-A9A5-D0A14A5A9503}">
  <ds:schemaRefs>
    <ds:schemaRef ds:uri="777fbba6-218f-4b47-97d6-7d2e76c99511"/>
    <ds:schemaRef ds:uri="http://schemas.microsoft.com/office/2006/documentManagement/types"/>
    <ds:schemaRef ds:uri="http://schemas.microsoft.com/office/infopath/2007/PartnerControls"/>
    <ds:schemaRef ds:uri="http://purl.org/dc/elements/1.1/"/>
    <ds:schemaRef ds:uri="http://schemas.microsoft.com/office/2006/metadata/properties"/>
    <ds:schemaRef ds:uri="76bf1092-07a7-4d49-8efa-9c03eb38496f"/>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34FD42F3-29B4-48A1-B936-0EB2A6FF60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7fbba6-218f-4b47-97d6-7d2e76c99511"/>
    <ds:schemaRef ds:uri="76bf1092-07a7-4d49-8efa-9c03eb3849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8B3883-4E0B-49E4-A73F-B51F5EC5DD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157</vt:i4>
      </vt:variant>
    </vt:vector>
  </HeadingPairs>
  <TitlesOfParts>
    <vt:vector size="202" baseType="lpstr">
      <vt:lpstr>1 mg &lt; </vt:lpstr>
      <vt:lpstr>2 mg &lt;</vt:lpstr>
      <vt:lpstr>2 mg + &lt; </vt:lpstr>
      <vt:lpstr>5 mg &lt; </vt:lpstr>
      <vt:lpstr>10 mg &lt; </vt:lpstr>
      <vt:lpstr>20 mg &lt; </vt:lpstr>
      <vt:lpstr>20 mg + &lt; </vt:lpstr>
      <vt:lpstr>50 mg &lt; </vt:lpstr>
      <vt:lpstr>100 mg &lt; </vt:lpstr>
      <vt:lpstr>200 mg &lt; </vt:lpstr>
      <vt:lpstr>200 mg + &lt;</vt:lpstr>
      <vt:lpstr>500 mg &lt; </vt:lpstr>
      <vt:lpstr>RT03-F13 (mg)&lt; </vt:lpstr>
      <vt:lpstr>RT03-F13 (g) &lt;</vt:lpstr>
      <vt:lpstr>mili Max-Min &lt; </vt:lpstr>
      <vt:lpstr>1 g &lt;</vt:lpstr>
      <vt:lpstr>2 g &lt;</vt:lpstr>
      <vt:lpstr>2 g + &lt;</vt:lpstr>
      <vt:lpstr>5 g &lt;</vt:lpstr>
      <vt:lpstr>10 g &lt;</vt:lpstr>
      <vt:lpstr>20 g &lt;</vt:lpstr>
      <vt:lpstr>20 g + &lt;</vt:lpstr>
      <vt:lpstr>50 g &lt;</vt:lpstr>
      <vt:lpstr>100 g &lt;</vt:lpstr>
      <vt:lpstr>200 g &lt;</vt:lpstr>
      <vt:lpstr>200 g + &lt;</vt:lpstr>
      <vt:lpstr>500 g &lt;</vt:lpstr>
      <vt:lpstr>1 kg &lt;</vt:lpstr>
      <vt:lpstr>2 kg &lt;</vt:lpstr>
      <vt:lpstr>2 kg + &lt;</vt:lpstr>
      <vt:lpstr>5 kg &lt;</vt:lpstr>
      <vt:lpstr>10 kg &lt;</vt:lpstr>
      <vt:lpstr>DATOS &lt;</vt:lpstr>
      <vt:lpstr>mili Pc &lt; </vt:lpstr>
      <vt:lpstr>gramo Pc &lt;</vt:lpstr>
      <vt:lpstr>Cert juego miligramo &lt;</vt:lpstr>
      <vt:lpstr>gramo Max-Min &lt; </vt:lpstr>
      <vt:lpstr>Cert Juego gramo &lt;</vt:lpstr>
      <vt:lpstr>Modifi Cert Juego gramo &lt;</vt:lpstr>
      <vt:lpstr>5 kg &lt; (C)</vt:lpstr>
      <vt:lpstr> Certi 5 kg &lt; (C)</vt:lpstr>
      <vt:lpstr>10 kg &lt; (C)</vt:lpstr>
      <vt:lpstr>Certi 10 kg &lt; (C)</vt:lpstr>
      <vt:lpstr>20 kg &lt; (C)</vt:lpstr>
      <vt:lpstr>Certi 20 kg &lt; (C)</vt:lpstr>
      <vt:lpstr>' Certi 5 kg &lt; (C)'!Área_de_impresión</vt:lpstr>
      <vt:lpstr>'1 g &lt;'!Área_de_impresión</vt:lpstr>
      <vt:lpstr>'1 kg &lt;'!Área_de_impresión</vt:lpstr>
      <vt:lpstr>'1 mg &lt; '!Área_de_impresión</vt:lpstr>
      <vt:lpstr>'10 g &lt;'!Área_de_impresión</vt:lpstr>
      <vt:lpstr>'10 kg &lt;'!Área_de_impresión</vt:lpstr>
      <vt:lpstr>'10 kg &lt; (C)'!Área_de_impresión</vt:lpstr>
      <vt:lpstr>'10 mg &lt; '!Área_de_impresión</vt:lpstr>
      <vt:lpstr>'100 g &lt;'!Área_de_impresión</vt:lpstr>
      <vt:lpstr>'100 mg &lt; '!Área_de_impresión</vt:lpstr>
      <vt:lpstr>'2 g + &lt;'!Área_de_impresión</vt:lpstr>
      <vt:lpstr>'2 g &lt;'!Área_de_impresión</vt:lpstr>
      <vt:lpstr>'2 kg + &lt;'!Área_de_impresión</vt:lpstr>
      <vt:lpstr>'2 kg &lt;'!Área_de_impresión</vt:lpstr>
      <vt:lpstr>'2 mg + &lt; '!Área_de_impresión</vt:lpstr>
      <vt:lpstr>'2 mg &lt;'!Área_de_impresión</vt:lpstr>
      <vt:lpstr>'20 g + &lt;'!Área_de_impresión</vt:lpstr>
      <vt:lpstr>'20 g &lt;'!Área_de_impresión</vt:lpstr>
      <vt:lpstr>'20 kg &lt; (C)'!Área_de_impresión</vt:lpstr>
      <vt:lpstr>'20 mg + &lt; '!Área_de_impresión</vt:lpstr>
      <vt:lpstr>'20 mg &lt; '!Área_de_impresión</vt:lpstr>
      <vt:lpstr>'200 g + &lt;'!Área_de_impresión</vt:lpstr>
      <vt:lpstr>'200 g &lt;'!Área_de_impresión</vt:lpstr>
      <vt:lpstr>'200 mg + &lt;'!Área_de_impresión</vt:lpstr>
      <vt:lpstr>'200 mg &lt; '!Área_de_impresión</vt:lpstr>
      <vt:lpstr>'5 g &lt;'!Área_de_impresión</vt:lpstr>
      <vt:lpstr>'5 kg &lt;'!Área_de_impresión</vt:lpstr>
      <vt:lpstr>'5 kg &lt; (C)'!Área_de_impresión</vt:lpstr>
      <vt:lpstr>'5 mg &lt; '!Área_de_impresión</vt:lpstr>
      <vt:lpstr>'50 g &lt;'!Área_de_impresión</vt:lpstr>
      <vt:lpstr>'50 mg &lt; '!Área_de_impresión</vt:lpstr>
      <vt:lpstr>'500 g &lt;'!Área_de_impresión</vt:lpstr>
      <vt:lpstr>'500 mg &lt; '!Área_de_impresión</vt:lpstr>
      <vt:lpstr>'Cert Juego gramo &lt;'!Área_de_impresión</vt:lpstr>
      <vt:lpstr>'Cert juego miligramo &lt;'!Área_de_impresión</vt:lpstr>
      <vt:lpstr>'Certi 10 kg &lt; (C)'!Área_de_impresión</vt:lpstr>
      <vt:lpstr>'Certi 20 kg &lt; (C)'!Área_de_impresión</vt:lpstr>
      <vt:lpstr>'DATOS &lt;'!Área_de_impresión</vt:lpstr>
      <vt:lpstr>'gramo Max-Min &lt; '!Área_de_impresión</vt:lpstr>
      <vt:lpstr>'gramo Pc &lt;'!Área_de_impresión</vt:lpstr>
      <vt:lpstr>'mili Max-Min &lt; '!Área_de_impresión</vt:lpstr>
      <vt:lpstr>'mili Pc &lt; '!Área_de_impresión</vt:lpstr>
      <vt:lpstr>'Modifi Cert Juego gramo &lt;'!Área_de_impresión</vt:lpstr>
      <vt:lpstr>'RT03-F13 (g) &lt;'!Área_de_impresión</vt:lpstr>
      <vt:lpstr>'RT03-F13 (mg)&lt; '!Área_de_impresión</vt:lpstr>
      <vt:lpstr>Datos_de_las_Pesas_Patrón</vt:lpstr>
      <vt:lpstr>Patrones_Termohigrometros</vt:lpstr>
      <vt:lpstr>' Certi 5 kg &lt; (C)'!Print_Area</vt:lpstr>
      <vt:lpstr>'1 g &lt;'!Print_Area</vt:lpstr>
      <vt:lpstr>'1 kg &lt;'!Print_Area</vt:lpstr>
      <vt:lpstr>'1 mg &lt; '!Print_Area</vt:lpstr>
      <vt:lpstr>'10 g &lt;'!Print_Area</vt:lpstr>
      <vt:lpstr>'10 kg &lt;'!Print_Area</vt:lpstr>
      <vt:lpstr>'10 kg &lt; (C)'!Print_Area</vt:lpstr>
      <vt:lpstr>'10 mg &lt; '!Print_Area</vt:lpstr>
      <vt:lpstr>'100 g &lt;'!Print_Area</vt:lpstr>
      <vt:lpstr>'100 mg &lt; '!Print_Area</vt:lpstr>
      <vt:lpstr>'2 g + &lt;'!Print_Area</vt:lpstr>
      <vt:lpstr>'2 g &lt;'!Print_Area</vt:lpstr>
      <vt:lpstr>'2 kg + &lt;'!Print_Area</vt:lpstr>
      <vt:lpstr>'2 kg &lt;'!Print_Area</vt:lpstr>
      <vt:lpstr>'2 mg + &lt; '!Print_Area</vt:lpstr>
      <vt:lpstr>'2 mg &lt;'!Print_Area</vt:lpstr>
      <vt:lpstr>'20 g + &lt;'!Print_Area</vt:lpstr>
      <vt:lpstr>'20 g &lt;'!Print_Area</vt:lpstr>
      <vt:lpstr>'20 kg &lt; (C)'!Print_Area</vt:lpstr>
      <vt:lpstr>'20 mg + &lt; '!Print_Area</vt:lpstr>
      <vt:lpstr>'20 mg &lt; '!Print_Area</vt:lpstr>
      <vt:lpstr>'200 g + &lt;'!Print_Area</vt:lpstr>
      <vt:lpstr>'200 g &lt;'!Print_Area</vt:lpstr>
      <vt:lpstr>'200 mg + &lt;'!Print_Area</vt:lpstr>
      <vt:lpstr>'200 mg &lt; '!Print_Area</vt:lpstr>
      <vt:lpstr>'5 g &lt;'!Print_Area</vt:lpstr>
      <vt:lpstr>'5 kg &lt;'!Print_Area</vt:lpstr>
      <vt:lpstr>'5 kg &lt; (C)'!Print_Area</vt:lpstr>
      <vt:lpstr>'5 mg &lt; '!Print_Area</vt:lpstr>
      <vt:lpstr>'50 g &lt;'!Print_Area</vt:lpstr>
      <vt:lpstr>'50 mg &lt; '!Print_Area</vt:lpstr>
      <vt:lpstr>'500 g &lt;'!Print_Area</vt:lpstr>
      <vt:lpstr>'500 mg &lt; '!Print_Area</vt:lpstr>
      <vt:lpstr>'Cert Juego gramo &lt;'!Print_Area</vt:lpstr>
      <vt:lpstr>'Cert juego miligramo &lt;'!Print_Area</vt:lpstr>
      <vt:lpstr>'Certi 10 kg &lt; (C)'!Print_Area</vt:lpstr>
      <vt:lpstr>'Certi 20 kg &lt; (C)'!Print_Area</vt:lpstr>
      <vt:lpstr>'DATOS &lt;'!Print_Area</vt:lpstr>
      <vt:lpstr>'Modifi Cert Juego gramo &lt;'!Print_Area</vt:lpstr>
      <vt:lpstr>'RT03-F13 (g) &lt;'!Print_Area</vt:lpstr>
      <vt:lpstr>'RT03-F13 (mg)&lt; '!Print_Area</vt:lpstr>
      <vt:lpstr>'1 g &lt;'!Print_Titles</vt:lpstr>
      <vt:lpstr>'1 kg &lt;'!Print_Titles</vt:lpstr>
      <vt:lpstr>'1 mg &lt; '!Print_Titles</vt:lpstr>
      <vt:lpstr>'10 g &lt;'!Print_Titles</vt:lpstr>
      <vt:lpstr>'10 kg &lt;'!Print_Titles</vt:lpstr>
      <vt:lpstr>'10 kg &lt; (C)'!Print_Titles</vt:lpstr>
      <vt:lpstr>'10 mg &lt; '!Print_Titles</vt:lpstr>
      <vt:lpstr>'100 g &lt;'!Print_Titles</vt:lpstr>
      <vt:lpstr>'100 mg &lt; '!Print_Titles</vt:lpstr>
      <vt:lpstr>'2 g + &lt;'!Print_Titles</vt:lpstr>
      <vt:lpstr>'2 g &lt;'!Print_Titles</vt:lpstr>
      <vt:lpstr>'2 kg + &lt;'!Print_Titles</vt:lpstr>
      <vt:lpstr>'2 kg &lt;'!Print_Titles</vt:lpstr>
      <vt:lpstr>'2 mg + &lt; '!Print_Titles</vt:lpstr>
      <vt:lpstr>'2 mg &lt;'!Print_Titles</vt:lpstr>
      <vt:lpstr>'20 g + &lt;'!Print_Titles</vt:lpstr>
      <vt:lpstr>'20 g &lt;'!Print_Titles</vt:lpstr>
      <vt:lpstr>'20 kg &lt; (C)'!Print_Titles</vt:lpstr>
      <vt:lpstr>'20 mg + &lt; '!Print_Titles</vt:lpstr>
      <vt:lpstr>'20 mg &lt; '!Print_Titles</vt:lpstr>
      <vt:lpstr>'200 g + &lt;'!Print_Titles</vt:lpstr>
      <vt:lpstr>'200 g &lt;'!Print_Titles</vt:lpstr>
      <vt:lpstr>'200 mg + &lt;'!Print_Titles</vt:lpstr>
      <vt:lpstr>'200 mg &lt; '!Print_Titles</vt:lpstr>
      <vt:lpstr>'5 g &lt;'!Print_Titles</vt:lpstr>
      <vt:lpstr>'5 kg &lt;'!Print_Titles</vt:lpstr>
      <vt:lpstr>'5 kg &lt; (C)'!Print_Titles</vt:lpstr>
      <vt:lpstr>'5 mg &lt; '!Print_Titles</vt:lpstr>
      <vt:lpstr>'50 g &lt;'!Print_Titles</vt:lpstr>
      <vt:lpstr>'50 mg &lt; '!Print_Titles</vt:lpstr>
      <vt:lpstr>'500 g &lt;'!Print_Titles</vt:lpstr>
      <vt:lpstr>'500 mg &lt; '!Print_Titles</vt:lpstr>
      <vt:lpstr>'RT03-F13 (g) &lt;'!Print_Titles</vt:lpstr>
      <vt:lpstr>'RT03-F13 (mg)&lt; '!Print_Titles</vt:lpstr>
      <vt:lpstr>'1 g &lt;'!Títulos_a_imprimir</vt:lpstr>
      <vt:lpstr>'1 kg &lt;'!Títulos_a_imprimir</vt:lpstr>
      <vt:lpstr>'1 mg &lt; '!Títulos_a_imprimir</vt:lpstr>
      <vt:lpstr>'10 g &lt;'!Títulos_a_imprimir</vt:lpstr>
      <vt:lpstr>'10 kg &lt;'!Títulos_a_imprimir</vt:lpstr>
      <vt:lpstr>'10 kg &lt; (C)'!Títulos_a_imprimir</vt:lpstr>
      <vt:lpstr>'10 mg &lt; '!Títulos_a_imprimir</vt:lpstr>
      <vt:lpstr>'100 g &lt;'!Títulos_a_imprimir</vt:lpstr>
      <vt:lpstr>'100 mg &lt; '!Títulos_a_imprimir</vt:lpstr>
      <vt:lpstr>'2 g + &lt;'!Títulos_a_imprimir</vt:lpstr>
      <vt:lpstr>'2 g &lt;'!Títulos_a_imprimir</vt:lpstr>
      <vt:lpstr>'2 kg + &lt;'!Títulos_a_imprimir</vt:lpstr>
      <vt:lpstr>'2 kg &lt;'!Títulos_a_imprimir</vt:lpstr>
      <vt:lpstr>'2 mg + &lt; '!Títulos_a_imprimir</vt:lpstr>
      <vt:lpstr>'2 mg &lt;'!Títulos_a_imprimir</vt:lpstr>
      <vt:lpstr>'20 g + &lt;'!Títulos_a_imprimir</vt:lpstr>
      <vt:lpstr>'20 g &lt;'!Títulos_a_imprimir</vt:lpstr>
      <vt:lpstr>'20 kg &lt; (C)'!Títulos_a_imprimir</vt:lpstr>
      <vt:lpstr>'20 mg + &lt; '!Títulos_a_imprimir</vt:lpstr>
      <vt:lpstr>'20 mg &lt; '!Títulos_a_imprimir</vt:lpstr>
      <vt:lpstr>'200 g + &lt;'!Títulos_a_imprimir</vt:lpstr>
      <vt:lpstr>'200 g &lt;'!Títulos_a_imprimir</vt:lpstr>
      <vt:lpstr>'200 mg + &lt;'!Títulos_a_imprimir</vt:lpstr>
      <vt:lpstr>'200 mg &lt; '!Títulos_a_imprimir</vt:lpstr>
      <vt:lpstr>'5 g &lt;'!Títulos_a_imprimir</vt:lpstr>
      <vt:lpstr>'5 kg &lt;'!Títulos_a_imprimir</vt:lpstr>
      <vt:lpstr>'5 kg &lt; (C)'!Títulos_a_imprimir</vt:lpstr>
      <vt:lpstr>'5 mg &lt; '!Títulos_a_imprimir</vt:lpstr>
      <vt:lpstr>'50 g &lt;'!Títulos_a_imprimir</vt:lpstr>
      <vt:lpstr>'50 mg &lt; '!Títulos_a_imprimir</vt:lpstr>
      <vt:lpstr>'500 g &lt;'!Títulos_a_imprimir</vt:lpstr>
      <vt:lpstr>'500 mg &lt; '!Títulos_a_imprimir</vt:lpstr>
      <vt:lpstr>'RT03-F13 (g) &lt;'!Títulos_a_imprimir</vt:lpstr>
      <vt:lpstr>'RT03-F13 (mg)&lt; '!Títulos_a_imprimir</vt:lpstr>
      <vt:lpstr>TRAZABILIDAD_METROLOGICA</vt:lpstr>
    </vt:vector>
  </TitlesOfParts>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 PESAS M1</dc:title>
  <dc:creator>SIC;Laboratorio de Masa</dc:creator>
  <cp:keywords>HC PESAS M1</cp:keywords>
  <cp:lastModifiedBy>Mary Carrillo Pacheco</cp:lastModifiedBy>
  <cp:revision/>
  <cp:lastPrinted>2023-11-10T14:30:26Z</cp:lastPrinted>
  <dcterms:created xsi:type="dcterms:W3CDTF">2016-03-15T18:31:08Z</dcterms:created>
  <dcterms:modified xsi:type="dcterms:W3CDTF">2023-11-10T19:22:24Z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3606252</vt:i4>
  </property>
  <property fmtid="{D5CDD505-2E9C-101B-9397-08002B2CF9AE}" pid="3" name="ContentTypeId">
    <vt:lpwstr>0x0101002D31E3AD115C5347982FF35605B89D07</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