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5.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6.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7.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8.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19.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0.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1.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InkAnnotation="0"/>
  <mc:AlternateContent xmlns:mc="http://schemas.openxmlformats.org/markup-compatibility/2006">
    <mc:Choice Requires="x15">
      <x15ac:absPath xmlns:x15ac="http://schemas.microsoft.com/office/spreadsheetml/2010/11/ac" url="C:\Users\jhenn\Desktop\Yenny 2022\Para Nelly\"/>
    </mc:Choice>
  </mc:AlternateContent>
  <xr:revisionPtr revIDLastSave="0" documentId="13_ncr:1_{7FDED479-5277-48F1-8D5B-A2C0B1F0FAAD}" xr6:coauthVersionLast="47" xr6:coauthVersionMax="47" xr10:uidLastSave="{00000000-0000-0000-0000-000000000000}"/>
  <workbookProtection workbookAlgorithmName="SHA-512" workbookHashValue="+MQJoaslnHdXE+bSgunJx1NX++VE4+X+801ByYssRAlC+LaYKBHLiPhkO8NbEUq3733Nz723YAXVYBJa5TXTzQ==" workbookSaltValue="VnWANqWsKI/vjjmiBETJQQ==" workbookSpinCount="100000" lockStructure="1"/>
  <bookViews>
    <workbookView xWindow="-120" yWindow="-120" windowWidth="20730" windowHeight="11040" tabRatio="791" firstSheet="7" activeTab="7" xr2:uid="{00000000-000D-0000-FFFF-FFFF00000000}"/>
  </bookViews>
  <sheets>
    <sheet name="DATOS #" sheetId="22" state="hidden" r:id="rId1"/>
    <sheet name="RT03-F11 #" sheetId="30" state="hidden" r:id="rId2"/>
    <sheet name="DESPUES DE AJUSTE # " sheetId="43" state="hidden" r:id="rId3"/>
    <sheet name="VERIFICACIÓN DE LA ESCALA #" sheetId="18" state="hidden" r:id="rId4"/>
    <sheet name="Máx. y Mín. #" sheetId="35" state="hidden" r:id="rId5"/>
    <sheet name="Pc #" sheetId="38" state="hidden" r:id="rId6"/>
    <sheet name="CMC #" sheetId="36" state="hidden" r:id="rId7"/>
    <sheet name="RT03-F14 # " sheetId="42" r:id="rId8"/>
    <sheet name="RT03-F38 #" sheetId="44" state="hidden" r:id="rId9"/>
    <sheet name="RT03-F17 #" sheetId="46" state="hidden" r:id="rId10"/>
  </sheets>
  <definedNames>
    <definedName name="_xlnm.Print_Area" localSheetId="6">'CMC #'!$A$1:$T$16</definedName>
    <definedName name="_xlnm.Print_Area" localSheetId="0">'DATOS #'!$A$1:$AI$191</definedName>
    <definedName name="_xlnm.Print_Area" localSheetId="2">'DESPUES DE AJUSTE # '!$A$1:$Y$127</definedName>
    <definedName name="_xlnm.Print_Area" localSheetId="4">'Máx. y Mín. #'!$A$1:$M$22</definedName>
    <definedName name="_xlnm.Print_Area" localSheetId="5">'Pc #'!$A$1:$Q$25</definedName>
    <definedName name="_xlnm.Print_Area" localSheetId="1">'RT03-F11 #'!$A$1:$Y$128</definedName>
    <definedName name="_xlnm.Print_Area" localSheetId="7">'RT03-F14 # '!$A$1:$K$161</definedName>
    <definedName name="_xlnm.Print_Area" localSheetId="9">'RT03-F17 #'!$A$1:$K$112</definedName>
    <definedName name="_xlnm.Print_Area" localSheetId="8">'RT03-F38 #'!$A$1:$K$161</definedName>
    <definedName name="_xlnm.Print_Area" localSheetId="3">'VERIFICACIÓN DE LA ESCALA #'!$A$1:$W$57</definedName>
    <definedName name="Print_Area" localSheetId="7">'RT03-F14 # '!$A$1:$K$155</definedName>
    <definedName name="Print_Area" localSheetId="9">'RT03-F17 #'!$A$1:$K$106</definedName>
    <definedName name="Print_Area" localSheetId="8">'RT03-F38 #'!$A$1:$K$155</definedName>
    <definedName name="Print_Area" localSheetId="3">'VERIFICACIÓN DE LA ESCALA #'!$A$1:$V$60</definedName>
    <definedName name="Print_Titles" localSheetId="3">'VERIFICACIÓN DE LA ESCALA #'!$1:$1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8" i="46" l="1"/>
  <c r="B108" i="46"/>
  <c r="G107" i="46"/>
  <c r="B107" i="46"/>
  <c r="J3" i="46"/>
  <c r="J79" i="46"/>
  <c r="J36" i="46"/>
  <c r="E27" i="46"/>
  <c r="A25" i="46"/>
  <c r="F20" i="46"/>
  <c r="E19" i="46"/>
  <c r="E17" i="46"/>
  <c r="E16" i="46"/>
  <c r="E15" i="46"/>
  <c r="D3" i="30"/>
  <c r="E10" i="46"/>
  <c r="D8" i="46"/>
  <c r="D7" i="46"/>
  <c r="D6" i="46"/>
  <c r="G157" i="44"/>
  <c r="B157" i="44"/>
  <c r="G156" i="44"/>
  <c r="B156" i="44"/>
  <c r="N50" i="18"/>
  <c r="D52" i="18"/>
  <c r="F52" i="18"/>
  <c r="F53" i="18"/>
  <c r="F54" i="18"/>
  <c r="F127" i="44"/>
  <c r="L19" i="18"/>
  <c r="M19" i="18"/>
  <c r="U11" i="18"/>
  <c r="V11" i="18"/>
  <c r="W11" i="18"/>
  <c r="W14" i="18"/>
  <c r="C52" i="18"/>
  <c r="C53" i="18"/>
  <c r="C54" i="18"/>
  <c r="C127" i="44"/>
  <c r="F126" i="44"/>
  <c r="C126" i="44"/>
  <c r="F125" i="44"/>
  <c r="C125" i="44"/>
  <c r="N15" i="22"/>
  <c r="J3" i="44"/>
  <c r="J118" i="44"/>
  <c r="C99" i="44"/>
  <c r="F113" i="44"/>
  <c r="F33" i="43"/>
  <c r="F29" i="43"/>
  <c r="D44" i="43"/>
  <c r="J44" i="43"/>
  <c r="K55" i="43"/>
  <c r="D33" i="43"/>
  <c r="D29" i="43"/>
  <c r="G55" i="43"/>
  <c r="H55" i="43"/>
  <c r="H58" i="43"/>
  <c r="C122" i="43"/>
  <c r="H122" i="43"/>
  <c r="H123" i="43"/>
  <c r="H124" i="43"/>
  <c r="I124" i="43"/>
  <c r="I125" i="43"/>
  <c r="J109" i="44"/>
  <c r="P76" i="43"/>
  <c r="P80" i="43"/>
  <c r="K58" i="43"/>
  <c r="D37" i="43"/>
  <c r="O78" i="43"/>
  <c r="J45" i="43"/>
  <c r="J46" i="43"/>
  <c r="N47" i="43"/>
  <c r="P70" i="43"/>
  <c r="G47" i="43"/>
  <c r="O68" i="43"/>
  <c r="O74" i="43"/>
  <c r="O72" i="43"/>
  <c r="K66" i="43"/>
  <c r="J89" i="43"/>
  <c r="L89" i="43"/>
  <c r="N89" i="43"/>
  <c r="N119" i="43"/>
  <c r="D122" i="43"/>
  <c r="D123" i="43"/>
  <c r="D124" i="43"/>
  <c r="C123" i="43"/>
  <c r="C124" i="43"/>
  <c r="D125" i="43"/>
  <c r="S89" i="43"/>
  <c r="M126" i="43"/>
  <c r="N125" i="43"/>
  <c r="E122" i="43"/>
  <c r="F125" i="43"/>
  <c r="H109" i="44"/>
  <c r="C125" i="43"/>
  <c r="F109" i="44"/>
  <c r="C109" i="44"/>
  <c r="J108" i="44"/>
  <c r="F124" i="43"/>
  <c r="H108" i="44"/>
  <c r="F108" i="44"/>
  <c r="C101" i="44"/>
  <c r="C108" i="44"/>
  <c r="I123" i="43"/>
  <c r="J107" i="44"/>
  <c r="F123" i="43"/>
  <c r="H107" i="44"/>
  <c r="F107" i="44"/>
  <c r="C100" i="44"/>
  <c r="C107" i="44"/>
  <c r="E6" i="38"/>
  <c r="F122" i="43"/>
  <c r="F6" i="38"/>
  <c r="G11" i="38"/>
  <c r="H11" i="38"/>
  <c r="I11" i="38"/>
  <c r="K106" i="44"/>
  <c r="I122" i="43"/>
  <c r="J106" i="44"/>
  <c r="H106" i="44"/>
  <c r="F106" i="44"/>
  <c r="C106" i="44"/>
  <c r="G60" i="44"/>
  <c r="A106" i="44"/>
  <c r="F33" i="30"/>
  <c r="F29" i="30"/>
  <c r="C7" i="30"/>
  <c r="D44" i="30"/>
  <c r="J44" i="30"/>
  <c r="K55" i="30"/>
  <c r="G55" i="30"/>
  <c r="H55" i="30"/>
  <c r="H58" i="30"/>
  <c r="C122" i="30"/>
  <c r="H122" i="30"/>
  <c r="H123" i="30"/>
  <c r="H124" i="30"/>
  <c r="I124" i="30"/>
  <c r="I125" i="30"/>
  <c r="J102" i="44"/>
  <c r="P76" i="30"/>
  <c r="P80" i="30"/>
  <c r="D45" i="30"/>
  <c r="D46" i="30"/>
  <c r="G47" i="30"/>
  <c r="O68" i="30"/>
  <c r="J45" i="30"/>
  <c r="K56" i="30"/>
  <c r="J46" i="30"/>
  <c r="K57" i="30"/>
  <c r="K58" i="30"/>
  <c r="D37" i="30"/>
  <c r="O78" i="30"/>
  <c r="N47" i="30"/>
  <c r="P70" i="30"/>
  <c r="K66" i="30"/>
  <c r="J89" i="30"/>
  <c r="I7" i="30"/>
  <c r="E89" i="30"/>
  <c r="O7" i="30"/>
  <c r="G89" i="30"/>
  <c r="H89" i="30"/>
  <c r="L89" i="30"/>
  <c r="N89" i="30"/>
  <c r="N119" i="30"/>
  <c r="D122" i="30"/>
  <c r="D123" i="30"/>
  <c r="D124" i="30"/>
  <c r="C123" i="30"/>
  <c r="C124" i="30"/>
  <c r="D125" i="30"/>
  <c r="S89" i="30"/>
  <c r="M126" i="30"/>
  <c r="N125" i="30"/>
  <c r="E122" i="30"/>
  <c r="F125" i="30"/>
  <c r="H102" i="44"/>
  <c r="C125" i="30"/>
  <c r="F102" i="44"/>
  <c r="J101" i="44"/>
  <c r="F124" i="30"/>
  <c r="H101" i="44"/>
  <c r="F101" i="44"/>
  <c r="I123" i="30"/>
  <c r="J100" i="44"/>
  <c r="F123" i="30"/>
  <c r="H100" i="44"/>
  <c r="F100" i="44"/>
  <c r="E5" i="38"/>
  <c r="F122" i="30"/>
  <c r="F5" i="38"/>
  <c r="G5" i="38"/>
  <c r="H5" i="38"/>
  <c r="I5" i="38"/>
  <c r="K99" i="44"/>
  <c r="I122" i="30"/>
  <c r="J99" i="44"/>
  <c r="H99" i="44"/>
  <c r="F99" i="44"/>
  <c r="A99" i="44"/>
  <c r="I93" i="44"/>
  <c r="G93" i="44"/>
  <c r="E93" i="44"/>
  <c r="D93" i="44"/>
  <c r="I92" i="44"/>
  <c r="G92" i="44"/>
  <c r="D92" i="44"/>
  <c r="I91" i="44"/>
  <c r="G91" i="44"/>
  <c r="D91" i="44"/>
  <c r="I90" i="44"/>
  <c r="G90" i="44"/>
  <c r="D90" i="44"/>
  <c r="J79" i="44"/>
  <c r="H75" i="44"/>
  <c r="G75" i="44"/>
  <c r="F75" i="44"/>
  <c r="E75" i="44"/>
  <c r="D75" i="44"/>
  <c r="C75" i="44"/>
  <c r="J36" i="44"/>
  <c r="E27" i="44"/>
  <c r="A25" i="44"/>
  <c r="F20" i="44"/>
  <c r="E19" i="44"/>
  <c r="E17" i="44"/>
  <c r="E16" i="44"/>
  <c r="E15" i="44"/>
  <c r="J10" i="44"/>
  <c r="E10" i="44"/>
  <c r="D8" i="44"/>
  <c r="D7" i="44"/>
  <c r="D6" i="44"/>
  <c r="I132" i="22"/>
  <c r="F132" i="22"/>
  <c r="G60" i="42"/>
  <c r="A106" i="42"/>
  <c r="A99" i="42"/>
  <c r="C109" i="42"/>
  <c r="L12" i="35"/>
  <c r="K12" i="35"/>
  <c r="L11" i="35"/>
  <c r="K11" i="35"/>
  <c r="J11" i="35"/>
  <c r="J12" i="35"/>
  <c r="L7" i="35"/>
  <c r="K7" i="35"/>
  <c r="I7" i="35"/>
  <c r="Q117" i="43"/>
  <c r="G117" i="43"/>
  <c r="G116" i="43"/>
  <c r="G115" i="43"/>
  <c r="G112" i="43"/>
  <c r="H112" i="43"/>
  <c r="L112" i="43"/>
  <c r="J111" i="43"/>
  <c r="G111" i="43"/>
  <c r="G110" i="43"/>
  <c r="G109" i="43"/>
  <c r="G108" i="43"/>
  <c r="G106" i="43"/>
  <c r="F106" i="43"/>
  <c r="G105" i="43"/>
  <c r="F105" i="43"/>
  <c r="F104" i="43"/>
  <c r="G103" i="43"/>
  <c r="F103" i="43"/>
  <c r="F102" i="43"/>
  <c r="E102" i="43"/>
  <c r="G101" i="43"/>
  <c r="F101" i="43"/>
  <c r="G100" i="43"/>
  <c r="F100" i="43"/>
  <c r="F99" i="43"/>
  <c r="G98" i="43"/>
  <c r="J95" i="43"/>
  <c r="G95" i="43"/>
  <c r="F95" i="43"/>
  <c r="I95" i="43"/>
  <c r="J94" i="43"/>
  <c r="G94" i="43"/>
  <c r="F94" i="43"/>
  <c r="I94" i="43"/>
  <c r="J93" i="43"/>
  <c r="I93" i="43"/>
  <c r="F93" i="43"/>
  <c r="I90" i="43"/>
  <c r="G90" i="43"/>
  <c r="M46" i="43"/>
  <c r="G46" i="43"/>
  <c r="D46" i="43"/>
  <c r="M45" i="43"/>
  <c r="G45" i="43"/>
  <c r="D45" i="43"/>
  <c r="M44" i="43"/>
  <c r="G44" i="43"/>
  <c r="O39" i="43"/>
  <c r="P39" i="43"/>
  <c r="D39" i="43"/>
  <c r="O38" i="43"/>
  <c r="P38" i="43"/>
  <c r="O37" i="43"/>
  <c r="P37" i="43"/>
  <c r="D36" i="43"/>
  <c r="E111" i="43"/>
  <c r="H111" i="43"/>
  <c r="L111" i="43"/>
  <c r="F35" i="43"/>
  <c r="D35" i="43"/>
  <c r="D34" i="43"/>
  <c r="E109" i="43"/>
  <c r="H109" i="43"/>
  <c r="D32" i="43"/>
  <c r="D31" i="43"/>
  <c r="F30" i="43"/>
  <c r="D30" i="43"/>
  <c r="F28" i="43"/>
  <c r="D28" i="43"/>
  <c r="F27" i="43"/>
  <c r="D27" i="43"/>
  <c r="F26" i="43"/>
  <c r="D26" i="43"/>
  <c r="P22" i="43"/>
  <c r="O22" i="43"/>
  <c r="I22" i="43"/>
  <c r="K22" i="43"/>
  <c r="G22" i="43"/>
  <c r="E22" i="43"/>
  <c r="C22" i="43"/>
  <c r="B22" i="43"/>
  <c r="P21" i="43"/>
  <c r="O21" i="43"/>
  <c r="I21" i="43"/>
  <c r="K21" i="43"/>
  <c r="G21" i="43"/>
  <c r="E21" i="43"/>
  <c r="C21" i="43"/>
  <c r="B21" i="43"/>
  <c r="R20" i="43"/>
  <c r="Q20" i="43"/>
  <c r="R19" i="43"/>
  <c r="Q19" i="43"/>
  <c r="P19" i="43"/>
  <c r="O19" i="43"/>
  <c r="K19" i="43"/>
  <c r="I19" i="43"/>
  <c r="G19" i="43"/>
  <c r="E19" i="43"/>
  <c r="C19" i="43"/>
  <c r="B19" i="43"/>
  <c r="P18" i="43"/>
  <c r="O18" i="43"/>
  <c r="G93" i="43"/>
  <c r="K18" i="43"/>
  <c r="I18" i="43"/>
  <c r="E93" i="43"/>
  <c r="G18" i="43"/>
  <c r="E18" i="43"/>
  <c r="E94" i="43"/>
  <c r="H94" i="43"/>
  <c r="L94" i="43"/>
  <c r="C18" i="43"/>
  <c r="D92" i="43"/>
  <c r="B18" i="43"/>
  <c r="P17" i="43"/>
  <c r="O17" i="43"/>
  <c r="K17" i="43"/>
  <c r="I17" i="43"/>
  <c r="G17" i="43"/>
  <c r="E17" i="43"/>
  <c r="C17" i="43"/>
  <c r="B17" i="43"/>
  <c r="P16" i="43"/>
  <c r="O16" i="43"/>
  <c r="K16" i="43"/>
  <c r="I16" i="43"/>
  <c r="G16" i="43"/>
  <c r="E16" i="43"/>
  <c r="C16" i="43"/>
  <c r="B16" i="43"/>
  <c r="P15" i="43"/>
  <c r="O15" i="43"/>
  <c r="K15" i="43"/>
  <c r="I15" i="43"/>
  <c r="G15" i="43"/>
  <c r="E15" i="43"/>
  <c r="C15" i="43"/>
  <c r="B15" i="43"/>
  <c r="P14" i="43"/>
  <c r="O14" i="43"/>
  <c r="G104" i="43"/>
  <c r="K14" i="43"/>
  <c r="I14" i="43"/>
  <c r="G14" i="43"/>
  <c r="E14" i="43"/>
  <c r="D103" i="43"/>
  <c r="C14" i="43"/>
  <c r="B14" i="43"/>
  <c r="P13" i="43"/>
  <c r="O13" i="43"/>
  <c r="K13" i="43"/>
  <c r="I13" i="43"/>
  <c r="G13" i="43"/>
  <c r="E13" i="43"/>
  <c r="C13" i="43"/>
  <c r="B13" i="43"/>
  <c r="P12" i="43"/>
  <c r="O12" i="43"/>
  <c r="K12" i="43"/>
  <c r="I12" i="43"/>
  <c r="G12" i="43"/>
  <c r="E12" i="43"/>
  <c r="C12" i="43"/>
  <c r="B12" i="43"/>
  <c r="P11" i="43"/>
  <c r="O11" i="43"/>
  <c r="K11" i="43"/>
  <c r="I11" i="43"/>
  <c r="G11" i="43"/>
  <c r="E11" i="43"/>
  <c r="D98" i="43"/>
  <c r="C11" i="43"/>
  <c r="B11" i="43"/>
  <c r="P10" i="43"/>
  <c r="O10" i="43"/>
  <c r="K10" i="43"/>
  <c r="I10" i="43"/>
  <c r="G10" i="43"/>
  <c r="E10" i="43"/>
  <c r="C10" i="43"/>
  <c r="B10" i="43"/>
  <c r="P9" i="43"/>
  <c r="O9" i="43"/>
  <c r="G99" i="43"/>
  <c r="K9" i="43"/>
  <c r="I9" i="43"/>
  <c r="G9" i="43"/>
  <c r="E9" i="43"/>
  <c r="E98" i="43"/>
  <c r="H98" i="43"/>
  <c r="C9" i="43"/>
  <c r="B9" i="43"/>
  <c r="P8" i="43"/>
  <c r="O8" i="43"/>
  <c r="K8" i="43"/>
  <c r="I8" i="43"/>
  <c r="G8" i="43"/>
  <c r="E8" i="43"/>
  <c r="C8" i="43"/>
  <c r="B8" i="43"/>
  <c r="P7" i="43"/>
  <c r="O7" i="43"/>
  <c r="G89" i="43"/>
  <c r="I7" i="43"/>
  <c r="E89" i="43"/>
  <c r="E7" i="43"/>
  <c r="C7" i="43"/>
  <c r="O66" i="43"/>
  <c r="B7" i="43"/>
  <c r="P3" i="43"/>
  <c r="M3" i="43"/>
  <c r="H9" i="35"/>
  <c r="J3" i="43"/>
  <c r="G3" i="43"/>
  <c r="D3" i="43"/>
  <c r="B3" i="43"/>
  <c r="F12" i="35"/>
  <c r="F11" i="35"/>
  <c r="E12" i="35"/>
  <c r="D12" i="35"/>
  <c r="E11" i="35"/>
  <c r="D11" i="35"/>
  <c r="D102" i="43"/>
  <c r="E105" i="43"/>
  <c r="H105" i="43"/>
  <c r="M18" i="43"/>
  <c r="M22" i="43"/>
  <c r="F36" i="43"/>
  <c r="M8" i="43"/>
  <c r="M9" i="43"/>
  <c r="M11" i="43"/>
  <c r="M12" i="43"/>
  <c r="M13" i="43"/>
  <c r="M14" i="43"/>
  <c r="N112" i="43"/>
  <c r="K56" i="43"/>
  <c r="K57" i="43"/>
  <c r="E95" i="43"/>
  <c r="H95" i="43"/>
  <c r="L95" i="43"/>
  <c r="M10" i="43"/>
  <c r="M16" i="43"/>
  <c r="M17" i="43"/>
  <c r="M19" i="43"/>
  <c r="H93" i="43"/>
  <c r="L93" i="43"/>
  <c r="N93" i="43"/>
  <c r="M15" i="43"/>
  <c r="D88" i="43"/>
  <c r="H89" i="43"/>
  <c r="E106" i="43"/>
  <c r="H106" i="43"/>
  <c r="N111" i="43"/>
  <c r="N94" i="43"/>
  <c r="E103" i="43"/>
  <c r="H103" i="43"/>
  <c r="E104" i="43"/>
  <c r="H104" i="43"/>
  <c r="E101" i="43"/>
  <c r="H101" i="43"/>
  <c r="O30" i="43"/>
  <c r="E115" i="43"/>
  <c r="H115" i="43"/>
  <c r="L115" i="43"/>
  <c r="M21" i="43"/>
  <c r="E99" i="43"/>
  <c r="H99" i="43"/>
  <c r="K74" i="43"/>
  <c r="J110" i="43"/>
  <c r="D107" i="43"/>
  <c r="N95" i="43"/>
  <c r="O31" i="43"/>
  <c r="O29" i="43"/>
  <c r="O27" i="43"/>
  <c r="O28" i="43"/>
  <c r="D97" i="43"/>
  <c r="E100" i="43"/>
  <c r="H100" i="43"/>
  <c r="E97" i="43"/>
  <c r="N115" i="43"/>
  <c r="E107" i="43"/>
  <c r="E108" i="43"/>
  <c r="H108" i="43"/>
  <c r="F37" i="43"/>
  <c r="P78" i="43"/>
  <c r="K72" i="43"/>
  <c r="J109" i="43"/>
  <c r="L109" i="43"/>
  <c r="K76" i="43"/>
  <c r="J108" i="43"/>
  <c r="K68" i="43"/>
  <c r="L108" i="43"/>
  <c r="N108" i="43"/>
  <c r="N109" i="43"/>
  <c r="J100" i="43"/>
  <c r="L100" i="43"/>
  <c r="J99" i="43"/>
  <c r="L99" i="43"/>
  <c r="J98" i="43"/>
  <c r="L98" i="43"/>
  <c r="J101" i="43"/>
  <c r="L101" i="43"/>
  <c r="N100" i="43"/>
  <c r="N98" i="43"/>
  <c r="N99" i="43"/>
  <c r="N101" i="43"/>
  <c r="N57" i="22"/>
  <c r="N58" i="22"/>
  <c r="N59" i="22"/>
  <c r="N60" i="22"/>
  <c r="N56" i="22"/>
  <c r="M57" i="22"/>
  <c r="M58" i="22"/>
  <c r="M59" i="22"/>
  <c r="M60" i="22"/>
  <c r="M56" i="22"/>
  <c r="N51" i="22"/>
  <c r="N52" i="22"/>
  <c r="N53" i="22"/>
  <c r="N54" i="22"/>
  <c r="N50" i="22"/>
  <c r="M54" i="22"/>
  <c r="M53" i="22"/>
  <c r="M52" i="22"/>
  <c r="M51" i="22"/>
  <c r="M50" i="22"/>
  <c r="P60" i="22"/>
  <c r="R60" i="22"/>
  <c r="P59" i="22"/>
  <c r="R59" i="22"/>
  <c r="R58" i="22"/>
  <c r="P58" i="22"/>
  <c r="P57" i="22"/>
  <c r="R57" i="22"/>
  <c r="R56" i="22"/>
  <c r="P56" i="22"/>
  <c r="P19" i="30"/>
  <c r="O19" i="30"/>
  <c r="R20" i="30"/>
  <c r="R19" i="30"/>
  <c r="Q20" i="30"/>
  <c r="Q19" i="30"/>
  <c r="K19" i="30"/>
  <c r="I19" i="30"/>
  <c r="G19" i="30"/>
  <c r="E19" i="30"/>
  <c r="C19" i="30"/>
  <c r="B19" i="30"/>
  <c r="F136" i="22"/>
  <c r="F135" i="22"/>
  <c r="F134" i="22"/>
  <c r="F133" i="22"/>
  <c r="E136" i="22"/>
  <c r="E135" i="22"/>
  <c r="E134" i="22"/>
  <c r="E133" i="22"/>
  <c r="E132" i="22"/>
  <c r="O136" i="22"/>
  <c r="O135" i="22"/>
  <c r="O134" i="22"/>
  <c r="O133" i="22"/>
  <c r="N136" i="22"/>
  <c r="N135" i="22"/>
  <c r="N134" i="22"/>
  <c r="N133" i="22"/>
  <c r="M136" i="22"/>
  <c r="M135" i="22"/>
  <c r="M134" i="22"/>
  <c r="M133" i="22"/>
  <c r="L136" i="22"/>
  <c r="L135" i="22"/>
  <c r="L134" i="22"/>
  <c r="L133" i="22"/>
  <c r="K136" i="22"/>
  <c r="K135" i="22"/>
  <c r="K134" i="22"/>
  <c r="K133" i="22"/>
  <c r="J136" i="22"/>
  <c r="J135" i="22"/>
  <c r="J134" i="22"/>
  <c r="J133" i="22"/>
  <c r="H136" i="22"/>
  <c r="G136" i="22"/>
  <c r="I135" i="22"/>
  <c r="H135" i="22"/>
  <c r="G135" i="22"/>
  <c r="I134" i="22"/>
  <c r="H134" i="22"/>
  <c r="G134" i="22"/>
  <c r="I133" i="22"/>
  <c r="H133" i="22"/>
  <c r="G133" i="22"/>
  <c r="H132" i="22"/>
  <c r="G132" i="22"/>
  <c r="D136" i="22"/>
  <c r="D135" i="22"/>
  <c r="D134" i="22"/>
  <c r="D133" i="22"/>
  <c r="D132" i="22"/>
  <c r="C136" i="22"/>
  <c r="C135" i="22"/>
  <c r="C134" i="22"/>
  <c r="C133" i="22"/>
  <c r="C132" i="22"/>
  <c r="B136" i="22"/>
  <c r="B135" i="22"/>
  <c r="B134" i="22"/>
  <c r="B133" i="22"/>
  <c r="B132" i="22"/>
  <c r="Q119" i="22"/>
  <c r="I136" i="22"/>
  <c r="P119" i="22"/>
  <c r="O119" i="22"/>
  <c r="Q108" i="22"/>
  <c r="P108" i="22"/>
  <c r="O108" i="22"/>
  <c r="Q97" i="22"/>
  <c r="P97" i="22"/>
  <c r="O97" i="22"/>
  <c r="Q86" i="22"/>
  <c r="P86" i="22"/>
  <c r="O86" i="22"/>
  <c r="Q75" i="22"/>
  <c r="P75" i="22"/>
  <c r="O75" i="22"/>
  <c r="M44" i="22"/>
  <c r="N44" i="22"/>
  <c r="P44" i="22"/>
  <c r="R44" i="22"/>
  <c r="M45" i="22"/>
  <c r="N45" i="22"/>
  <c r="P45" i="22"/>
  <c r="R45" i="22"/>
  <c r="M46" i="22"/>
  <c r="N46" i="22"/>
  <c r="P46" i="22"/>
  <c r="R46" i="22"/>
  <c r="M47" i="22"/>
  <c r="N47" i="22"/>
  <c r="P47" i="22"/>
  <c r="R47" i="22"/>
  <c r="M48" i="22"/>
  <c r="N48" i="22"/>
  <c r="P48" i="22"/>
  <c r="R48" i="22"/>
  <c r="P54" i="22"/>
  <c r="R54" i="22"/>
  <c r="P53" i="22"/>
  <c r="R53" i="22"/>
  <c r="P52" i="22"/>
  <c r="R52" i="22"/>
  <c r="P51" i="22"/>
  <c r="R51" i="22"/>
  <c r="P50" i="22"/>
  <c r="R50" i="22"/>
  <c r="G157" i="42"/>
  <c r="B157" i="42"/>
  <c r="G156" i="42"/>
  <c r="B156" i="42"/>
  <c r="C101" i="42"/>
  <c r="C108" i="42"/>
  <c r="C100" i="42"/>
  <c r="C107" i="42"/>
  <c r="C99" i="42"/>
  <c r="I93" i="42"/>
  <c r="G93" i="42"/>
  <c r="E93" i="42"/>
  <c r="D93" i="42"/>
  <c r="I92" i="42"/>
  <c r="G92" i="42"/>
  <c r="D92" i="42"/>
  <c r="I91" i="42"/>
  <c r="G91" i="42"/>
  <c r="D91" i="42"/>
  <c r="I90" i="42"/>
  <c r="E27" i="42"/>
  <c r="A25" i="42"/>
  <c r="E19" i="42"/>
  <c r="E17" i="42"/>
  <c r="E16" i="42"/>
  <c r="E15" i="42"/>
  <c r="J10" i="42"/>
  <c r="D8" i="42"/>
  <c r="D7" i="42"/>
  <c r="D6" i="42"/>
  <c r="F113" i="42"/>
  <c r="C106" i="42"/>
  <c r="G112" i="30"/>
  <c r="H112" i="30"/>
  <c r="L112" i="30"/>
  <c r="E7" i="35"/>
  <c r="C7" i="35"/>
  <c r="N112" i="30"/>
  <c r="M32" i="22"/>
  <c r="O32" i="22"/>
  <c r="B12" i="38"/>
  <c r="B13" i="38"/>
  <c r="A9" i="38"/>
  <c r="M4" i="36"/>
  <c r="S12" i="36"/>
  <c r="F7" i="35"/>
  <c r="P39" i="22"/>
  <c r="P40" i="22"/>
  <c r="P41" i="22"/>
  <c r="P42" i="22"/>
  <c r="P38" i="22"/>
  <c r="M31" i="22"/>
  <c r="O31" i="22"/>
  <c r="K7" i="43"/>
  <c r="E90" i="43"/>
  <c r="H90" i="43"/>
  <c r="M7" i="43"/>
  <c r="AB63" i="22"/>
  <c r="B12" i="18"/>
  <c r="H12" i="18"/>
  <c r="I12" i="18"/>
  <c r="G95" i="30"/>
  <c r="G100" i="30"/>
  <c r="G105" i="30"/>
  <c r="B16" i="30"/>
  <c r="B15" i="30"/>
  <c r="B14" i="30"/>
  <c r="B13" i="30"/>
  <c r="B12" i="30"/>
  <c r="B11" i="30"/>
  <c r="B10" i="30"/>
  <c r="B9" i="30"/>
  <c r="B8" i="30"/>
  <c r="B17" i="30"/>
  <c r="P17" i="30"/>
  <c r="P16" i="30"/>
  <c r="P15" i="30"/>
  <c r="P14" i="30"/>
  <c r="P13" i="30"/>
  <c r="P12" i="30"/>
  <c r="P11" i="30"/>
  <c r="P10" i="30"/>
  <c r="P9" i="30"/>
  <c r="P8" i="30"/>
  <c r="O17" i="30"/>
  <c r="O16" i="30"/>
  <c r="O15" i="30"/>
  <c r="O14" i="30"/>
  <c r="O13" i="30"/>
  <c r="O12" i="30"/>
  <c r="O11" i="30"/>
  <c r="O10" i="30"/>
  <c r="O9" i="30"/>
  <c r="O8" i="30"/>
  <c r="I17" i="30"/>
  <c r="G17" i="30"/>
  <c r="E17" i="30"/>
  <c r="C17" i="30"/>
  <c r="I16" i="30"/>
  <c r="G16" i="30"/>
  <c r="E16" i="30"/>
  <c r="C16" i="30"/>
  <c r="I15" i="30"/>
  <c r="G15" i="30"/>
  <c r="E15" i="30"/>
  <c r="C15" i="30"/>
  <c r="I14" i="30"/>
  <c r="G14" i="30"/>
  <c r="E14" i="30"/>
  <c r="C14" i="30"/>
  <c r="I13" i="30"/>
  <c r="G13" i="30"/>
  <c r="E13" i="30"/>
  <c r="C13" i="30"/>
  <c r="I12" i="30"/>
  <c r="G12" i="30"/>
  <c r="E12" i="30"/>
  <c r="C12" i="30"/>
  <c r="I11" i="30"/>
  <c r="G11" i="30"/>
  <c r="E11" i="30"/>
  <c r="C11" i="30"/>
  <c r="I10" i="30"/>
  <c r="G10" i="30"/>
  <c r="E10" i="30"/>
  <c r="C10" i="30"/>
  <c r="I9" i="30"/>
  <c r="G9" i="30"/>
  <c r="E9" i="30"/>
  <c r="C9" i="30"/>
  <c r="I8" i="30"/>
  <c r="G8" i="30"/>
  <c r="E8" i="30"/>
  <c r="C8" i="30"/>
  <c r="Z161" i="22"/>
  <c r="W161" i="22"/>
  <c r="T161" i="22"/>
  <c r="Z159" i="22"/>
  <c r="Z156" i="22"/>
  <c r="W156" i="22"/>
  <c r="T156" i="22"/>
  <c r="Z160" i="22"/>
  <c r="W160" i="22"/>
  <c r="T160" i="22"/>
  <c r="W159" i="22"/>
  <c r="T159" i="22"/>
  <c r="Z158" i="22"/>
  <c r="W158" i="22"/>
  <c r="T158" i="22"/>
  <c r="Z157" i="22"/>
  <c r="W157" i="22"/>
  <c r="T157" i="22"/>
  <c r="V145" i="22"/>
  <c r="S145" i="22"/>
  <c r="P145" i="22"/>
  <c r="V146" i="22"/>
  <c r="S146" i="22"/>
  <c r="P146" i="22"/>
  <c r="V148" i="22"/>
  <c r="S148" i="22"/>
  <c r="P147" i="22"/>
  <c r="P148" i="22"/>
  <c r="V147" i="22"/>
  <c r="S147" i="22"/>
  <c r="V144" i="22"/>
  <c r="S144" i="22"/>
  <c r="P144" i="22"/>
  <c r="F19" i="18"/>
  <c r="F20" i="18"/>
  <c r="C21" i="18"/>
  <c r="E47" i="18"/>
  <c r="AA156" i="22"/>
  <c r="AA157" i="22"/>
  <c r="W147" i="22"/>
  <c r="W145" i="22"/>
  <c r="AA159" i="22"/>
  <c r="AA161" i="22"/>
  <c r="AA160" i="22"/>
  <c r="AA158" i="22"/>
  <c r="W144" i="22"/>
  <c r="W146" i="22"/>
  <c r="W148" i="22"/>
  <c r="J111" i="30"/>
  <c r="J95" i="30"/>
  <c r="J94" i="30"/>
  <c r="J93" i="30"/>
  <c r="R38" i="22"/>
  <c r="R39" i="22"/>
  <c r="R40" i="22"/>
  <c r="R41" i="22"/>
  <c r="R42" i="22"/>
  <c r="K10" i="30"/>
  <c r="K8" i="30"/>
  <c r="K12" i="30"/>
  <c r="K11" i="30"/>
  <c r="K9" i="30"/>
  <c r="G90" i="30"/>
  <c r="G111" i="30"/>
  <c r="O37" i="30"/>
  <c r="P37" i="30"/>
  <c r="G116" i="30"/>
  <c r="AE73" i="22"/>
  <c r="K13" i="30"/>
  <c r="K16" i="30"/>
  <c r="K15" i="30"/>
  <c r="K17" i="30"/>
  <c r="K14" i="30"/>
  <c r="G117" i="30"/>
  <c r="G44" i="30"/>
  <c r="G45" i="30"/>
  <c r="M8" i="30"/>
  <c r="B3" i="30"/>
  <c r="H32" i="22"/>
  <c r="H31" i="22"/>
  <c r="G7" i="43"/>
  <c r="AB62" i="22"/>
  <c r="AB61" i="22"/>
  <c r="AB60" i="22"/>
  <c r="H15" i="22"/>
  <c r="F31" i="43"/>
  <c r="F20" i="42"/>
  <c r="Q117" i="30"/>
  <c r="G115" i="30"/>
  <c r="G110" i="30"/>
  <c r="G109" i="30"/>
  <c r="G108" i="30"/>
  <c r="G106" i="30"/>
  <c r="F106" i="30"/>
  <c r="F105" i="30"/>
  <c r="F104" i="30"/>
  <c r="G103" i="30"/>
  <c r="F103" i="30"/>
  <c r="F102" i="30"/>
  <c r="E102" i="30"/>
  <c r="G101" i="30"/>
  <c r="F101" i="30"/>
  <c r="F100" i="30"/>
  <c r="F99" i="30"/>
  <c r="G98" i="30"/>
  <c r="F95" i="30"/>
  <c r="I95" i="30"/>
  <c r="G94" i="30"/>
  <c r="F94" i="30"/>
  <c r="I94" i="30"/>
  <c r="F93" i="30"/>
  <c r="I93" i="30"/>
  <c r="I90" i="30"/>
  <c r="M46" i="30"/>
  <c r="G46" i="30"/>
  <c r="M45" i="30"/>
  <c r="M44" i="30"/>
  <c r="O39" i="30"/>
  <c r="P39" i="30"/>
  <c r="D39" i="30"/>
  <c r="O38" i="30"/>
  <c r="P38" i="30"/>
  <c r="D36" i="30"/>
  <c r="E111" i="30"/>
  <c r="F35" i="30"/>
  <c r="D35" i="30"/>
  <c r="D33" i="30"/>
  <c r="D31" i="30"/>
  <c r="F30" i="30"/>
  <c r="D30" i="30"/>
  <c r="D29" i="30"/>
  <c r="O72" i="30"/>
  <c r="F28" i="30"/>
  <c r="D28" i="30"/>
  <c r="F27" i="30"/>
  <c r="D27" i="30"/>
  <c r="F26" i="30"/>
  <c r="D26" i="30"/>
  <c r="P22" i="30"/>
  <c r="O22" i="30"/>
  <c r="I22" i="30"/>
  <c r="G22" i="30"/>
  <c r="E22" i="30"/>
  <c r="C22" i="30"/>
  <c r="B22" i="30"/>
  <c r="P21" i="30"/>
  <c r="O21" i="30"/>
  <c r="I21" i="30"/>
  <c r="G21" i="30"/>
  <c r="E21" i="30"/>
  <c r="C21" i="30"/>
  <c r="B21" i="30"/>
  <c r="O21" i="18"/>
  <c r="O20" i="18"/>
  <c r="N20" i="18"/>
  <c r="G8" i="18"/>
  <c r="M19" i="30"/>
  <c r="E8" i="18"/>
  <c r="D8" i="18"/>
  <c r="C8" i="18"/>
  <c r="A8" i="18"/>
  <c r="M17" i="30"/>
  <c r="M16" i="30"/>
  <c r="M15" i="30"/>
  <c r="G104" i="30"/>
  <c r="M14" i="30"/>
  <c r="E103" i="30"/>
  <c r="M13" i="30"/>
  <c r="M12" i="30"/>
  <c r="M11" i="30"/>
  <c r="D98" i="30"/>
  <c r="M10" i="30"/>
  <c r="G99" i="30"/>
  <c r="M9" i="30"/>
  <c r="E98" i="30"/>
  <c r="H98" i="30"/>
  <c r="P3" i="30"/>
  <c r="M3" i="30"/>
  <c r="B9" i="35"/>
  <c r="J3" i="30"/>
  <c r="G3" i="30"/>
  <c r="E10" i="42"/>
  <c r="N42" i="22"/>
  <c r="N41" i="22"/>
  <c r="N40" i="22"/>
  <c r="N39" i="22"/>
  <c r="N38" i="22"/>
  <c r="M42" i="22"/>
  <c r="M41" i="22"/>
  <c r="M40" i="22"/>
  <c r="M39" i="22"/>
  <c r="M38" i="22"/>
  <c r="E109" i="30"/>
  <c r="H109" i="30"/>
  <c r="O74" i="30"/>
  <c r="H111" i="30"/>
  <c r="L111" i="30"/>
  <c r="K22" i="30"/>
  <c r="M22" i="30"/>
  <c r="K21" i="30"/>
  <c r="M21" i="30"/>
  <c r="B8" i="18"/>
  <c r="N21" i="18"/>
  <c r="F8" i="18"/>
  <c r="E99" i="30"/>
  <c r="H99" i="30"/>
  <c r="H103" i="30"/>
  <c r="D103" i="30"/>
  <c r="F36" i="30"/>
  <c r="E104" i="30"/>
  <c r="H104" i="30"/>
  <c r="N111" i="30"/>
  <c r="E106" i="30"/>
  <c r="H106" i="30"/>
  <c r="E97" i="30"/>
  <c r="D102" i="30"/>
  <c r="E101" i="30"/>
  <c r="H101" i="30"/>
  <c r="E105" i="30"/>
  <c r="H105" i="30"/>
  <c r="E108" i="30"/>
  <c r="H108" i="30"/>
  <c r="D97" i="30"/>
  <c r="K15" i="22"/>
  <c r="F34" i="43"/>
  <c r="E116" i="43"/>
  <c r="H116" i="43"/>
  <c r="L116" i="43"/>
  <c r="N116" i="43"/>
  <c r="E100" i="30"/>
  <c r="H100" i="30"/>
  <c r="D107" i="30"/>
  <c r="F37" i="30"/>
  <c r="P78" i="30"/>
  <c r="E107" i="30"/>
  <c r="F34" i="30"/>
  <c r="E116" i="30"/>
  <c r="H116" i="30"/>
  <c r="J15" i="22"/>
  <c r="E110" i="43"/>
  <c r="H110" i="43"/>
  <c r="L110" i="43"/>
  <c r="G57" i="43"/>
  <c r="H57" i="43"/>
  <c r="G56" i="43"/>
  <c r="H56" i="43"/>
  <c r="L116" i="30"/>
  <c r="E32" i="22"/>
  <c r="E31" i="22"/>
  <c r="G90" i="42"/>
  <c r="D32" i="22"/>
  <c r="D31" i="22"/>
  <c r="D90" i="42"/>
  <c r="C32" i="22"/>
  <c r="C31" i="22"/>
  <c r="H59" i="43"/>
  <c r="K70" i="43"/>
  <c r="N110" i="43"/>
  <c r="E110" i="30"/>
  <c r="H110" i="30"/>
  <c r="N116" i="30"/>
  <c r="P7" i="30"/>
  <c r="B7" i="30"/>
  <c r="K7" i="30"/>
  <c r="G7" i="30"/>
  <c r="J90" i="30"/>
  <c r="H60" i="43"/>
  <c r="E117" i="43"/>
  <c r="H117" i="43"/>
  <c r="L117" i="43"/>
  <c r="J104" i="43"/>
  <c r="L104" i="43"/>
  <c r="J105" i="43"/>
  <c r="L105" i="43"/>
  <c r="J103" i="43"/>
  <c r="L103" i="43"/>
  <c r="J106" i="43"/>
  <c r="L106" i="43"/>
  <c r="P30" i="43"/>
  <c r="J90" i="43"/>
  <c r="L90" i="43"/>
  <c r="M7" i="30"/>
  <c r="E90" i="30"/>
  <c r="H90" i="30"/>
  <c r="D88" i="30"/>
  <c r="O30" i="30"/>
  <c r="O66" i="30"/>
  <c r="G56" i="30"/>
  <c r="H56" i="30"/>
  <c r="G57" i="30"/>
  <c r="H57" i="30"/>
  <c r="F106" i="42"/>
  <c r="E118" i="43"/>
  <c r="H118" i="43"/>
  <c r="L118" i="43"/>
  <c r="F109" i="42"/>
  <c r="N105" i="43"/>
  <c r="S105" i="43"/>
  <c r="P27" i="43"/>
  <c r="Q27" i="43"/>
  <c r="R27" i="43"/>
  <c r="P29" i="43"/>
  <c r="Q29" i="43"/>
  <c r="R29" i="43"/>
  <c r="Q30" i="43"/>
  <c r="R30" i="43"/>
  <c r="P31" i="43"/>
  <c r="Q31" i="43"/>
  <c r="R31" i="43"/>
  <c r="P28" i="43"/>
  <c r="Q28" i="43"/>
  <c r="R28" i="43"/>
  <c r="N104" i="43"/>
  <c r="S104" i="43"/>
  <c r="N106" i="43"/>
  <c r="S106" i="43"/>
  <c r="N117" i="43"/>
  <c r="S117" i="43"/>
  <c r="N90" i="43"/>
  <c r="S90" i="43"/>
  <c r="R106" i="43"/>
  <c r="S93" i="43"/>
  <c r="S109" i="43"/>
  <c r="S95" i="43"/>
  <c r="S98" i="43"/>
  <c r="S99" i="43"/>
  <c r="S115" i="43"/>
  <c r="N120" i="43"/>
  <c r="S94" i="43"/>
  <c r="S100" i="43"/>
  <c r="S112" i="43"/>
  <c r="S111" i="43"/>
  <c r="S108" i="43"/>
  <c r="S116" i="43"/>
  <c r="S101" i="43"/>
  <c r="R89" i="43"/>
  <c r="R119" i="43"/>
  <c r="S110" i="43"/>
  <c r="N103" i="43"/>
  <c r="S103" i="43"/>
  <c r="R103" i="43"/>
  <c r="K76" i="30"/>
  <c r="J108" i="30"/>
  <c r="L108" i="30"/>
  <c r="K68" i="30"/>
  <c r="K72" i="30"/>
  <c r="J109" i="30"/>
  <c r="L109" i="30"/>
  <c r="K70" i="30"/>
  <c r="L90" i="30"/>
  <c r="H59" i="30"/>
  <c r="H60" i="30"/>
  <c r="F99" i="42"/>
  <c r="O31" i="30"/>
  <c r="O27" i="30"/>
  <c r="O29" i="30"/>
  <c r="O28" i="30"/>
  <c r="K74" i="30"/>
  <c r="J110" i="30"/>
  <c r="L110" i="30"/>
  <c r="R104" i="43"/>
  <c r="R105" i="43"/>
  <c r="F108" i="42"/>
  <c r="F107" i="42"/>
  <c r="J106" i="42"/>
  <c r="N121" i="43"/>
  <c r="R99" i="43"/>
  <c r="R116" i="43"/>
  <c r="R110" i="43"/>
  <c r="R112" i="43"/>
  <c r="R115" i="43"/>
  <c r="R109" i="43"/>
  <c r="R108" i="43"/>
  <c r="R100" i="43"/>
  <c r="R101" i="43"/>
  <c r="R95" i="43"/>
  <c r="R94" i="43"/>
  <c r="R93" i="43"/>
  <c r="R98" i="43"/>
  <c r="R111" i="43"/>
  <c r="R117" i="43"/>
  <c r="N118" i="43"/>
  <c r="S118" i="43"/>
  <c r="R118" i="43"/>
  <c r="R90" i="43"/>
  <c r="N109" i="30"/>
  <c r="N108" i="30"/>
  <c r="N110" i="30"/>
  <c r="N90" i="30"/>
  <c r="B18" i="38"/>
  <c r="F102" i="42"/>
  <c r="E118" i="30"/>
  <c r="H118" i="30"/>
  <c r="L118" i="30"/>
  <c r="J106" i="30"/>
  <c r="L106" i="30"/>
  <c r="J104" i="30"/>
  <c r="L104" i="30"/>
  <c r="J105" i="30"/>
  <c r="L105" i="30"/>
  <c r="J103" i="30"/>
  <c r="L103" i="30"/>
  <c r="P30" i="30"/>
  <c r="J101" i="30"/>
  <c r="L101" i="30"/>
  <c r="J100" i="30"/>
  <c r="L100" i="30"/>
  <c r="J99" i="30"/>
  <c r="L99" i="30"/>
  <c r="J98" i="30"/>
  <c r="L98" i="30"/>
  <c r="E117" i="30"/>
  <c r="H117" i="30"/>
  <c r="L117" i="30"/>
  <c r="M124" i="43"/>
  <c r="L124" i="43"/>
  <c r="J107" i="42"/>
  <c r="N98" i="30"/>
  <c r="N100" i="30"/>
  <c r="N101" i="30"/>
  <c r="N117" i="30"/>
  <c r="N104" i="30"/>
  <c r="N106" i="30"/>
  <c r="N103" i="30"/>
  <c r="N118" i="30"/>
  <c r="N105" i="30"/>
  <c r="B23" i="38"/>
  <c r="N99" i="30"/>
  <c r="F100" i="42"/>
  <c r="Q30" i="30"/>
  <c r="P28" i="30"/>
  <c r="Q28" i="30"/>
  <c r="P31" i="30"/>
  <c r="Q31" i="30"/>
  <c r="R31" i="30"/>
  <c r="P29" i="30"/>
  <c r="Q29" i="30"/>
  <c r="R29" i="30"/>
  <c r="P27" i="30"/>
  <c r="Q27" i="30"/>
  <c r="R27" i="30"/>
  <c r="H125" i="43"/>
  <c r="H107" i="42"/>
  <c r="H106" i="42"/>
  <c r="J99" i="42"/>
  <c r="R30" i="30"/>
  <c r="R28" i="30"/>
  <c r="F101" i="42"/>
  <c r="J3" i="42"/>
  <c r="H109" i="42"/>
  <c r="H108" i="42"/>
  <c r="J109" i="42"/>
  <c r="J108" i="42"/>
  <c r="J79" i="42"/>
  <c r="J118" i="42"/>
  <c r="J36" i="42"/>
  <c r="B16" i="38"/>
  <c r="B17" i="38"/>
  <c r="B21" i="38"/>
  <c r="B22" i="38"/>
  <c r="H125" i="30"/>
  <c r="J100" i="42"/>
  <c r="J101" i="42"/>
  <c r="J102" i="42"/>
  <c r="O132" i="22"/>
  <c r="N132" i="22"/>
  <c r="M132" i="22"/>
  <c r="L132" i="22"/>
  <c r="J132" i="22"/>
  <c r="K132" i="22"/>
  <c r="AE116" i="22"/>
  <c r="AD116" i="22"/>
  <c r="AC116" i="22"/>
  <c r="AE105" i="22"/>
  <c r="AD105" i="22"/>
  <c r="AC105" i="22"/>
  <c r="AC94" i="22"/>
  <c r="AE94" i="22"/>
  <c r="AD94" i="22"/>
  <c r="AE83" i="22"/>
  <c r="AD83" i="22"/>
  <c r="AC83" i="22"/>
  <c r="AD73" i="22"/>
  <c r="AC73" i="22"/>
  <c r="F130" i="22"/>
  <c r="E130" i="22"/>
  <c r="D130" i="22"/>
  <c r="C130" i="22"/>
  <c r="G18" i="30"/>
  <c r="E18" i="30"/>
  <c r="E94" i="30"/>
  <c r="H94" i="30"/>
  <c r="L94" i="30"/>
  <c r="I18" i="30"/>
  <c r="C18" i="30"/>
  <c r="D92" i="30"/>
  <c r="P18" i="30"/>
  <c r="O18" i="30"/>
  <c r="G93" i="30"/>
  <c r="B18" i="30"/>
  <c r="K18" i="30"/>
  <c r="E95" i="30"/>
  <c r="H95" i="30"/>
  <c r="L95" i="30"/>
  <c r="W28" i="22"/>
  <c r="V28" i="22"/>
  <c r="U28" i="22"/>
  <c r="T28" i="22"/>
  <c r="W27" i="22"/>
  <c r="U27" i="22"/>
  <c r="V27" i="22"/>
  <c r="T27" i="22"/>
  <c r="S28" i="22"/>
  <c r="R28" i="22"/>
  <c r="S27" i="22"/>
  <c r="R27" i="22"/>
  <c r="L20" i="18"/>
  <c r="L21" i="18"/>
  <c r="F75" i="42"/>
  <c r="N95" i="30"/>
  <c r="N94" i="30"/>
  <c r="M18" i="30"/>
  <c r="E93" i="30"/>
  <c r="H93" i="30"/>
  <c r="L93" i="30"/>
  <c r="E75" i="42"/>
  <c r="C75" i="42"/>
  <c r="D75" i="42"/>
  <c r="G75" i="42"/>
  <c r="H75" i="42"/>
  <c r="P3" i="18"/>
  <c r="J3" i="18"/>
  <c r="G3" i="18"/>
  <c r="D3" i="18"/>
  <c r="B3" i="18"/>
  <c r="S99" i="30"/>
  <c r="S110" i="30"/>
  <c r="S93" i="30"/>
  <c r="S108" i="30"/>
  <c r="S105" i="30"/>
  <c r="S103" i="30"/>
  <c r="S112" i="30"/>
  <c r="S98" i="30"/>
  <c r="S90" i="30"/>
  <c r="S104" i="30"/>
  <c r="S118" i="30"/>
  <c r="S116" i="30"/>
  <c r="S106" i="30"/>
  <c r="S109" i="30"/>
  <c r="S117" i="30"/>
  <c r="S100" i="30"/>
  <c r="S111" i="30"/>
  <c r="S101" i="30"/>
  <c r="S94" i="30"/>
  <c r="S95" i="30"/>
  <c r="N93" i="30"/>
  <c r="M26" i="22"/>
  <c r="G44" i="18"/>
  <c r="K21" i="18"/>
  <c r="E43" i="18"/>
  <c r="G43" i="18"/>
  <c r="D12" i="18"/>
  <c r="S11" i="18"/>
  <c r="I43" i="18"/>
  <c r="E44" i="18"/>
  <c r="R11" i="18"/>
  <c r="K7" i="18"/>
  <c r="I19" i="18"/>
  <c r="K22" i="18"/>
  <c r="I20" i="18"/>
  <c r="J22" i="18"/>
  <c r="J21" i="18"/>
  <c r="K25" i="22"/>
  <c r="K26" i="22"/>
  <c r="G47" i="18"/>
  <c r="J46" i="18"/>
  <c r="I45" i="18"/>
  <c r="I48" i="18"/>
  <c r="G46" i="18"/>
  <c r="J45" i="18"/>
  <c r="G45" i="18"/>
  <c r="I44" i="18"/>
  <c r="W18" i="18"/>
  <c r="D44" i="18"/>
  <c r="K28" i="18"/>
  <c r="J44" i="18"/>
  <c r="W19" i="18"/>
  <c r="E45" i="18"/>
  <c r="H45" i="18"/>
  <c r="L45" i="18"/>
  <c r="N45" i="18"/>
  <c r="W20" i="18"/>
  <c r="E46" i="18"/>
  <c r="H46" i="18"/>
  <c r="L46" i="18"/>
  <c r="N46" i="18"/>
  <c r="D34" i="30"/>
  <c r="E115" i="30"/>
  <c r="H115" i="30"/>
  <c r="L115" i="30"/>
  <c r="S115" i="30"/>
  <c r="I47" i="18"/>
  <c r="J19" i="18"/>
  <c r="K20" i="18"/>
  <c r="I46" i="18"/>
  <c r="P20" i="18"/>
  <c r="P21" i="18"/>
  <c r="C22" i="18"/>
  <c r="H47" i="18"/>
  <c r="L47" i="18"/>
  <c r="N47" i="18"/>
  <c r="O18" i="18"/>
  <c r="M20" i="18"/>
  <c r="U12" i="18"/>
  <c r="V12" i="18"/>
  <c r="W12" i="18"/>
  <c r="K26" i="18"/>
  <c r="K30" i="18"/>
  <c r="K32" i="18"/>
  <c r="H43" i="18"/>
  <c r="D43" i="18"/>
  <c r="N115" i="30"/>
  <c r="I15" i="22"/>
  <c r="F32" i="43"/>
  <c r="F31" i="30"/>
  <c r="G32" i="22"/>
  <c r="G31" i="22"/>
  <c r="I25" i="22"/>
  <c r="Q21" i="18"/>
  <c r="H44" i="18"/>
  <c r="L44" i="18"/>
  <c r="N44" i="18"/>
  <c r="M21" i="18"/>
  <c r="U13" i="18"/>
  <c r="V13" i="18"/>
  <c r="W13" i="18"/>
  <c r="L43" i="18"/>
  <c r="N43" i="18"/>
  <c r="E7" i="30"/>
  <c r="D32" i="30"/>
  <c r="F32" i="30"/>
  <c r="I26" i="22"/>
  <c r="V15" i="18"/>
  <c r="V16" i="18"/>
  <c r="V14" i="18"/>
  <c r="D42" i="18"/>
  <c r="W15" i="18"/>
  <c r="W16" i="18"/>
  <c r="H48" i="18"/>
  <c r="L48" i="18"/>
  <c r="N48" i="18"/>
  <c r="C125" i="42"/>
  <c r="C126" i="42"/>
  <c r="R111" i="30"/>
  <c r="R112" i="30"/>
  <c r="R115" i="30"/>
  <c r="R116" i="30"/>
  <c r="R109" i="30"/>
  <c r="R108" i="30"/>
  <c r="R90" i="30"/>
  <c r="R89" i="30"/>
  <c r="R110" i="30"/>
  <c r="R105" i="30"/>
  <c r="R100" i="30"/>
  <c r="R103" i="30"/>
  <c r="R101" i="30"/>
  <c r="R117" i="30"/>
  <c r="R118" i="30"/>
  <c r="R106" i="30"/>
  <c r="R99" i="30"/>
  <c r="R98" i="30"/>
  <c r="R104" i="30"/>
  <c r="R94" i="30"/>
  <c r="R95" i="30"/>
  <c r="R93" i="30"/>
  <c r="N120" i="30"/>
  <c r="N121" i="30"/>
  <c r="F125" i="42"/>
  <c r="N53" i="18"/>
  <c r="R119" i="30"/>
  <c r="L124" i="30"/>
  <c r="M124" i="30"/>
  <c r="H99" i="42"/>
  <c r="G13" i="38"/>
  <c r="H13" i="38"/>
  <c r="I13" i="38"/>
  <c r="D53" i="18"/>
  <c r="D54" i="18"/>
  <c r="C127" i="42"/>
  <c r="O53" i="18"/>
  <c r="N51" i="18"/>
  <c r="H100" i="42"/>
  <c r="F126" i="42"/>
  <c r="T57" i="43"/>
  <c r="K106" i="42"/>
  <c r="G7" i="38"/>
  <c r="H7" i="38"/>
  <c r="I7" i="38"/>
  <c r="H102" i="42"/>
  <c r="H101" i="42"/>
  <c r="G14" i="38"/>
  <c r="F127" i="42"/>
  <c r="K99" i="42"/>
  <c r="G8" i="38"/>
  <c r="T57"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STIVINSON</author>
    <author>tc={F4C78DFD-55AB-4778-B6B3-60BA6BB83573}</author>
    <author>tc={F701700C-9BD6-4B93-BF55-099B5E101711}</author>
  </authors>
  <commentList>
    <comment ref="M29" authorId="0" shapeId="0" xr:uid="{00000000-0006-0000-0000-000001000000}">
      <text>
        <r>
          <rPr>
            <b/>
            <sz val="9"/>
            <color indexed="81"/>
            <rFont val="Tahoma"/>
            <family val="2"/>
          </rPr>
          <t xml:space="preserve">CERTIFICADO: INM RVP # 5053 - 2020-12-17 </t>
        </r>
        <r>
          <rPr>
            <sz val="9"/>
            <color indexed="81"/>
            <rFont val="Tahoma"/>
            <family val="2"/>
          </rPr>
          <t xml:space="preserve">
</t>
        </r>
      </text>
    </comment>
    <comment ref="N29" authorId="0" shapeId="0" xr:uid="{00000000-0006-0000-0000-000002000000}">
      <text>
        <r>
          <rPr>
            <b/>
            <sz val="9"/>
            <color indexed="81"/>
            <rFont val="Tahoma"/>
            <family val="2"/>
          </rPr>
          <t>CERTIFICADO: INM RVP # 3688 2018-11-02 INM RVT # 3692 2018-11-06</t>
        </r>
        <r>
          <rPr>
            <sz val="9"/>
            <color indexed="81"/>
            <rFont val="Tahoma"/>
            <family val="2"/>
          </rPr>
          <t xml:space="preserve">
</t>
        </r>
      </text>
    </comment>
    <comment ref="Q36" authorId="1" shapeId="0" xr:uid="{00000000-0006-0000-00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Puntos de calibración anterior 2019</t>
      </text>
    </comment>
    <comment ref="H71" authorId="2" shapeId="0" xr:uid="{00000000-0006-0000-0000-00000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Valor agregado algebraicamente al resultado no corregido de una medición para compensar un error sistemático. Nota: la corrección es igual al error sistemático, con signo negativo.</t>
      </text>
    </comment>
    <comment ref="N142" authorId="0" shapeId="0" xr:uid="{00000000-0006-0000-0000-000005000000}">
      <text>
        <r>
          <rPr>
            <sz val="9"/>
            <color indexed="81"/>
            <rFont val="Tahoma"/>
            <family val="2"/>
          </rPr>
          <t>punto de calibración al 10% según certificado</t>
        </r>
      </text>
    </comment>
    <comment ref="O142" authorId="0" shapeId="0" xr:uid="{00000000-0006-0000-0000-000006000000}">
      <text>
        <r>
          <rPr>
            <b/>
            <sz val="9"/>
            <color indexed="81"/>
            <rFont val="Tahoma"/>
            <family val="2"/>
          </rPr>
          <t>punto de calibración al 10% según certificado</t>
        </r>
        <r>
          <rPr>
            <sz val="9"/>
            <color indexed="81"/>
            <rFont val="Tahoma"/>
            <family val="2"/>
          </rPr>
          <t xml:space="preserve">
</t>
        </r>
      </text>
    </comment>
    <comment ref="Q142" authorId="0" shapeId="0" xr:uid="{00000000-0006-0000-0000-000007000000}">
      <text>
        <r>
          <rPr>
            <b/>
            <sz val="9"/>
            <color indexed="81"/>
            <rFont val="Tahoma"/>
            <family val="2"/>
          </rPr>
          <t>punto de calibración al 50% según certificado</t>
        </r>
        <r>
          <rPr>
            <sz val="9"/>
            <color indexed="81"/>
            <rFont val="Tahoma"/>
            <family val="2"/>
          </rPr>
          <t xml:space="preserve">
</t>
        </r>
      </text>
    </comment>
    <comment ref="R142" authorId="0" shapeId="0" xr:uid="{00000000-0006-0000-0000-000008000000}">
      <text>
        <r>
          <rPr>
            <b/>
            <sz val="9"/>
            <color indexed="81"/>
            <rFont val="Tahoma"/>
            <family val="2"/>
          </rPr>
          <t>punto de calibración al 50% según certificado</t>
        </r>
        <r>
          <rPr>
            <sz val="9"/>
            <color indexed="81"/>
            <rFont val="Tahoma"/>
            <family val="2"/>
          </rPr>
          <t xml:space="preserve">
</t>
        </r>
      </text>
    </comment>
    <comment ref="T142" authorId="0" shapeId="0" xr:uid="{00000000-0006-0000-0000-000009000000}">
      <text>
        <r>
          <rPr>
            <b/>
            <sz val="9"/>
            <color indexed="81"/>
            <rFont val="Tahoma"/>
            <family val="2"/>
          </rPr>
          <t>punto de calibración al 100% según certificado</t>
        </r>
        <r>
          <rPr>
            <sz val="9"/>
            <color indexed="81"/>
            <rFont val="Tahoma"/>
            <family val="2"/>
          </rPr>
          <t xml:space="preserve">
</t>
        </r>
      </text>
    </comment>
    <comment ref="U142" authorId="0" shapeId="0" xr:uid="{00000000-0006-0000-0000-00000A000000}">
      <text>
        <r>
          <rPr>
            <b/>
            <sz val="9"/>
            <color indexed="81"/>
            <rFont val="Tahoma"/>
            <family val="2"/>
          </rPr>
          <t>punto de calibración al 100% según certificado</t>
        </r>
        <r>
          <rPr>
            <sz val="9"/>
            <color indexed="81"/>
            <rFont val="Tahoma"/>
            <family val="2"/>
          </rPr>
          <t xml:space="preserve">
</t>
        </r>
      </text>
    </comment>
    <comment ref="R154" authorId="0" shapeId="0" xr:uid="{00000000-0006-0000-0000-00000B000000}">
      <text>
        <r>
          <rPr>
            <sz val="9"/>
            <color indexed="81"/>
            <rFont val="Tahoma"/>
            <family val="2"/>
          </rPr>
          <t>punto de calibración al 10% según certificado</t>
        </r>
      </text>
    </comment>
    <comment ref="S154" authorId="0" shapeId="0" xr:uid="{00000000-0006-0000-0000-00000C000000}">
      <text>
        <r>
          <rPr>
            <b/>
            <sz val="9"/>
            <color indexed="81"/>
            <rFont val="Tahoma"/>
            <family val="2"/>
          </rPr>
          <t>punto de calibración al 10% según certificado</t>
        </r>
        <r>
          <rPr>
            <sz val="9"/>
            <color indexed="81"/>
            <rFont val="Tahoma"/>
            <family val="2"/>
          </rPr>
          <t xml:space="preserve">
</t>
        </r>
      </text>
    </comment>
    <comment ref="U154" authorId="0" shapeId="0" xr:uid="{00000000-0006-0000-0000-00000D000000}">
      <text>
        <r>
          <rPr>
            <b/>
            <sz val="9"/>
            <color indexed="81"/>
            <rFont val="Tahoma"/>
            <family val="2"/>
          </rPr>
          <t>punto de calibración al 50% según certificado</t>
        </r>
        <r>
          <rPr>
            <sz val="9"/>
            <color indexed="81"/>
            <rFont val="Tahoma"/>
            <family val="2"/>
          </rPr>
          <t xml:space="preserve">
</t>
        </r>
      </text>
    </comment>
    <comment ref="V154" authorId="0" shapeId="0" xr:uid="{00000000-0006-0000-0000-00000E000000}">
      <text>
        <r>
          <rPr>
            <b/>
            <sz val="9"/>
            <color indexed="81"/>
            <rFont val="Tahoma"/>
            <family val="2"/>
          </rPr>
          <t>punto de calibración al 50% según certificado</t>
        </r>
        <r>
          <rPr>
            <sz val="9"/>
            <color indexed="81"/>
            <rFont val="Tahoma"/>
            <family val="2"/>
          </rPr>
          <t xml:space="preserve">
</t>
        </r>
      </text>
    </comment>
    <comment ref="X154" authorId="0" shapeId="0" xr:uid="{00000000-0006-0000-0000-00000F000000}">
      <text>
        <r>
          <rPr>
            <b/>
            <sz val="9"/>
            <color indexed="81"/>
            <rFont val="Tahoma"/>
            <family val="2"/>
          </rPr>
          <t>punto de calibración al 100% según certificado</t>
        </r>
        <r>
          <rPr>
            <sz val="9"/>
            <color indexed="81"/>
            <rFont val="Tahoma"/>
            <family val="2"/>
          </rPr>
          <t xml:space="preserve">
</t>
        </r>
      </text>
    </comment>
    <comment ref="Y154" authorId="0" shapeId="0" xr:uid="{00000000-0006-0000-0000-000010000000}">
      <text>
        <r>
          <rPr>
            <b/>
            <sz val="9"/>
            <color indexed="81"/>
            <rFont val="Tahoma"/>
            <family val="2"/>
          </rPr>
          <t>punto de calibración al 100% según certificado</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STIVINSON</author>
  </authors>
  <commentList>
    <comment ref="B66" authorId="0" shapeId="0" xr:uid="{00000000-0006-0000-0100-000001000000}">
      <text>
        <r>
          <rPr>
            <b/>
            <sz val="9"/>
            <color indexed="81"/>
            <rFont val="Tahoma"/>
            <family val="2"/>
          </rPr>
          <t>ecuación 15 Euramet cg-21</t>
        </r>
        <r>
          <rPr>
            <sz val="9"/>
            <color indexed="81"/>
            <rFont val="Tahoma"/>
            <family val="2"/>
          </rPr>
          <t xml:space="preserve">
</t>
        </r>
      </text>
    </comment>
    <comment ref="B68" authorId="0" shapeId="0" xr:uid="{00000000-0006-0000-0100-000002000000}">
      <text>
        <r>
          <rPr>
            <b/>
            <sz val="9"/>
            <color indexed="81"/>
            <rFont val="Tahoma"/>
            <family val="2"/>
          </rPr>
          <t xml:space="preserve">ecuación 16  Euramet cg-21
</t>
        </r>
        <r>
          <rPr>
            <sz val="9"/>
            <color indexed="81"/>
            <rFont val="Tahoma"/>
            <family val="2"/>
          </rPr>
          <t xml:space="preserve">
</t>
        </r>
      </text>
    </comment>
    <comment ref="B70" authorId="0" shapeId="0" xr:uid="{00000000-0006-0000-0100-000003000000}">
      <text>
        <r>
          <rPr>
            <b/>
            <sz val="9"/>
            <color indexed="81"/>
            <rFont val="Tahoma"/>
            <family val="2"/>
          </rPr>
          <t xml:space="preserve">ecuación 17 Euramet cg-21
</t>
        </r>
      </text>
    </comment>
    <comment ref="B72" authorId="0" shapeId="0" xr:uid="{00000000-0006-0000-0100-000004000000}">
      <text>
        <r>
          <rPr>
            <b/>
            <sz val="9"/>
            <color indexed="81"/>
            <rFont val="Tahoma"/>
            <family val="2"/>
          </rPr>
          <t xml:space="preserve">ecuación 18 Euramet cg-21
</t>
        </r>
      </text>
    </comment>
    <comment ref="B74" authorId="0" shapeId="0" xr:uid="{00000000-0006-0000-0100-000005000000}">
      <text>
        <r>
          <rPr>
            <b/>
            <sz val="9"/>
            <color indexed="81"/>
            <rFont val="Tahoma"/>
            <family val="2"/>
          </rPr>
          <t xml:space="preserve">ecuación 19 Euramet cg-21
</t>
        </r>
      </text>
    </comment>
    <comment ref="B76" authorId="0" shapeId="0" xr:uid="{00000000-0006-0000-0100-000006000000}">
      <text>
        <r>
          <rPr>
            <b/>
            <sz val="9"/>
            <color indexed="81"/>
            <rFont val="Tahoma"/>
            <family val="2"/>
          </rPr>
          <t xml:space="preserve">ecuación 20 Euramet cg-21
</t>
        </r>
      </text>
    </comment>
    <comment ref="B78" authorId="0" shapeId="0" xr:uid="{00000000-0006-0000-0100-000007000000}">
      <text>
        <r>
          <rPr>
            <b/>
            <sz val="9"/>
            <color indexed="81"/>
            <rFont val="Tahoma"/>
            <family val="2"/>
          </rPr>
          <t xml:space="preserve">ecuación 21 Euramet cg-21
</t>
        </r>
      </text>
    </comment>
    <comment ref="B80" authorId="0" shapeId="0" xr:uid="{00000000-0006-0000-0100-000008000000}">
      <text>
        <r>
          <rPr>
            <b/>
            <sz val="9"/>
            <color indexed="81"/>
            <rFont val="Tahoma"/>
            <family val="2"/>
          </rPr>
          <t xml:space="preserve">ecuación 22 Euramet cg-21
</t>
        </r>
      </text>
    </comment>
    <comment ref="B82" authorId="0" shapeId="0" xr:uid="{00000000-0006-0000-0100-000009000000}">
      <text>
        <r>
          <rPr>
            <b/>
            <sz val="9"/>
            <color indexed="81"/>
            <rFont val="Tahoma"/>
            <family val="2"/>
          </rPr>
          <t xml:space="preserve">ecuación 23 Euramet cg-21
</t>
        </r>
      </text>
    </comment>
    <comment ref="B89" authorId="0" shapeId="0" xr:uid="{00000000-0006-0000-0100-00000A000000}">
      <text>
        <r>
          <rPr>
            <b/>
            <sz val="9"/>
            <color indexed="81"/>
            <rFont val="Tahoma"/>
            <family val="2"/>
          </rPr>
          <t>numeral: 6.3.3.1 ecuación (5)</t>
        </r>
        <r>
          <rPr>
            <sz val="9"/>
            <color indexed="81"/>
            <rFont val="Tahoma"/>
            <family val="2"/>
          </rPr>
          <t xml:space="preserve">
Euramet cg-21</t>
        </r>
      </text>
    </comment>
    <comment ref="B90" authorId="0" shapeId="0" xr:uid="{00000000-0006-0000-0100-00000B000000}">
      <text>
        <r>
          <rPr>
            <b/>
            <sz val="9"/>
            <color indexed="81"/>
            <rFont val="Tahoma"/>
            <family val="2"/>
          </rPr>
          <t>numeral:6.3.3.1 ecuación (7)</t>
        </r>
        <r>
          <rPr>
            <sz val="9"/>
            <color indexed="81"/>
            <rFont val="Tahoma"/>
            <family val="2"/>
          </rPr>
          <t xml:space="preserve">
Euramet cg-21</t>
        </r>
      </text>
    </comment>
    <comment ref="B97" authorId="0" shapeId="0" xr:uid="{00000000-0006-0000-0100-00000C000000}">
      <text>
        <r>
          <rPr>
            <b/>
            <sz val="9"/>
            <color indexed="81"/>
            <rFont val="Tahoma"/>
            <family val="2"/>
          </rPr>
          <t>Numeral:6.3.3.2</t>
        </r>
        <r>
          <rPr>
            <sz val="9"/>
            <color indexed="81"/>
            <rFont val="Tahoma"/>
            <family val="2"/>
          </rPr>
          <t xml:space="preserve">
Euramet cg-21</t>
        </r>
      </text>
    </comment>
    <comment ref="B98" authorId="0" shapeId="0" xr:uid="{00000000-0006-0000-0100-00000D000000}">
      <text>
        <r>
          <rPr>
            <b/>
            <sz val="9"/>
            <color indexed="81"/>
            <rFont val="Tahoma"/>
            <family val="2"/>
          </rPr>
          <t>numeral:6.3.3.2</t>
        </r>
        <r>
          <rPr>
            <sz val="9"/>
            <color indexed="81"/>
            <rFont val="Tahoma"/>
            <family val="2"/>
          </rPr>
          <t xml:space="preserve">
Euramet cg-21</t>
        </r>
      </text>
    </comment>
    <comment ref="B99" authorId="0" shapeId="0" xr:uid="{00000000-0006-0000-0100-00000E000000}">
      <text>
        <r>
          <rPr>
            <b/>
            <sz val="9"/>
            <color indexed="81"/>
            <rFont val="Tahoma"/>
            <family val="2"/>
          </rPr>
          <t>Numeral:6.3.3.2</t>
        </r>
        <r>
          <rPr>
            <sz val="9"/>
            <color indexed="81"/>
            <rFont val="Tahoma"/>
            <family val="2"/>
          </rPr>
          <t xml:space="preserve">
Euramet cg-21</t>
        </r>
      </text>
    </comment>
    <comment ref="B100" authorId="0" shapeId="0" xr:uid="{00000000-0006-0000-0100-00000F000000}">
      <text>
        <r>
          <rPr>
            <b/>
            <sz val="9"/>
            <color indexed="81"/>
            <rFont val="Tahoma"/>
            <family val="2"/>
          </rPr>
          <t>numeral:6.3.3.2</t>
        </r>
        <r>
          <rPr>
            <sz val="9"/>
            <color indexed="81"/>
            <rFont val="Tahoma"/>
            <family val="2"/>
          </rPr>
          <t xml:space="preserve">
Euramet cg-21</t>
        </r>
      </text>
    </comment>
    <comment ref="B101" authorId="0" shapeId="0" xr:uid="{00000000-0006-0000-0100-000010000000}">
      <text>
        <r>
          <rPr>
            <b/>
            <sz val="9"/>
            <color indexed="81"/>
            <rFont val="Tahoma"/>
            <family val="2"/>
          </rPr>
          <t>numeral:6.3.3.2</t>
        </r>
        <r>
          <rPr>
            <sz val="9"/>
            <color indexed="81"/>
            <rFont val="Tahoma"/>
            <family val="2"/>
          </rPr>
          <t xml:space="preserve">
Euramet cg-21</t>
        </r>
      </text>
    </comment>
    <comment ref="B102" authorId="0" shapeId="0" xr:uid="{00000000-0006-0000-0100-000011000000}">
      <text>
        <r>
          <rPr>
            <b/>
            <sz val="9"/>
            <color indexed="81"/>
            <rFont val="Tahoma"/>
            <family val="2"/>
          </rPr>
          <t>Numeral:6.3.3.3</t>
        </r>
        <r>
          <rPr>
            <sz val="9"/>
            <color indexed="81"/>
            <rFont val="Tahoma"/>
            <family val="2"/>
          </rPr>
          <t xml:space="preserve">
Euramet cg-21</t>
        </r>
      </text>
    </comment>
    <comment ref="B103" authorId="0" shapeId="0" xr:uid="{00000000-0006-0000-0100-000012000000}">
      <text>
        <r>
          <rPr>
            <b/>
            <sz val="9"/>
            <color indexed="81"/>
            <rFont val="Tahoma"/>
            <family val="2"/>
          </rPr>
          <t>numeral:6.3.3.3</t>
        </r>
        <r>
          <rPr>
            <sz val="9"/>
            <color indexed="81"/>
            <rFont val="Tahoma"/>
            <family val="2"/>
          </rPr>
          <t xml:space="preserve">
Euramet cg-21</t>
        </r>
      </text>
    </comment>
    <comment ref="B104" authorId="0" shapeId="0" xr:uid="{00000000-0006-0000-0100-000013000000}">
      <text>
        <r>
          <rPr>
            <b/>
            <sz val="9"/>
            <color indexed="81"/>
            <rFont val="Tahoma"/>
            <family val="2"/>
          </rPr>
          <t>numeral:6.3.3.3</t>
        </r>
        <r>
          <rPr>
            <sz val="9"/>
            <color indexed="81"/>
            <rFont val="Tahoma"/>
            <family val="2"/>
          </rPr>
          <t xml:space="preserve">
Euramet cg-21</t>
        </r>
      </text>
    </comment>
    <comment ref="B105" authorId="0" shapeId="0" xr:uid="{00000000-0006-0000-0100-000014000000}">
      <text>
        <r>
          <rPr>
            <b/>
            <sz val="9"/>
            <color indexed="81"/>
            <rFont val="Tahoma"/>
            <family val="2"/>
          </rPr>
          <t>numeral:6.3.3.3</t>
        </r>
        <r>
          <rPr>
            <sz val="9"/>
            <color indexed="81"/>
            <rFont val="Tahoma"/>
            <family val="2"/>
          </rPr>
          <t xml:space="preserve">
Euramet cg-21</t>
        </r>
      </text>
    </comment>
    <comment ref="B106" authorId="0" shapeId="0" xr:uid="{00000000-0006-0000-0100-000015000000}">
      <text>
        <r>
          <rPr>
            <b/>
            <sz val="9"/>
            <color indexed="81"/>
            <rFont val="Tahoma"/>
            <family val="2"/>
          </rPr>
          <t>numeral:6.3.3.3</t>
        </r>
        <r>
          <rPr>
            <sz val="9"/>
            <color indexed="81"/>
            <rFont val="Tahoma"/>
            <family val="2"/>
          </rPr>
          <t xml:space="preserve">
Euramet cg-21</t>
        </r>
      </text>
    </comment>
    <comment ref="B108" authorId="0" shapeId="0" xr:uid="{00000000-0006-0000-0100-000016000000}">
      <text>
        <r>
          <rPr>
            <b/>
            <sz val="9"/>
            <color indexed="81"/>
            <rFont val="Tahoma"/>
            <family val="2"/>
          </rPr>
          <t>numeral:6.3.3.5</t>
        </r>
        <r>
          <rPr>
            <sz val="9"/>
            <color indexed="81"/>
            <rFont val="Tahoma"/>
            <family val="2"/>
          </rPr>
          <t xml:space="preserve">
Euramet cg-21</t>
        </r>
      </text>
    </comment>
    <comment ref="B109" authorId="0" shapeId="0" xr:uid="{00000000-0006-0000-0100-000017000000}">
      <text>
        <r>
          <rPr>
            <b/>
            <sz val="9"/>
            <color indexed="81"/>
            <rFont val="Tahoma"/>
            <family val="2"/>
          </rPr>
          <t>numeral:6.3.3.4</t>
        </r>
        <r>
          <rPr>
            <sz val="9"/>
            <color indexed="81"/>
            <rFont val="Tahoma"/>
            <family val="2"/>
          </rPr>
          <t xml:space="preserve">
Euramet cg-21</t>
        </r>
      </text>
    </comment>
    <comment ref="B110" authorId="0" shapeId="0" xr:uid="{00000000-0006-0000-0100-000018000000}">
      <text>
        <r>
          <rPr>
            <b/>
            <sz val="9"/>
            <color indexed="81"/>
            <rFont val="Tahoma"/>
            <family val="2"/>
          </rPr>
          <t>numeral:6.3.3.4</t>
        </r>
        <r>
          <rPr>
            <sz val="9"/>
            <color indexed="81"/>
            <rFont val="Tahoma"/>
            <family val="2"/>
          </rPr>
          <t xml:space="preserve">
Euramet cg-21</t>
        </r>
      </text>
    </comment>
    <comment ref="B111" authorId="0" shapeId="0" xr:uid="{00000000-0006-0000-0100-000019000000}">
      <text>
        <r>
          <rPr>
            <b/>
            <sz val="9"/>
            <color indexed="81"/>
            <rFont val="Tahoma"/>
            <family val="2"/>
          </rPr>
          <t>numeral:6.3.3.4</t>
        </r>
        <r>
          <rPr>
            <sz val="9"/>
            <color indexed="81"/>
            <rFont val="Tahoma"/>
            <family val="2"/>
          </rPr>
          <t xml:space="preserve">
Euramet cg-21</t>
        </r>
      </text>
    </comment>
    <comment ref="B115" authorId="0" shapeId="0" xr:uid="{00000000-0006-0000-0100-00001A000000}">
      <text>
        <r>
          <rPr>
            <b/>
            <sz val="9"/>
            <color indexed="81"/>
            <rFont val="Tahoma"/>
            <family val="2"/>
          </rPr>
          <t>numeral:6.3.3.6</t>
        </r>
        <r>
          <rPr>
            <sz val="9"/>
            <color indexed="81"/>
            <rFont val="Tahoma"/>
            <family val="2"/>
          </rPr>
          <t xml:space="preserve">
Euramet cg-21</t>
        </r>
      </text>
    </comment>
    <comment ref="B116" authorId="0" shapeId="0" xr:uid="{00000000-0006-0000-0100-00001B000000}">
      <text>
        <r>
          <rPr>
            <b/>
            <sz val="9"/>
            <color indexed="81"/>
            <rFont val="Tahoma"/>
            <family val="2"/>
          </rPr>
          <t>numeral:6.3.3.6</t>
        </r>
        <r>
          <rPr>
            <sz val="9"/>
            <color indexed="81"/>
            <rFont val="Tahoma"/>
            <family val="2"/>
          </rPr>
          <t xml:space="preserve">
Euramet cg-21</t>
        </r>
      </text>
    </comment>
    <comment ref="B117" authorId="0" shapeId="0" xr:uid="{00000000-0006-0000-0100-00001C000000}">
      <text>
        <r>
          <rPr>
            <b/>
            <sz val="9"/>
            <color indexed="81"/>
            <rFont val="Tahoma"/>
            <family val="2"/>
          </rPr>
          <t>numeral:6.3.3.8</t>
        </r>
        <r>
          <rPr>
            <sz val="9"/>
            <color indexed="81"/>
            <rFont val="Tahoma"/>
            <family val="2"/>
          </rPr>
          <t xml:space="preserve">
Euramet cg-21</t>
        </r>
      </text>
    </comment>
    <comment ref="B118" authorId="0" shapeId="0" xr:uid="{00000000-0006-0000-0100-00001D000000}">
      <text>
        <r>
          <rPr>
            <b/>
            <sz val="9"/>
            <color indexed="81"/>
            <rFont val="Tahoma"/>
            <family val="2"/>
          </rPr>
          <t>numeral:6.3.3.9</t>
        </r>
        <r>
          <rPr>
            <sz val="9"/>
            <color indexed="81"/>
            <rFont val="Tahoma"/>
            <family val="2"/>
          </rPr>
          <t xml:space="preserve">
Euramet cg-21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STIVINSON</author>
  </authors>
  <commentList>
    <comment ref="B66" authorId="0" shapeId="0" xr:uid="{00000000-0006-0000-0200-000001000000}">
      <text>
        <r>
          <rPr>
            <b/>
            <sz val="9"/>
            <color indexed="81"/>
            <rFont val="Tahoma"/>
            <family val="2"/>
          </rPr>
          <t>ecuación 15 Euramet cg-21</t>
        </r>
        <r>
          <rPr>
            <sz val="9"/>
            <color indexed="81"/>
            <rFont val="Tahoma"/>
            <family val="2"/>
          </rPr>
          <t xml:space="preserve">
</t>
        </r>
      </text>
    </comment>
    <comment ref="B68" authorId="0" shapeId="0" xr:uid="{00000000-0006-0000-0200-000002000000}">
      <text>
        <r>
          <rPr>
            <b/>
            <sz val="9"/>
            <color indexed="81"/>
            <rFont val="Tahoma"/>
            <family val="2"/>
          </rPr>
          <t xml:space="preserve">ecuación 16  Euramet cg-21
</t>
        </r>
        <r>
          <rPr>
            <sz val="9"/>
            <color indexed="81"/>
            <rFont val="Tahoma"/>
            <family val="2"/>
          </rPr>
          <t xml:space="preserve">
</t>
        </r>
      </text>
    </comment>
    <comment ref="B70" authorId="0" shapeId="0" xr:uid="{00000000-0006-0000-0200-000003000000}">
      <text>
        <r>
          <rPr>
            <b/>
            <sz val="9"/>
            <color indexed="81"/>
            <rFont val="Tahoma"/>
            <family val="2"/>
          </rPr>
          <t xml:space="preserve">ecuación 17 Euramet cg-21
</t>
        </r>
      </text>
    </comment>
    <comment ref="B72" authorId="0" shapeId="0" xr:uid="{00000000-0006-0000-0200-000004000000}">
      <text>
        <r>
          <rPr>
            <b/>
            <sz val="9"/>
            <color indexed="81"/>
            <rFont val="Tahoma"/>
            <family val="2"/>
          </rPr>
          <t xml:space="preserve">ecuación 18 Euramet cg-21
</t>
        </r>
      </text>
    </comment>
    <comment ref="B74" authorId="0" shapeId="0" xr:uid="{00000000-0006-0000-0200-000005000000}">
      <text>
        <r>
          <rPr>
            <b/>
            <sz val="9"/>
            <color indexed="81"/>
            <rFont val="Tahoma"/>
            <family val="2"/>
          </rPr>
          <t xml:space="preserve">ecuación 19 Euramet cg-21
</t>
        </r>
      </text>
    </comment>
    <comment ref="B76" authorId="0" shapeId="0" xr:uid="{00000000-0006-0000-0200-000006000000}">
      <text>
        <r>
          <rPr>
            <b/>
            <sz val="9"/>
            <color indexed="81"/>
            <rFont val="Tahoma"/>
            <family val="2"/>
          </rPr>
          <t xml:space="preserve">ecuación 20 Euramet cg-21
</t>
        </r>
      </text>
    </comment>
    <comment ref="B78" authorId="0" shapeId="0" xr:uid="{00000000-0006-0000-0200-000007000000}">
      <text>
        <r>
          <rPr>
            <b/>
            <sz val="9"/>
            <color indexed="81"/>
            <rFont val="Tahoma"/>
            <family val="2"/>
          </rPr>
          <t xml:space="preserve">ecuación 21 Euramet cg-21
</t>
        </r>
      </text>
    </comment>
    <comment ref="B80" authorId="0" shapeId="0" xr:uid="{00000000-0006-0000-0200-000008000000}">
      <text>
        <r>
          <rPr>
            <b/>
            <sz val="9"/>
            <color indexed="81"/>
            <rFont val="Tahoma"/>
            <family val="2"/>
          </rPr>
          <t xml:space="preserve">ecuación 22 Euramet cg-21
</t>
        </r>
      </text>
    </comment>
    <comment ref="B82" authorId="0" shapeId="0" xr:uid="{00000000-0006-0000-0200-000009000000}">
      <text>
        <r>
          <rPr>
            <b/>
            <sz val="9"/>
            <color indexed="81"/>
            <rFont val="Tahoma"/>
            <family val="2"/>
          </rPr>
          <t xml:space="preserve">ecuación 23 Euramet cg-21
</t>
        </r>
      </text>
    </comment>
    <comment ref="B89" authorId="0" shapeId="0" xr:uid="{00000000-0006-0000-0200-00000A000000}">
      <text>
        <r>
          <rPr>
            <b/>
            <sz val="9"/>
            <color indexed="81"/>
            <rFont val="Tahoma"/>
            <family val="2"/>
          </rPr>
          <t>numeral: 6.3.3.1 ecuación (5)</t>
        </r>
        <r>
          <rPr>
            <sz val="9"/>
            <color indexed="81"/>
            <rFont val="Tahoma"/>
            <family val="2"/>
          </rPr>
          <t xml:space="preserve">
Euramet cg-21</t>
        </r>
      </text>
    </comment>
    <comment ref="B90" authorId="0" shapeId="0" xr:uid="{00000000-0006-0000-0200-00000B000000}">
      <text>
        <r>
          <rPr>
            <b/>
            <sz val="9"/>
            <color indexed="81"/>
            <rFont val="Tahoma"/>
            <family val="2"/>
          </rPr>
          <t>numeral:6.3.3.1 ecuación (7)</t>
        </r>
        <r>
          <rPr>
            <sz val="9"/>
            <color indexed="81"/>
            <rFont val="Tahoma"/>
            <family val="2"/>
          </rPr>
          <t xml:space="preserve">
Euramet cg-21</t>
        </r>
      </text>
    </comment>
    <comment ref="B97" authorId="0" shapeId="0" xr:uid="{00000000-0006-0000-0200-00000C000000}">
      <text>
        <r>
          <rPr>
            <b/>
            <sz val="9"/>
            <color indexed="81"/>
            <rFont val="Tahoma"/>
            <family val="2"/>
          </rPr>
          <t>Numeral:6.3.3.2</t>
        </r>
        <r>
          <rPr>
            <sz val="9"/>
            <color indexed="81"/>
            <rFont val="Tahoma"/>
            <family val="2"/>
          </rPr>
          <t xml:space="preserve">
Euramet cg-21</t>
        </r>
      </text>
    </comment>
    <comment ref="B98" authorId="0" shapeId="0" xr:uid="{00000000-0006-0000-0200-00000D000000}">
      <text>
        <r>
          <rPr>
            <b/>
            <sz val="9"/>
            <color indexed="81"/>
            <rFont val="Tahoma"/>
            <family val="2"/>
          </rPr>
          <t>numeral:6.3.3.2</t>
        </r>
        <r>
          <rPr>
            <sz val="9"/>
            <color indexed="81"/>
            <rFont val="Tahoma"/>
            <family val="2"/>
          </rPr>
          <t xml:space="preserve">
Euramet cg-21</t>
        </r>
      </text>
    </comment>
    <comment ref="B99" authorId="0" shapeId="0" xr:uid="{00000000-0006-0000-0200-00000E000000}">
      <text>
        <r>
          <rPr>
            <b/>
            <sz val="9"/>
            <color indexed="81"/>
            <rFont val="Tahoma"/>
            <family val="2"/>
          </rPr>
          <t>Numeral:6.3.3.2</t>
        </r>
        <r>
          <rPr>
            <sz val="9"/>
            <color indexed="81"/>
            <rFont val="Tahoma"/>
            <family val="2"/>
          </rPr>
          <t xml:space="preserve">
Euramet cg-21</t>
        </r>
      </text>
    </comment>
    <comment ref="B100" authorId="0" shapeId="0" xr:uid="{00000000-0006-0000-0200-00000F000000}">
      <text>
        <r>
          <rPr>
            <b/>
            <sz val="9"/>
            <color indexed="81"/>
            <rFont val="Tahoma"/>
            <family val="2"/>
          </rPr>
          <t>numeral:6.3.3.2</t>
        </r>
        <r>
          <rPr>
            <sz val="9"/>
            <color indexed="81"/>
            <rFont val="Tahoma"/>
            <family val="2"/>
          </rPr>
          <t xml:space="preserve">
Euramet cg-21</t>
        </r>
      </text>
    </comment>
    <comment ref="B101" authorId="0" shapeId="0" xr:uid="{00000000-0006-0000-0200-000010000000}">
      <text>
        <r>
          <rPr>
            <b/>
            <sz val="9"/>
            <color indexed="81"/>
            <rFont val="Tahoma"/>
            <family val="2"/>
          </rPr>
          <t>numeral:6.3.3.2</t>
        </r>
        <r>
          <rPr>
            <sz val="9"/>
            <color indexed="81"/>
            <rFont val="Tahoma"/>
            <family val="2"/>
          </rPr>
          <t xml:space="preserve">
Euramet cg-21</t>
        </r>
      </text>
    </comment>
    <comment ref="B102" authorId="0" shapeId="0" xr:uid="{00000000-0006-0000-0200-000011000000}">
      <text>
        <r>
          <rPr>
            <b/>
            <sz val="9"/>
            <color indexed="81"/>
            <rFont val="Tahoma"/>
            <family val="2"/>
          </rPr>
          <t>Numeral:6.3.3.3</t>
        </r>
        <r>
          <rPr>
            <sz val="9"/>
            <color indexed="81"/>
            <rFont val="Tahoma"/>
            <family val="2"/>
          </rPr>
          <t xml:space="preserve">
Euramet cg-21</t>
        </r>
      </text>
    </comment>
    <comment ref="B103" authorId="0" shapeId="0" xr:uid="{00000000-0006-0000-0200-000012000000}">
      <text>
        <r>
          <rPr>
            <b/>
            <sz val="9"/>
            <color indexed="81"/>
            <rFont val="Tahoma"/>
            <family val="2"/>
          </rPr>
          <t>numeral:6.3.3.3</t>
        </r>
        <r>
          <rPr>
            <sz val="9"/>
            <color indexed="81"/>
            <rFont val="Tahoma"/>
            <family val="2"/>
          </rPr>
          <t xml:space="preserve">
Euramet cg-21</t>
        </r>
      </text>
    </comment>
    <comment ref="B104" authorId="0" shapeId="0" xr:uid="{00000000-0006-0000-0200-000013000000}">
      <text>
        <r>
          <rPr>
            <b/>
            <sz val="9"/>
            <color indexed="81"/>
            <rFont val="Tahoma"/>
            <family val="2"/>
          </rPr>
          <t>numeral:6.3.3.3</t>
        </r>
        <r>
          <rPr>
            <sz val="9"/>
            <color indexed="81"/>
            <rFont val="Tahoma"/>
            <family val="2"/>
          </rPr>
          <t xml:space="preserve">
Euramet cg-21</t>
        </r>
      </text>
    </comment>
    <comment ref="B105" authorId="0" shapeId="0" xr:uid="{00000000-0006-0000-0200-000014000000}">
      <text>
        <r>
          <rPr>
            <b/>
            <sz val="9"/>
            <color indexed="81"/>
            <rFont val="Tahoma"/>
            <family val="2"/>
          </rPr>
          <t>numeral:6.3.3.3</t>
        </r>
        <r>
          <rPr>
            <sz val="9"/>
            <color indexed="81"/>
            <rFont val="Tahoma"/>
            <family val="2"/>
          </rPr>
          <t xml:space="preserve">
Euramet cg-21</t>
        </r>
      </text>
    </comment>
    <comment ref="B106" authorId="0" shapeId="0" xr:uid="{00000000-0006-0000-0200-000015000000}">
      <text>
        <r>
          <rPr>
            <b/>
            <sz val="9"/>
            <color indexed="81"/>
            <rFont val="Tahoma"/>
            <family val="2"/>
          </rPr>
          <t>numeral:6.3.3.3</t>
        </r>
        <r>
          <rPr>
            <sz val="9"/>
            <color indexed="81"/>
            <rFont val="Tahoma"/>
            <family val="2"/>
          </rPr>
          <t xml:space="preserve">
Euramet cg-21</t>
        </r>
      </text>
    </comment>
    <comment ref="B108" authorId="0" shapeId="0" xr:uid="{00000000-0006-0000-0200-000016000000}">
      <text>
        <r>
          <rPr>
            <b/>
            <sz val="9"/>
            <color indexed="81"/>
            <rFont val="Tahoma"/>
            <family val="2"/>
          </rPr>
          <t>numeral:6.3.3.5</t>
        </r>
        <r>
          <rPr>
            <sz val="9"/>
            <color indexed="81"/>
            <rFont val="Tahoma"/>
            <family val="2"/>
          </rPr>
          <t xml:space="preserve">
Euramet cg-21</t>
        </r>
      </text>
    </comment>
    <comment ref="B109" authorId="0" shapeId="0" xr:uid="{00000000-0006-0000-0200-000017000000}">
      <text>
        <r>
          <rPr>
            <b/>
            <sz val="9"/>
            <color indexed="81"/>
            <rFont val="Tahoma"/>
            <family val="2"/>
          </rPr>
          <t>numeral:6.3.3.4</t>
        </r>
        <r>
          <rPr>
            <sz val="9"/>
            <color indexed="81"/>
            <rFont val="Tahoma"/>
            <family val="2"/>
          </rPr>
          <t xml:space="preserve">
Euramet cg-21</t>
        </r>
      </text>
    </comment>
    <comment ref="B110" authorId="0" shapeId="0" xr:uid="{00000000-0006-0000-0200-000018000000}">
      <text>
        <r>
          <rPr>
            <b/>
            <sz val="9"/>
            <color indexed="81"/>
            <rFont val="Tahoma"/>
            <family val="2"/>
          </rPr>
          <t>numeral:6.3.3.4</t>
        </r>
        <r>
          <rPr>
            <sz val="9"/>
            <color indexed="81"/>
            <rFont val="Tahoma"/>
            <family val="2"/>
          </rPr>
          <t xml:space="preserve">
Euramet cg-21</t>
        </r>
      </text>
    </comment>
    <comment ref="B111" authorId="0" shapeId="0" xr:uid="{00000000-0006-0000-0200-000019000000}">
      <text>
        <r>
          <rPr>
            <b/>
            <sz val="9"/>
            <color indexed="81"/>
            <rFont val="Tahoma"/>
            <family val="2"/>
          </rPr>
          <t>numeral:6.3.3.4</t>
        </r>
        <r>
          <rPr>
            <sz val="9"/>
            <color indexed="81"/>
            <rFont val="Tahoma"/>
            <family val="2"/>
          </rPr>
          <t xml:space="preserve">
Euramet cg-21</t>
        </r>
      </text>
    </comment>
    <comment ref="B115" authorId="0" shapeId="0" xr:uid="{00000000-0006-0000-0200-00001A000000}">
      <text>
        <r>
          <rPr>
            <b/>
            <sz val="9"/>
            <color indexed="81"/>
            <rFont val="Tahoma"/>
            <family val="2"/>
          </rPr>
          <t>numeral:6.3.3.6</t>
        </r>
        <r>
          <rPr>
            <sz val="9"/>
            <color indexed="81"/>
            <rFont val="Tahoma"/>
            <family val="2"/>
          </rPr>
          <t xml:space="preserve">
Euramet cg-21</t>
        </r>
      </text>
    </comment>
    <comment ref="B116" authorId="0" shapeId="0" xr:uid="{00000000-0006-0000-0200-00001B000000}">
      <text>
        <r>
          <rPr>
            <b/>
            <sz val="9"/>
            <color indexed="81"/>
            <rFont val="Tahoma"/>
            <family val="2"/>
          </rPr>
          <t>numeral:6.3.3.6</t>
        </r>
        <r>
          <rPr>
            <sz val="9"/>
            <color indexed="81"/>
            <rFont val="Tahoma"/>
            <family val="2"/>
          </rPr>
          <t xml:space="preserve">
Euramet cg-21</t>
        </r>
      </text>
    </comment>
    <comment ref="B117" authorId="0" shapeId="0" xr:uid="{00000000-0006-0000-0200-00001C000000}">
      <text>
        <r>
          <rPr>
            <b/>
            <sz val="9"/>
            <color indexed="81"/>
            <rFont val="Tahoma"/>
            <family val="2"/>
          </rPr>
          <t>numeral:6.3.3.8</t>
        </r>
        <r>
          <rPr>
            <sz val="9"/>
            <color indexed="81"/>
            <rFont val="Tahoma"/>
            <family val="2"/>
          </rPr>
          <t xml:space="preserve">
Euramet cg-21</t>
        </r>
      </text>
    </comment>
    <comment ref="B118" authorId="0" shapeId="0" xr:uid="{00000000-0006-0000-0200-00001D000000}">
      <text>
        <r>
          <rPr>
            <b/>
            <sz val="9"/>
            <color indexed="81"/>
            <rFont val="Tahoma"/>
            <family val="2"/>
          </rPr>
          <t>numeral:6.3.3.9</t>
        </r>
        <r>
          <rPr>
            <sz val="9"/>
            <color indexed="81"/>
            <rFont val="Tahoma"/>
            <family val="2"/>
          </rPr>
          <t xml:space="preserve">
Euramet cg-21</t>
        </r>
      </text>
    </comment>
  </commentList>
</comments>
</file>

<file path=xl/sharedStrings.xml><?xml version="1.0" encoding="utf-8"?>
<sst xmlns="http://schemas.openxmlformats.org/spreadsheetml/2006/main" count="1978" uniqueCount="665">
  <si>
    <t>RVC</t>
  </si>
  <si>
    <t>RVP</t>
  </si>
  <si>
    <t>Promedio</t>
  </si>
  <si>
    <t>°C</t>
  </si>
  <si>
    <t>mL</t>
  </si>
  <si>
    <t>Rectangular</t>
  </si>
  <si>
    <t>Euramet 21</t>
  </si>
  <si>
    <t>U</t>
  </si>
  <si>
    <t>E</t>
  </si>
  <si>
    <t>gal</t>
  </si>
  <si>
    <t>1/°C</t>
  </si>
  <si>
    <t>∞</t>
  </si>
  <si>
    <t xml:space="preserve"> </t>
  </si>
  <si>
    <t>cm</t>
  </si>
  <si>
    <t>NOMBRE</t>
  </si>
  <si>
    <t>hPa</t>
  </si>
  <si>
    <t>Euramet 19</t>
  </si>
  <si>
    <t>Certificado de calibración</t>
  </si>
  <si>
    <t>Estimación</t>
  </si>
  <si>
    <t>FINAL</t>
  </si>
  <si>
    <t>PROMEDIO</t>
  </si>
  <si>
    <t>E3</t>
  </si>
  <si>
    <t>1 litro</t>
  </si>
  <si>
    <t>1 mililitro</t>
  </si>
  <si>
    <t>Objeto:</t>
  </si>
  <si>
    <t>Número de Serie</t>
  </si>
  <si>
    <t>Fecha de calibración</t>
  </si>
  <si>
    <t>Temperatura</t>
  </si>
  <si>
    <t>Pipeta</t>
  </si>
  <si>
    <t>Temperatura de Referencia</t>
  </si>
  <si>
    <t>Capacidad nominal</t>
  </si>
  <si>
    <t>FIRMAS AUTORIZADAS:</t>
  </si>
  <si>
    <t>Firma Autorizada</t>
  </si>
  <si>
    <t>Material de construcción:</t>
  </si>
  <si>
    <t>Resolución:</t>
  </si>
  <si>
    <t>Fabricante</t>
  </si>
  <si>
    <t>Modelo</t>
  </si>
  <si>
    <t>Capacidad del RVC a la temperatura de referencia.</t>
  </si>
  <si>
    <t xml:space="preserve">Donde: </t>
  </si>
  <si>
    <t>Capacidad Nominal en galones</t>
  </si>
  <si>
    <t>Litros</t>
  </si>
  <si>
    <t>Mililitros</t>
  </si>
  <si>
    <t>Información del Cliente</t>
  </si>
  <si>
    <t>Solicitante</t>
  </si>
  <si>
    <t>Ciudad</t>
  </si>
  <si>
    <t>1.   INFORMACIÓN DEL EQUIPO SOMETIDO A CALIBRACIÓN</t>
  </si>
  <si>
    <t xml:space="preserve">Es el coeficiente de expansión térmica del material del RVP. </t>
  </si>
  <si>
    <t>Es la temperatura del líquido medida dentro del  RVP.</t>
  </si>
  <si>
    <t>Es el coeficiente de expansión térmica del agua.</t>
  </si>
  <si>
    <t>Es la temperatura del líquido medida dentro del RVC.</t>
  </si>
  <si>
    <t>Instrumento</t>
  </si>
  <si>
    <t>No. de Serie</t>
  </si>
  <si>
    <t>Trazabilidad</t>
  </si>
  <si>
    <t>Unidad</t>
  </si>
  <si>
    <t>ml</t>
  </si>
  <si>
    <t>Termómetro (RVP)</t>
  </si>
  <si>
    <t>Termómetro (RVC)</t>
  </si>
  <si>
    <t>Pie de Rey</t>
  </si>
  <si>
    <t>Nombre</t>
  </si>
  <si>
    <t>Valor nominal</t>
  </si>
  <si>
    <t>Capacidad del RVP según certificado</t>
  </si>
  <si>
    <t>Volumen calculado en el RVC</t>
  </si>
  <si>
    <t>Diferencia respecto al patrón</t>
  </si>
  <si>
    <t>Serhapin test Measure</t>
  </si>
  <si>
    <t>Series "M"</t>
  </si>
  <si>
    <t>1 galón</t>
  </si>
  <si>
    <t>Hora de Inicio</t>
  </si>
  <si>
    <t>Hora final</t>
  </si>
  <si>
    <t>Temperatura de referencia</t>
  </si>
  <si>
    <t>INICIO</t>
  </si>
  <si>
    <t xml:space="preserve">División de escala  </t>
  </si>
  <si>
    <t xml:space="preserve">Coeficiente cubico de expansión térmico del agua </t>
  </si>
  <si>
    <t>Presión Atmosférica</t>
  </si>
  <si>
    <t>Diámetro interno del cuello</t>
  </si>
  <si>
    <t>Ancho de los trazos de la escala</t>
  </si>
  <si>
    <t>Ítem</t>
  </si>
  <si>
    <t>Temperatura liquido °C</t>
  </si>
  <si>
    <t>Vertido (s)</t>
  </si>
  <si>
    <t>Escurrido (s)</t>
  </si>
  <si>
    <t>Total de (V+E) (s)</t>
  </si>
  <si>
    <t xml:space="preserve">n =                     </t>
  </si>
  <si>
    <t xml:space="preserve">                             ( mL)    </t>
  </si>
  <si>
    <t>COEFICIENTE DE SENSIBILIDAD CON RESPECTO AL VOLUMEN DE REFERENCIA (RVP)</t>
  </si>
  <si>
    <t>Derivadas Parciales</t>
  </si>
  <si>
    <t>Respecto a la lectura del menisco</t>
  </si>
  <si>
    <t>Respecto a la repetibilidad de las mediciones</t>
  </si>
  <si>
    <t>Respecto a los factores adicionales</t>
  </si>
  <si>
    <t>Magnitud</t>
  </si>
  <si>
    <t>Incertidumbre Original</t>
  </si>
  <si>
    <t>k</t>
  </si>
  <si>
    <t>Incertidumbre Estándar</t>
  </si>
  <si>
    <t>Coeficientes de Sensibilidad</t>
  </si>
  <si>
    <t>Contribución</t>
  </si>
  <si>
    <t>Fuente Información</t>
  </si>
  <si>
    <t>Tipo de distribución</t>
  </si>
  <si>
    <t>Grados Efectivos de Libertad</t>
  </si>
  <si>
    <t>Volumen Recipiente de Referencia</t>
  </si>
  <si>
    <t xml:space="preserve">Calibración </t>
  </si>
  <si>
    <t>Normal</t>
  </si>
  <si>
    <t>Deriva</t>
  </si>
  <si>
    <t>Temperatura del agua en el RVP</t>
  </si>
  <si>
    <t>Resolución termómetro</t>
  </si>
  <si>
    <t>Calibración</t>
  </si>
  <si>
    <t>Inhomogenidad</t>
  </si>
  <si>
    <t>Temperatura del agua en el RVC</t>
  </si>
  <si>
    <t>Calculada</t>
  </si>
  <si>
    <t>Referencia placa</t>
  </si>
  <si>
    <t>Referencia tabla 1</t>
  </si>
  <si>
    <t>Incertidumbres Adicionales</t>
  </si>
  <si>
    <t xml:space="preserve">Lectura del menisco RVP  </t>
  </si>
  <si>
    <t xml:space="preserve">Lectura del menisco RVC  </t>
  </si>
  <si>
    <t>Delta por repetibilidad</t>
  </si>
  <si>
    <t>tabla 2</t>
  </si>
  <si>
    <t>Delta de adicionales</t>
  </si>
  <si>
    <t>Euramet 21 Tabla 2</t>
  </si>
  <si>
    <t>U expandida</t>
  </si>
  <si>
    <t>Resultados Finales</t>
  </si>
  <si>
    <t>│E│</t>
  </si>
  <si>
    <t>Numero de espacios (N)</t>
  </si>
  <si>
    <t>m</t>
  </si>
  <si>
    <t>y</t>
  </si>
  <si>
    <t>x</t>
  </si>
  <si>
    <t>Volumen calculado</t>
  </si>
  <si>
    <t>m     =</t>
  </si>
  <si>
    <t>Volumen nominal</t>
  </si>
  <si>
    <t>Volumen convencional</t>
  </si>
  <si>
    <t>Error</t>
  </si>
  <si>
    <t xml:space="preserve">Incertidumbre por interpolación </t>
  </si>
  <si>
    <t>1    (mm)</t>
  </si>
  <si>
    <t>2    (mm)</t>
  </si>
  <si>
    <t>3    (mm)</t>
  </si>
  <si>
    <t xml:space="preserve">   PROMEDIOS                  (mm)</t>
  </si>
  <si>
    <t>h min</t>
  </si>
  <si>
    <t>Litro</t>
  </si>
  <si>
    <t>Mililitro</t>
  </si>
  <si>
    <t>Respecto a D</t>
  </si>
  <si>
    <t xml:space="preserve">Respecto </t>
  </si>
  <si>
    <t>(ui(y))2</t>
  </si>
  <si>
    <t>Estimada</t>
  </si>
  <si>
    <t>Delta por Inhomogenidad</t>
  </si>
  <si>
    <t>2.   LUGAR Y DIRECCIÓN DE CALIBRACIÓN</t>
  </si>
  <si>
    <t>mm</t>
  </si>
  <si>
    <t>Luis Henry Barreto Rojas</t>
  </si>
  <si>
    <r>
      <t>y</t>
    </r>
    <r>
      <rPr>
        <b/>
        <vertAlign val="subscript"/>
        <sz val="12"/>
        <color theme="1"/>
        <rFont val="Arial"/>
        <family val="2"/>
      </rPr>
      <t>3</t>
    </r>
  </si>
  <si>
    <r>
      <t>y</t>
    </r>
    <r>
      <rPr>
        <b/>
        <vertAlign val="subscript"/>
        <sz val="12"/>
        <color theme="1"/>
        <rFont val="Arial"/>
        <family val="2"/>
      </rPr>
      <t>1</t>
    </r>
  </si>
  <si>
    <r>
      <t>V</t>
    </r>
    <r>
      <rPr>
        <i/>
        <vertAlign val="subscript"/>
        <sz val="12"/>
        <color theme="1"/>
        <rFont val="Arial"/>
        <family val="2"/>
      </rPr>
      <t>t</t>
    </r>
  </si>
  <si>
    <t>Incertidumbre del Certificado</t>
  </si>
  <si>
    <t>Fecha de Calibración</t>
  </si>
  <si>
    <t>División de Escala / Resolución</t>
  </si>
  <si>
    <t>Identificación             /  
Serie</t>
  </si>
  <si>
    <t>Coeficiente cubico de expansión térmico del material (IP)</t>
  </si>
  <si>
    <t>s</t>
  </si>
  <si>
    <t xml:space="preserve">Coeficiente de expansión térmica del agua   ß </t>
  </si>
  <si>
    <t xml:space="preserve">Pipeta </t>
  </si>
  <si>
    <t xml:space="preserve">Probeta </t>
  </si>
  <si>
    <t>Pipetas</t>
  </si>
  <si>
    <t>Probetas</t>
  </si>
  <si>
    <t>Fecha de Recepción</t>
  </si>
  <si>
    <t>Lugar de Calibración</t>
  </si>
  <si>
    <t>Certificado</t>
  </si>
  <si>
    <t>Unidades en  " °C "</t>
  </si>
  <si>
    <t>Unidades en    " mm "</t>
  </si>
  <si>
    <t>Unidades en    " s "</t>
  </si>
  <si>
    <t xml:space="preserve">Puntos para Interpolar según  Certificado </t>
  </si>
  <si>
    <t>Serie</t>
  </si>
  <si>
    <t>Capacidad Nominal en  " gal "</t>
  </si>
  <si>
    <t>NOMBRE DEL METRÓLOGO</t>
  </si>
  <si>
    <t>Respecto al volumen de referencia del  " RVP "</t>
  </si>
  <si>
    <t>Respecto a la temperatura del líquido en el  " RVP "</t>
  </si>
  <si>
    <t>Respecto ala temperatura del liquido en el  " RVC "</t>
  </si>
  <si>
    <t>Pipeta   " IP "</t>
  </si>
  <si>
    <t>Calibración  " IP "</t>
  </si>
  <si>
    <t>Resolución    " IP "</t>
  </si>
  <si>
    <t>Deriva  " IP "</t>
  </si>
  <si>
    <t>V-005</t>
  </si>
  <si>
    <t>V-001</t>
  </si>
  <si>
    <t xml:space="preserve">004,0816,1212,006 / pt 347980,002     </t>
  </si>
  <si>
    <t xml:space="preserve">004,0816,1212,006 / pt 347980,002    </t>
  </si>
  <si>
    <t>Corrección (Según Certificado)</t>
  </si>
  <si>
    <t>Factor de Cobertura (Según Certificado)</t>
  </si>
  <si>
    <t>No</t>
  </si>
  <si>
    <t>Diámetro interno del cuello (cm)</t>
  </si>
  <si>
    <t>Coeficiente cubico de expansión térmico del material ( °C-1)</t>
  </si>
  <si>
    <t>División de escala ( mL )</t>
  </si>
  <si>
    <t>Resolución ( mL )</t>
  </si>
  <si>
    <t>Ancho de los trazos de la escala (cm)</t>
  </si>
  <si>
    <t>Elvis Aguirre Romero</t>
  </si>
  <si>
    <r>
      <t>x</t>
    </r>
    <r>
      <rPr>
        <b/>
        <vertAlign val="subscript"/>
        <sz val="12"/>
        <color theme="1"/>
        <rFont val="Arial"/>
        <family val="2"/>
      </rPr>
      <t>1</t>
    </r>
  </si>
  <si>
    <r>
      <t>x</t>
    </r>
    <r>
      <rPr>
        <b/>
        <vertAlign val="subscript"/>
        <sz val="12"/>
        <color theme="1"/>
        <rFont val="Arial"/>
        <family val="2"/>
      </rPr>
      <t>2</t>
    </r>
  </si>
  <si>
    <r>
      <t>1 in</t>
    </r>
    <r>
      <rPr>
        <b/>
        <vertAlign val="superscript"/>
        <sz val="12"/>
        <color theme="1"/>
        <rFont val="Arial"/>
        <family val="2"/>
      </rPr>
      <t>3</t>
    </r>
  </si>
  <si>
    <r>
      <t>u (∆D</t>
    </r>
    <r>
      <rPr>
        <b/>
        <vertAlign val="subscript"/>
        <sz val="12"/>
        <color theme="1"/>
        <rFont val="Arial"/>
        <family val="2"/>
      </rPr>
      <t>inho</t>
    </r>
    <r>
      <rPr>
        <b/>
        <sz val="12"/>
        <color theme="1"/>
        <rFont val="Arial"/>
        <family val="2"/>
      </rPr>
      <t xml:space="preserve">) </t>
    </r>
    <r>
      <rPr>
        <b/>
        <vertAlign val="subscript"/>
        <sz val="12"/>
        <color theme="1"/>
        <rFont val="Arial"/>
        <family val="2"/>
      </rPr>
      <t xml:space="preserve"> (mL)</t>
    </r>
  </si>
  <si>
    <r>
      <t>in</t>
    </r>
    <r>
      <rPr>
        <vertAlign val="superscript"/>
        <sz val="12"/>
        <color theme="1"/>
        <rFont val="Arial"/>
        <family val="2"/>
      </rPr>
      <t>3</t>
    </r>
  </si>
  <si>
    <t xml:space="preserve">°C </t>
  </si>
  <si>
    <r>
      <t>División de escala   (in</t>
    </r>
    <r>
      <rPr>
        <b/>
        <vertAlign val="superscript"/>
        <sz val="10"/>
        <color theme="1"/>
        <rFont val="Arial"/>
        <family val="2"/>
      </rPr>
      <t>3</t>
    </r>
    <r>
      <rPr>
        <b/>
        <sz val="10"/>
        <color theme="1"/>
        <rFont val="Arial"/>
        <family val="2"/>
      </rPr>
      <t>)</t>
    </r>
    <r>
      <rPr>
        <b/>
        <vertAlign val="superscript"/>
        <sz val="10"/>
        <color theme="1"/>
        <rFont val="Arial"/>
        <family val="2"/>
      </rPr>
      <t xml:space="preserve"> </t>
    </r>
  </si>
  <si>
    <r>
      <t xml:space="preserve">1 </t>
    </r>
    <r>
      <rPr>
        <b/>
        <vertAlign val="superscript"/>
        <sz val="12"/>
        <color theme="1"/>
        <rFont val="Arial"/>
        <family val="2"/>
      </rPr>
      <t xml:space="preserve">   </t>
    </r>
    <r>
      <rPr>
        <b/>
        <sz val="12"/>
        <color theme="1"/>
        <rFont val="Arial"/>
        <family val="2"/>
      </rPr>
      <t>=</t>
    </r>
  </si>
  <si>
    <t># de Espacios</t>
  </si>
  <si>
    <t>Nominal</t>
  </si>
  <si>
    <r>
      <t>D</t>
    </r>
    <r>
      <rPr>
        <b/>
        <vertAlign val="subscript"/>
        <sz val="14"/>
        <color rgb="FFFFFFFF"/>
        <rFont val="Arial"/>
        <family val="2"/>
      </rPr>
      <t>promedio</t>
    </r>
  </si>
  <si>
    <r>
      <t>INTERVALO DE LA ESCALA DEL RV  EN  ±10 in</t>
    </r>
    <r>
      <rPr>
        <b/>
        <vertAlign val="superscript"/>
        <sz val="14"/>
        <color rgb="FFFFFFFF"/>
        <rFont val="Arial"/>
        <family val="2"/>
      </rPr>
      <t>3</t>
    </r>
  </si>
  <si>
    <t>Magnitud de entrada</t>
  </si>
  <si>
    <t>Valor estimado (xi)</t>
  </si>
  <si>
    <t>Incertidumbre original</t>
  </si>
  <si>
    <t>Contribución ui(y)</t>
  </si>
  <si>
    <t>Tipo de Distribución</t>
  </si>
  <si>
    <t>Identificación / serie</t>
  </si>
  <si>
    <t>Capacidad (Según Certificado)</t>
  </si>
  <si>
    <t>Identificación / Serie</t>
  </si>
  <si>
    <t>Capacidad  (Según Certificado)</t>
  </si>
  <si>
    <t>División de escala nominal:</t>
  </si>
  <si>
    <t>La escala fue verificada:</t>
  </si>
  <si>
    <t>…………………..Fin de este documento………………………</t>
  </si>
  <si>
    <t>Lufft Opus 20</t>
  </si>
  <si>
    <t>Brand</t>
  </si>
  <si>
    <t>Simax</t>
  </si>
  <si>
    <t>Mitutoyo</t>
  </si>
  <si>
    <t xml:space="preserve">Lufft </t>
  </si>
  <si>
    <t>Trazabilidad y numero</t>
  </si>
  <si>
    <t>Observaciones</t>
  </si>
  <si>
    <t>Intervalo de Medición</t>
  </si>
  <si>
    <t>A</t>
  </si>
  <si>
    <t>Volumen Indicado Vsp</t>
  </si>
  <si>
    <t xml:space="preserve"> Capacidad según certificado       </t>
  </si>
  <si>
    <t xml:space="preserve">V suministrado al  RVC con probeta patrón           </t>
  </si>
  <si>
    <t>División de escala calculada al RVC        D=Vsp/N</t>
  </si>
  <si>
    <t>CONVERSIÓN</t>
  </si>
  <si>
    <t>Capacidad Nominal mL</t>
  </si>
  <si>
    <r>
      <t xml:space="preserve">Capacidad </t>
    </r>
    <r>
      <rPr>
        <b/>
        <sz val="8"/>
        <color theme="1"/>
        <rFont val="Arial"/>
        <family val="2"/>
      </rPr>
      <t>(Según Certificado) mL</t>
    </r>
  </si>
  <si>
    <t>División de Escala / Resolución mL</t>
  </si>
  <si>
    <t>Incertidumbre del Certificado mL</t>
  </si>
  <si>
    <t>LH</t>
  </si>
  <si>
    <t>EA</t>
  </si>
  <si>
    <t>Información Inicial</t>
  </si>
  <si>
    <t>N °  Certificado Adherido</t>
  </si>
  <si>
    <t>Equipos Patrón</t>
  </si>
  <si>
    <t>CMC</t>
  </si>
  <si>
    <t>Unidades en    " mL"</t>
  </si>
  <si>
    <t>INM 2148</t>
  </si>
  <si>
    <t>INM 2990</t>
  </si>
  <si>
    <t>INM 2981</t>
  </si>
  <si>
    <t>INM 2985</t>
  </si>
  <si>
    <t xml:space="preserve">MLP - 01          </t>
  </si>
  <si>
    <t>INM 2952</t>
  </si>
  <si>
    <t>INM 2964</t>
  </si>
  <si>
    <t>SIGMA No. 33295</t>
  </si>
  <si>
    <t>SIGMA No. 33291</t>
  </si>
  <si>
    <t>Precinto #</t>
  </si>
  <si>
    <t>%</t>
  </si>
  <si>
    <t>HOJA DE CÁLCULO PARA CALIBRACIÓN DE RECIPIENTES VOLUMÉTRICOS</t>
  </si>
  <si>
    <t>No tiene</t>
  </si>
  <si>
    <t>Patrón Utilizado en la Calibración - Termo higrómetros</t>
  </si>
  <si>
    <t>Humedad</t>
  </si>
  <si>
    <t>Código Interno</t>
  </si>
  <si>
    <t>V-002</t>
  </si>
  <si>
    <t xml:space="preserve">M-012 </t>
  </si>
  <si>
    <t xml:space="preserve">M-012  </t>
  </si>
  <si>
    <t xml:space="preserve">M-013 </t>
  </si>
  <si>
    <t xml:space="preserve">M-013  </t>
  </si>
  <si>
    <t xml:space="preserve">M-010 </t>
  </si>
  <si>
    <t>M-010</t>
  </si>
  <si>
    <t xml:space="preserve">M-011 </t>
  </si>
  <si>
    <t>0,22.0714.0802.024</t>
  </si>
  <si>
    <t>INM 1997</t>
  </si>
  <si>
    <t>INM 2147</t>
  </si>
  <si>
    <t>M-011</t>
  </si>
  <si>
    <t>Temperatura °C</t>
  </si>
  <si>
    <t>Presión Atmosférica hPa</t>
  </si>
  <si>
    <r>
      <t>mL°C</t>
    </r>
    <r>
      <rPr>
        <b/>
        <i/>
        <vertAlign val="superscript"/>
        <sz val="12"/>
        <color theme="1"/>
        <rFont val="Arial"/>
        <family val="2"/>
      </rPr>
      <t>-1</t>
    </r>
  </si>
  <si>
    <r>
      <t xml:space="preserve">N.C </t>
    </r>
    <r>
      <rPr>
        <b/>
        <i/>
        <sz val="12"/>
        <color theme="1"/>
        <rFont val="Arial"/>
        <family val="2"/>
      </rPr>
      <t>%</t>
    </r>
  </si>
  <si>
    <t>Ciudad del Solicitante</t>
  </si>
  <si>
    <t>Certificado N°</t>
  </si>
  <si>
    <t xml:space="preserve">Capacidad del RVP, a la temperatura de referencia hasta el trazo que indica su capacidad nominal de 5 galones.  </t>
  </si>
  <si>
    <t xml:space="preserve">Es la temperatura de referencia en el RVP, según certificado .                               </t>
  </si>
  <si>
    <t>Antes de ajuste</t>
  </si>
  <si>
    <t>3.   CÓDIGO INTERNO</t>
  </si>
  <si>
    <t>Valor Absoluto</t>
  </si>
  <si>
    <t>Código interno</t>
  </si>
  <si>
    <t>Incertidumbre Estándar Global</t>
  </si>
  <si>
    <t xml:space="preserve">HOJA DE CÁLCULO PARA CALIBRACIÓN DE RECIPIENTES VOLUMÉTRICOS </t>
  </si>
  <si>
    <t>C-I V-004</t>
  </si>
  <si>
    <t>Tipo de visor:</t>
  </si>
  <si>
    <t>Modelo:</t>
  </si>
  <si>
    <t>Metrólogo de Masa y Volumen</t>
  </si>
  <si>
    <t>División de escala  (mL)</t>
  </si>
  <si>
    <t>Resolución (mL)</t>
  </si>
  <si>
    <t>Unidades en   ( mL )</t>
  </si>
  <si>
    <t>Después de ajuste</t>
  </si>
  <si>
    <t xml:space="preserve"> ±</t>
  </si>
  <si>
    <t>Termómetro RVP *</t>
  </si>
  <si>
    <t>Termómetro RVC *</t>
  </si>
  <si>
    <t>Incertidumbre dominante</t>
  </si>
  <si>
    <r>
      <t>ALTURAS DE ESPACIOS EN RV  ± 10 in</t>
    </r>
    <r>
      <rPr>
        <b/>
        <vertAlign val="superscript"/>
        <sz val="18"/>
        <color rgb="FFFFFFFF"/>
        <rFont val="Arial"/>
        <family val="2"/>
      </rPr>
      <t xml:space="preserve">3 </t>
    </r>
    <r>
      <rPr>
        <b/>
        <sz val="14"/>
        <color rgb="FFFFFFFF"/>
        <rFont val="Arial"/>
        <family val="2"/>
      </rPr>
      <t xml:space="preserve"> o  ± 1 %</t>
    </r>
    <r>
      <rPr>
        <vertAlign val="superscript"/>
        <sz val="14"/>
        <color rgb="FFFFFFFF"/>
        <rFont val="Arial"/>
        <family val="2"/>
      </rPr>
      <t xml:space="preserve">  </t>
    </r>
  </si>
  <si>
    <t>Mediciones (cm)</t>
  </si>
  <si>
    <t>SI</t>
  </si>
  <si>
    <t>≤ 0,3</t>
  </si>
  <si>
    <t>K=1,65</t>
  </si>
  <si>
    <t>K= 2,0</t>
  </si>
  <si>
    <t>Resultado</t>
  </si>
  <si>
    <t>Condicional incertidumbre dominante</t>
  </si>
  <si>
    <r>
      <rPr>
        <b/>
        <i/>
        <sz val="12"/>
        <rFont val="Tahoma"/>
        <family val="2"/>
      </rPr>
      <t>≥</t>
    </r>
    <r>
      <rPr>
        <b/>
        <i/>
        <sz val="12"/>
        <rFont val="Arial"/>
        <family val="2"/>
      </rPr>
      <t xml:space="preserve"> 0,3</t>
    </r>
  </si>
  <si>
    <t>Propiedad de un resultado de medida por la cual el resultado puede relacionarse con una referencia mediante una cadena ininterrumpida y documentada de calibraciones, cada una de las cuales contribuye a la incertidumbre de medida.</t>
  </si>
  <si>
    <t>Intervalo de medida</t>
  </si>
  <si>
    <t>Capacidad nominal:</t>
  </si>
  <si>
    <t>Número de serie:</t>
  </si>
  <si>
    <t>Fabricante:</t>
  </si>
  <si>
    <t>Tubo en vidrio</t>
  </si>
  <si>
    <t xml:space="preserve">4.   MÉTODO DE CALIBRACIÓN UTILIZADO </t>
  </si>
  <si>
    <t>5.  CONDICIONES AMBIENTALES</t>
  </si>
  <si>
    <t>6.   INCERTIDUMBRE DE MEDICIÓN</t>
  </si>
  <si>
    <t>7.   TRAZABILIDAD METROLÓGICA</t>
  </si>
  <si>
    <t>8.   RESULTADOS DE LA CALIBRACIÓN</t>
  </si>
  <si>
    <t>9.   SE AJUSTO LA ESCALA</t>
  </si>
  <si>
    <t>10.   OBSERVACIONES</t>
  </si>
  <si>
    <t>RVP Código Interno</t>
  </si>
  <si>
    <t>Recipientes Volumétricos Patrón</t>
  </si>
  <si>
    <t>Termómetro utilizado en el liquido del RVC</t>
  </si>
  <si>
    <t>Termómetro utilizado en el liquido del RVP</t>
  </si>
  <si>
    <t>Verificación de Escala</t>
  </si>
  <si>
    <t>Material del Recipiente Volumétrico</t>
  </si>
  <si>
    <t>Según certificado  punto Mínimo</t>
  </si>
  <si>
    <t>Según certificado  punto Máximo</t>
  </si>
  <si>
    <t>Cronómetros</t>
  </si>
  <si>
    <t>Metrólogos</t>
  </si>
  <si>
    <t>Nombre del Metrólogo</t>
  </si>
  <si>
    <t>Trazabilidad y número</t>
  </si>
  <si>
    <t>Cronómetro</t>
  </si>
  <si>
    <t>Temperatura líquido Corregida °C</t>
  </si>
  <si>
    <t>Temperatura líquido corregida °C</t>
  </si>
  <si>
    <t>Temperatura líquido °C</t>
  </si>
  <si>
    <t>Coeficiente cúbico de expansión térmico del material</t>
  </si>
  <si>
    <t>Coeficiente cúbico de expansión térmico del Agua</t>
  </si>
  <si>
    <t>Incertidumbre estándar  u(xi)</t>
  </si>
  <si>
    <t>Coeficiente de sensibilidad (ci)</t>
  </si>
  <si>
    <t>Grados de libertad    Vi</t>
  </si>
  <si>
    <t>Volumen suministrado probeta patrón</t>
  </si>
  <si>
    <t>Calibración probeta patrón</t>
  </si>
  <si>
    <t>Lectura probeta patrón</t>
  </si>
  <si>
    <t>Delta de volumen máximo de lectura</t>
  </si>
  <si>
    <t>Delta de volumen mínimo de lectura</t>
  </si>
  <si>
    <t>Delta por método</t>
  </si>
  <si>
    <t>Como g ej. &gt; 50  =&gt;para 95%</t>
  </si>
  <si>
    <t>División de escala</t>
  </si>
  <si>
    <r>
      <rPr>
        <i/>
        <sz val="12"/>
        <color theme="1"/>
        <rFont val="Arial"/>
        <family val="2"/>
      </rPr>
      <t>u</t>
    </r>
    <r>
      <rPr>
        <sz val="12"/>
        <color theme="1"/>
        <rFont val="Arial"/>
        <family val="2"/>
      </rPr>
      <t xml:space="preserve"> división de escala </t>
    </r>
  </si>
  <si>
    <t>Capacidad nominal probeta patrón</t>
  </si>
  <si>
    <t>V Min Indicado probeta patrón     (N)</t>
  </si>
  <si>
    <t>Interpolación VMin Indicado probeta patrón</t>
  </si>
  <si>
    <t>h máx.</t>
  </si>
  <si>
    <r>
      <t>Diferencia de alturas  (D</t>
    </r>
    <r>
      <rPr>
        <b/>
        <vertAlign val="subscript"/>
        <sz val="12"/>
        <color theme="1"/>
        <rFont val="Arial"/>
        <family val="2"/>
      </rPr>
      <t>h</t>
    </r>
    <r>
      <rPr>
        <b/>
        <sz val="12"/>
        <color theme="1"/>
        <rFont val="Arial"/>
        <family val="2"/>
      </rPr>
      <t>)</t>
    </r>
  </si>
  <si>
    <t>Acero inoxidable</t>
  </si>
  <si>
    <t>Recipiente volumétrico</t>
  </si>
  <si>
    <t>Incertidumbre   ± U</t>
  </si>
  <si>
    <t>Dirección del Solicitante</t>
  </si>
  <si>
    <t>Bogotá D.C.</t>
  </si>
  <si>
    <t>5 gal</t>
  </si>
  <si>
    <t>Ancho de los trazos de la escala (mm)</t>
  </si>
  <si>
    <t xml:space="preserve">16-5935702    C-I V-005         </t>
  </si>
  <si>
    <t>14-92812 C-I V-001</t>
  </si>
  <si>
    <t>Recipiente Volumétrico</t>
  </si>
  <si>
    <t>Delta del volumen (mL)</t>
  </si>
  <si>
    <t>Solicitante:</t>
  </si>
  <si>
    <t>Dirección:</t>
  </si>
  <si>
    <t>Fecha de recepción:</t>
  </si>
  <si>
    <t>Fecha de calibración:</t>
  </si>
  <si>
    <t>Delta respecto a la lectura del menisco.</t>
  </si>
  <si>
    <t>Delta respecto a la repetibilidad de las mediciones.</t>
  </si>
  <si>
    <t>Delta respecto a factores adicionales.</t>
  </si>
  <si>
    <t>18 501,0 mL a 19 336,6 mL</t>
  </si>
  <si>
    <t>División mínima promedio de la escala:</t>
  </si>
  <si>
    <t>Intervalo de Medida</t>
  </si>
  <si>
    <t>0 mL a 5 mL</t>
  </si>
  <si>
    <t>0 mL a 10 mL</t>
  </si>
  <si>
    <t>0 mL a 25 mL</t>
  </si>
  <si>
    <t>14 °C a 22 °C</t>
  </si>
  <si>
    <t>Promedio Corregido por temperatura en el líquido RVP</t>
  </si>
  <si>
    <t>Incertidumbre    ± U</t>
  </si>
  <si>
    <t>EMP</t>
  </si>
  <si>
    <t>| E |</t>
  </si>
  <si>
    <t>|E|</t>
  </si>
  <si>
    <t xml:space="preserve">Fecha de elaboración:  </t>
  </si>
  <si>
    <t>Lugar y Dirección de Calibración</t>
  </si>
  <si>
    <t xml:space="preserve">Ciudad </t>
  </si>
  <si>
    <t>Ciudad :</t>
  </si>
  <si>
    <t xml:space="preserve"> DATOS DEL RVP </t>
  </si>
  <si>
    <t xml:space="preserve"> DATOS DEL RVC </t>
  </si>
  <si>
    <t>Puntos de calibración Actual (°C)</t>
  </si>
  <si>
    <t>Puntos de calibración Anterior (°C)</t>
  </si>
  <si>
    <t>Deriva °C</t>
  </si>
  <si>
    <t>Divisor</t>
  </si>
  <si>
    <t>%hr</t>
  </si>
  <si>
    <t>SC</t>
  </si>
  <si>
    <t>°C "m" Pendiente</t>
  </si>
  <si>
    <t>°C "b" Intersección</t>
  </si>
  <si>
    <t>hPa "m" Pendiente</t>
  </si>
  <si>
    <t>hPa "b" Intersección</t>
  </si>
  <si>
    <t>Fecha</t>
  </si>
  <si>
    <t>Mínimo</t>
  </si>
  <si>
    <t>Máximo</t>
  </si>
  <si>
    <t>Humedad Relativa % hr</t>
  </si>
  <si>
    <t>Capacidad            (Según Certificado)</t>
  </si>
  <si>
    <r>
      <t>1 in</t>
    </r>
    <r>
      <rPr>
        <b/>
        <vertAlign val="superscript"/>
        <sz val="12"/>
        <color rgb="FF000000"/>
        <rFont val="Arial"/>
        <family val="2"/>
      </rPr>
      <t>3</t>
    </r>
  </si>
  <si>
    <r>
      <t>1 cm</t>
    </r>
    <r>
      <rPr>
        <b/>
        <vertAlign val="superscript"/>
        <sz val="12"/>
        <color theme="1"/>
        <rFont val="Arial"/>
        <family val="2"/>
      </rPr>
      <t>3</t>
    </r>
  </si>
  <si>
    <r>
      <t>°C</t>
    </r>
    <r>
      <rPr>
        <vertAlign val="superscript"/>
        <sz val="12"/>
        <color theme="1"/>
        <rFont val="Arial"/>
        <family val="2"/>
      </rPr>
      <t>-1</t>
    </r>
  </si>
  <si>
    <r>
      <t xml:space="preserve">Promedio   </t>
    </r>
    <r>
      <rPr>
        <b/>
        <i/>
        <sz val="12"/>
        <color theme="0"/>
        <rFont val="Arial"/>
        <family val="2"/>
      </rPr>
      <t>Vt</t>
    </r>
  </si>
  <si>
    <r>
      <t xml:space="preserve">Desviación </t>
    </r>
    <r>
      <rPr>
        <b/>
        <i/>
        <sz val="12"/>
        <color theme="0"/>
        <rFont val="Arial"/>
        <family val="2"/>
      </rPr>
      <t>s  Vt</t>
    </r>
  </si>
  <si>
    <r>
      <t xml:space="preserve">Contribución </t>
    </r>
    <r>
      <rPr>
        <b/>
        <vertAlign val="superscript"/>
        <sz val="12"/>
        <color theme="1"/>
        <rFont val="Arial"/>
        <family val="2"/>
      </rPr>
      <t>2</t>
    </r>
  </si>
  <si>
    <r>
      <t>V</t>
    </r>
    <r>
      <rPr>
        <vertAlign val="subscript"/>
        <sz val="12"/>
        <color theme="1"/>
        <rFont val="Arial"/>
        <family val="2"/>
      </rPr>
      <t>t</t>
    </r>
  </si>
  <si>
    <r>
      <t>u ( V</t>
    </r>
    <r>
      <rPr>
        <vertAlign val="subscript"/>
        <sz val="12"/>
        <color theme="1"/>
        <rFont val="Arial"/>
        <family val="2"/>
      </rPr>
      <t xml:space="preserve">t </t>
    </r>
    <r>
      <rPr>
        <sz val="12"/>
        <color theme="1"/>
        <rFont val="Arial"/>
        <family val="2"/>
      </rPr>
      <t>)</t>
    </r>
  </si>
  <si>
    <r>
      <t xml:space="preserve">N.C </t>
    </r>
    <r>
      <rPr>
        <b/>
        <i/>
        <sz val="12"/>
        <rFont val="Arial"/>
        <family val="2"/>
      </rPr>
      <t>%</t>
    </r>
  </si>
  <si>
    <r>
      <t>in</t>
    </r>
    <r>
      <rPr>
        <b/>
        <vertAlign val="superscript"/>
        <sz val="12"/>
        <color theme="1"/>
        <rFont val="Arial"/>
        <family val="2"/>
      </rPr>
      <t>3</t>
    </r>
  </si>
  <si>
    <t>Deriva (mL)</t>
  </si>
  <si>
    <t>Puntos de calibración Actual (mL) al 10%</t>
  </si>
  <si>
    <t>Puntos de calibración Anterior (mL) al 10%</t>
  </si>
  <si>
    <t xml:space="preserve">Puntos de calibración Actual (mL) al 50% </t>
  </si>
  <si>
    <t>Puntos de calibración Anterior (mL) al 50%</t>
  </si>
  <si>
    <t>Puntos de calibración Actual (mL) al 100%</t>
  </si>
  <si>
    <t>Puntos de calibración Anterior (mL) al 100%</t>
  </si>
  <si>
    <t>10 mL a 100mL</t>
  </si>
  <si>
    <t>50 mL a 500 mL</t>
  </si>
  <si>
    <t>100 mL a 500 mL</t>
  </si>
  <si>
    <t>Volumen (L) actual según certificado</t>
  </si>
  <si>
    <t>Volumen (L) anterior según certificado</t>
  </si>
  <si>
    <t xml:space="preserve">Deriva </t>
  </si>
  <si>
    <t>% hr</t>
  </si>
  <si>
    <t>Sustituto del Responsable de la Dirección Técnica</t>
  </si>
  <si>
    <t>Responsable de la Dirección Técnica</t>
  </si>
  <si>
    <t>Stivinson Córdoba Sánchez</t>
  </si>
  <si>
    <t>Indicación (Según Certificado)</t>
  </si>
  <si>
    <t>Puntos de calibración</t>
  </si>
  <si>
    <t>Capacidad Nominal en (gal)</t>
  </si>
  <si>
    <t>Temperatura de referencia (°C)</t>
  </si>
  <si>
    <t>V-004  
 Punto 1</t>
  </si>
  <si>
    <t>V-004   
Punto 2</t>
  </si>
  <si>
    <t>V-004  
 Punto 3</t>
  </si>
  <si>
    <t>V-004   
Punto 4</t>
  </si>
  <si>
    <t>V-004  
 Punto 5</t>
  </si>
  <si>
    <t>Pie de Rey "puntas de exteriores"</t>
  </si>
  <si>
    <t>Pie de Rey "puntas de interiores"</t>
  </si>
  <si>
    <t>Aceros Euramet cg 21 tabla 1</t>
  </si>
  <si>
    <t>% hr "b" Intersección</t>
  </si>
  <si>
    <t>% hr "m" Pendiente</t>
  </si>
  <si>
    <t>Coeficiente cúbico de expansión térmico del material (IP)</t>
  </si>
  <si>
    <t>Respecto al Coeficiente cúbico de expansión térmico del material del " RVC "</t>
  </si>
  <si>
    <t xml:space="preserve">Respecto al Coeficiente cúbico de expansión térmico del agua </t>
  </si>
  <si>
    <t>Respecto al Coeficiente cúbico de expansión térmico del material del " RVP "</t>
  </si>
  <si>
    <t>Intervalos Nominal (Mín. y Máx.)</t>
  </si>
  <si>
    <t>Según indica certificado Mín. y Máx.)</t>
  </si>
  <si>
    <t>Corrección (Según Certificado) mL</t>
  </si>
  <si>
    <t xml:space="preserve">Descargar datos del termohigrómetro utilizado en la calibración-condiciones ambientales máximas y mínimas </t>
  </si>
  <si>
    <t>Información</t>
  </si>
  <si>
    <t xml:space="preserve">Fecha de emisión:  </t>
  </si>
  <si>
    <t>Calibrado por</t>
  </si>
  <si>
    <t>*</t>
  </si>
  <si>
    <t>Los resultados obtenidos en esta calibración, aplican a la información del equipo descrito en el numeral uno (1) del presente certificado.</t>
  </si>
  <si>
    <t>Los resultados obtenidos en el presente certificado se refieren al momento y condiciones en que se realizaron las mediciones.</t>
  </si>
  <si>
    <t>Los laboratorios de la Superintendencia de Industria y Comercio no se responsabilizan de los perjuicios que puedan derivarse del uso inadecuado del equipo calibrado.</t>
  </si>
  <si>
    <t>Se adhiere al equipo calibrado una estampilla identificada con el número del  certificado.</t>
  </si>
  <si>
    <t>El equipo  fue calibrado para suministrar líquido por el método volumétrico, usando agua potable.</t>
  </si>
  <si>
    <t>Se efectuaron 3 ciclos de vaciado y llenado para determinar la capacidad del recipiente.</t>
  </si>
  <si>
    <t>**</t>
  </si>
  <si>
    <t>Se efectuaron 3 ciclos de vaciado y llenado para determinar la capacidad del recipiente después de ajuste.</t>
  </si>
  <si>
    <t>En el presente certificado se usa la coma “,” como separador decimal.</t>
  </si>
  <si>
    <t>Este certificado de calibración no puede ser reproducido parcial, ni totalmente,  excepto  con  autorización  del  laboratorio  de la Superintendencia de Industria y Comercio.</t>
  </si>
  <si>
    <t>Para efectos de la calibración se tomo como referencia la escala izquierda de la reglilla graduada.</t>
  </si>
  <si>
    <t>El certificado de calibración sin las firmas autorizadas no es válido.</t>
  </si>
  <si>
    <t>Los resultados de la calibración son trazables al Sistema Internacional (SI).</t>
  </si>
  <si>
    <t>Para la calibración del recipiente volumétrico, se utilizó el método  establecido en el documento normativo guía Euramet cg-21, Vr. 1.0. (04/2013).</t>
  </si>
  <si>
    <t>Laboratorio de calibración de masa y volumen, avenida carrera  50 # 26-55 Int 2,  piso 5.</t>
  </si>
  <si>
    <t>Coeficiente de expansión térmica del material del RVC.</t>
  </si>
  <si>
    <t>Máxima Deriva (mL)</t>
  </si>
  <si>
    <t xml:space="preserve">Fecha: </t>
  </si>
  <si>
    <t>2020-06-18 / 2020-06-19/ 2020-05-29</t>
  </si>
  <si>
    <t>INM-4610, INM 4611 - INM 4625</t>
  </si>
  <si>
    <t>2020-06-18 2020-06-19- 2020-05-29</t>
  </si>
  <si>
    <t>INM 4608 - INM 4609 -   INM 4623</t>
  </si>
  <si>
    <t>2020-07-07 / 2020-07-08 / 2020-05-29</t>
  </si>
  <si>
    <t>INM-4627-INM 4628-INM 4624</t>
  </si>
  <si>
    <r>
      <t>Coeficiente cubico de expansión térmico del material (°C</t>
    </r>
    <r>
      <rPr>
        <b/>
        <vertAlign val="superscript"/>
        <sz val="12"/>
        <color theme="1"/>
        <rFont val="Arial"/>
        <family val="2"/>
      </rPr>
      <t>-1</t>
    </r>
    <r>
      <rPr>
        <b/>
        <sz val="12"/>
        <color theme="1"/>
        <rFont val="Arial"/>
        <family val="2"/>
      </rPr>
      <t>)</t>
    </r>
  </si>
  <si>
    <r>
      <t>Coeficiente cubico de expansión térmico del material (IP)  ( °C</t>
    </r>
    <r>
      <rPr>
        <b/>
        <vertAlign val="superscript"/>
        <sz val="12"/>
        <color theme="1"/>
        <rFont val="Arial"/>
        <family val="2"/>
      </rPr>
      <t>-1</t>
    </r>
    <r>
      <rPr>
        <b/>
        <sz val="12"/>
        <color theme="1"/>
        <rFont val="Arial"/>
        <family val="2"/>
      </rPr>
      <t>)</t>
    </r>
  </si>
  <si>
    <r>
      <t xml:space="preserve">División de Escala  in </t>
    </r>
    <r>
      <rPr>
        <vertAlign val="superscript"/>
        <sz val="12"/>
        <color theme="1"/>
        <rFont val="Arial"/>
        <family val="2"/>
      </rPr>
      <t>3</t>
    </r>
  </si>
  <si>
    <r>
      <t>0,25 in</t>
    </r>
    <r>
      <rPr>
        <vertAlign val="superscript"/>
        <sz val="12"/>
        <color theme="1"/>
        <rFont val="Arial"/>
        <family val="2"/>
      </rPr>
      <t>3</t>
    </r>
  </si>
  <si>
    <r>
      <t>0,5 in</t>
    </r>
    <r>
      <rPr>
        <vertAlign val="superscript"/>
        <sz val="12"/>
        <color theme="1"/>
        <rFont val="Arial"/>
        <family val="2"/>
      </rPr>
      <t>3</t>
    </r>
  </si>
  <si>
    <r>
      <t>1 in</t>
    </r>
    <r>
      <rPr>
        <vertAlign val="superscript"/>
        <sz val="12"/>
        <color theme="1"/>
        <rFont val="Arial"/>
        <family val="2"/>
      </rPr>
      <t>3</t>
    </r>
  </si>
  <si>
    <r>
      <t xml:space="preserve">Unidades en   " °C ,  %hr  </t>
    </r>
    <r>
      <rPr>
        <sz val="14"/>
        <color theme="0"/>
        <rFont val="Arial"/>
        <family val="2"/>
      </rPr>
      <t>y</t>
    </r>
    <r>
      <rPr>
        <b/>
        <sz val="14"/>
        <color theme="0"/>
        <rFont val="Arial"/>
        <family val="2"/>
      </rPr>
      <t xml:space="preserve"> hPa " </t>
    </r>
    <r>
      <rPr>
        <sz val="14"/>
        <color theme="0"/>
        <rFont val="Arial"/>
        <family val="2"/>
      </rPr>
      <t xml:space="preserve"> según corresponda</t>
    </r>
  </si>
  <si>
    <t>INM  4580</t>
  </si>
  <si>
    <t>Hora Final</t>
  </si>
  <si>
    <t>L</t>
  </si>
  <si>
    <t>U exp (mL)</t>
  </si>
  <si>
    <t>"Z" limite superior</t>
  </si>
  <si>
    <t>Pc conformidad</t>
  </si>
  <si>
    <t>Pc no conformidad</t>
  </si>
  <si>
    <t>Error indicación (mL)</t>
  </si>
  <si>
    <t>Resee</t>
  </si>
  <si>
    <t>CMK-TFA-19398</t>
  </si>
  <si>
    <r>
      <t>Intervalo de la escala RV en  ±  1 %, ± 10 in</t>
    </r>
    <r>
      <rPr>
        <b/>
        <vertAlign val="superscript"/>
        <sz val="14"/>
        <color theme="0"/>
        <rFont val="Arial"/>
        <family val="2"/>
      </rPr>
      <t>3</t>
    </r>
  </si>
  <si>
    <t>Temperatura de referencia en el RVC.</t>
  </si>
  <si>
    <t>"La incertidumbre expandida de la medición reportada se establece como la incertidumbre estándar de medición multiplicada por el factor de cobertura "k",y la probabilidad de cobertura,  la cual debe ser aproximada al 95 % y no menor a este valor".</t>
  </si>
  <si>
    <t>Temperatura de referencia °C</t>
  </si>
  <si>
    <t xml:space="preserve">INM 5053 </t>
  </si>
  <si>
    <t>INM 4720</t>
  </si>
  <si>
    <t>La verificación de la escala no hace parte del alcance reportado para el alcance acreditado.</t>
  </si>
  <si>
    <t>La incertidumbre estándar de medición se multiplica por un factor de cobertura "k"=2.</t>
  </si>
  <si>
    <t>(* RVC) Recipiente volumétrico calibrado         (*RVP) Recipiente volumétrico patrón.</t>
  </si>
  <si>
    <t>La escala fue verificada en el intervalo de medición 5 galones ±  1 %, ± 10 in3.</t>
  </si>
  <si>
    <r>
      <t>T</t>
    </r>
    <r>
      <rPr>
        <b/>
        <vertAlign val="subscript"/>
        <sz val="12"/>
        <color theme="1"/>
        <rFont val="Arial"/>
        <family val="2"/>
      </rPr>
      <t>U</t>
    </r>
    <r>
      <rPr>
        <b/>
        <sz val="12"/>
        <color theme="1"/>
        <rFont val="Arial"/>
        <family val="2"/>
      </rPr>
      <t xml:space="preserve"> </t>
    </r>
    <r>
      <rPr>
        <b/>
        <vertAlign val="subscript"/>
        <sz val="12"/>
        <color theme="1"/>
        <rFont val="Arial"/>
        <family val="2"/>
      </rPr>
      <t>(EMP + (mL))</t>
    </r>
  </si>
  <si>
    <r>
      <t>T</t>
    </r>
    <r>
      <rPr>
        <b/>
        <vertAlign val="subscript"/>
        <sz val="12"/>
        <color theme="1"/>
        <rFont val="Arial"/>
        <family val="2"/>
      </rPr>
      <t>L</t>
    </r>
    <r>
      <rPr>
        <b/>
        <sz val="12"/>
        <color theme="1"/>
        <rFont val="Arial"/>
        <family val="2"/>
      </rPr>
      <t xml:space="preserve"> </t>
    </r>
    <r>
      <rPr>
        <b/>
        <vertAlign val="subscript"/>
        <sz val="12"/>
        <color theme="1"/>
        <rFont val="Arial"/>
        <family val="2"/>
      </rPr>
      <t>(EMP - (mL))</t>
    </r>
  </si>
  <si>
    <t>Volumen nominal del RV</t>
  </si>
  <si>
    <t>Volumen Indicado del RV BC antes de ajuste</t>
  </si>
  <si>
    <t xml:space="preserve">CORRECCIÓN </t>
  </si>
  <si>
    <t>CONDICIONES AMBIENTALES</t>
  </si>
  <si>
    <t>ANTES</t>
  </si>
  <si>
    <t>mL °C</t>
  </si>
  <si>
    <t xml:space="preserve">Después de ajuste </t>
  </si>
  <si>
    <t>Hora de inicio</t>
  </si>
  <si>
    <t>Cumple</t>
  </si>
  <si>
    <t>normal</t>
  </si>
  <si>
    <t>MAX °C</t>
  </si>
  <si>
    <t>MIN °C</t>
  </si>
  <si>
    <t>MAX % hr</t>
  </si>
  <si>
    <t>MIN % hr</t>
  </si>
  <si>
    <t>MAX hPa</t>
  </si>
  <si>
    <t>MIN hPa</t>
  </si>
  <si>
    <t>Aporte a la Incertidumbre</t>
  </si>
  <si>
    <r>
      <t>in</t>
    </r>
    <r>
      <rPr>
        <b/>
        <vertAlign val="superscript"/>
        <sz val="12"/>
        <rFont val="Arial"/>
        <family val="2"/>
      </rPr>
      <t>3</t>
    </r>
  </si>
  <si>
    <t>Anova de un factor</t>
  </si>
  <si>
    <t xml:space="preserve">Mínima </t>
  </si>
  <si>
    <t>Temperatura (°C)</t>
  </si>
  <si>
    <t>Humedad relativa (% hr)</t>
  </si>
  <si>
    <t>La declaración de conformidad se aplica teniendo en cuenta el error más la incertidumbre de medición, la cual no deberá superar los errores máximos permitidos (EMP), según lo definido en la OIML R 120:2010, numeral 2.2.2.2.</t>
  </si>
  <si>
    <t>Incertidumbre por repetibilidad del método</t>
  </si>
  <si>
    <t>"Z" limite inferior</t>
  </si>
  <si>
    <t>Probabilidad de conformidad y no conformidad Después de ajuste</t>
  </si>
  <si>
    <t>Volumen Indicado del RV BC Después de ajuste</t>
  </si>
  <si>
    <t>Probabilidad de conformidad y no conformidad antes de ajuste</t>
  </si>
  <si>
    <t>Posición gráfico</t>
  </si>
  <si>
    <t xml:space="preserve">Máxima </t>
  </si>
  <si>
    <t>Máxima</t>
  </si>
  <si>
    <t>Presión atmosférica (hPa)</t>
  </si>
  <si>
    <t>ANÁLISIS DE DATOS INTERPOLACIÓN (mL)</t>
  </si>
  <si>
    <t>INTERPOLACIÓN CERTIFICADO DE CALIBRACIÓN</t>
  </si>
  <si>
    <t>Lugar de verificación de la escala</t>
  </si>
  <si>
    <t>Fecha de verificación de la escala</t>
  </si>
  <si>
    <t>Mínimo corregido</t>
  </si>
  <si>
    <t>Máximo corregido</t>
  </si>
  <si>
    <t>INM 5178</t>
  </si>
  <si>
    <t>INM 4782</t>
  </si>
  <si>
    <t>INM 4782- INM 4783 -  INM 4703</t>
  </si>
  <si>
    <t xml:space="preserve">2021-05-12 / 2021-05-13  / 2020-10-02 </t>
  </si>
  <si>
    <t>INM 4783</t>
  </si>
  <si>
    <r>
      <t>mL°C</t>
    </r>
    <r>
      <rPr>
        <vertAlign val="superscript"/>
        <sz val="12"/>
        <color theme="1"/>
        <rFont val="Arial"/>
        <family val="2"/>
      </rPr>
      <t>-1</t>
    </r>
  </si>
  <si>
    <t>Las condiciones ambientales máximas y mínimas  promedio corregidas en el laboratorio durante la calibración fueron las siguientes:</t>
  </si>
  <si>
    <t>INM 5289</t>
  </si>
  <si>
    <t>INM 5288</t>
  </si>
  <si>
    <t>INM 5243</t>
  </si>
  <si>
    <t>2021-06-23 / 2021-06-21 / 2021-05-31</t>
  </si>
  <si>
    <t>INM  5288 - INM 5289 - INM 5243</t>
  </si>
  <si>
    <r>
      <t>V</t>
    </r>
    <r>
      <rPr>
        <i/>
        <vertAlign val="subscript"/>
        <sz val="12"/>
        <color theme="1"/>
        <rFont val="Arial"/>
        <family val="2"/>
      </rPr>
      <t>t</t>
    </r>
    <r>
      <rPr>
        <i/>
        <sz val="12"/>
        <color theme="1"/>
        <rFont val="Arial"/>
        <family val="2"/>
      </rPr>
      <t>+(±∆V)</t>
    </r>
  </si>
  <si>
    <t xml:space="preserve">V-002 </t>
  </si>
  <si>
    <t>0,23.0714.0802.024</t>
  </si>
  <si>
    <t>2021-06-23</t>
  </si>
  <si>
    <t>2021-06-25</t>
  </si>
  <si>
    <t>2021-05-31</t>
  </si>
  <si>
    <t>0,26.0714.0802.024</t>
  </si>
  <si>
    <t>INM 5284</t>
  </si>
  <si>
    <t>INM 5285</t>
  </si>
  <si>
    <t>INM 5238</t>
  </si>
  <si>
    <t>INM 5286</t>
  </si>
  <si>
    <t>INM 5287</t>
  </si>
  <si>
    <t>INM 5239</t>
  </si>
  <si>
    <t>2021-07-09</t>
  </si>
  <si>
    <t>INM 5303</t>
  </si>
  <si>
    <t>2021-07-07</t>
  </si>
  <si>
    <t>INM 5304</t>
  </si>
  <si>
    <t>INM 5240</t>
  </si>
  <si>
    <t>2021-05-12</t>
  </si>
  <si>
    <t>2021-05-13</t>
  </si>
  <si>
    <t>C-I V-009</t>
  </si>
  <si>
    <t>C-I V-010</t>
  </si>
  <si>
    <t>V-009    Punto 1</t>
  </si>
  <si>
    <t>V-009    Punto 2</t>
  </si>
  <si>
    <t>V-009    Punto 3</t>
  </si>
  <si>
    <t>V-009    Punto 4</t>
  </si>
  <si>
    <t>V-009    Punto 5</t>
  </si>
  <si>
    <t>V-010  
 Punto 1</t>
  </si>
  <si>
    <t>V-010   
Punto 2</t>
  </si>
  <si>
    <t>V-010  
 Punto 3</t>
  </si>
  <si>
    <t>V-010   
Punto 4</t>
  </si>
  <si>
    <t>V-010  
 Punto 5</t>
  </si>
  <si>
    <t>YOWEXA</t>
  </si>
  <si>
    <t>21073057 / pt -100 sensor 5239-1</t>
  </si>
  <si>
    <t>21073055 / pt -100 sensor-3</t>
  </si>
  <si>
    <t>T-6948</t>
  </si>
  <si>
    <t>T-6950</t>
  </si>
  <si>
    <r>
      <t>Coeficiente cubico de expansión térmico del material ( °C</t>
    </r>
    <r>
      <rPr>
        <b/>
        <vertAlign val="superscript"/>
        <sz val="12"/>
        <color theme="1"/>
        <rFont val="Arial"/>
        <family val="2"/>
      </rPr>
      <t>-1</t>
    </r>
    <r>
      <rPr>
        <b/>
        <sz val="12"/>
        <color theme="1"/>
        <rFont val="Arial"/>
        <family val="2"/>
      </rPr>
      <t>)</t>
    </r>
  </si>
  <si>
    <t>Capacidad del RVC con respecto al RVP</t>
  </si>
  <si>
    <r>
      <t>Valor Estimado X</t>
    </r>
    <r>
      <rPr>
        <b/>
        <vertAlign val="subscript"/>
        <sz val="12"/>
        <color theme="1"/>
        <rFont val="Arial"/>
        <family val="2"/>
      </rPr>
      <t>i</t>
    </r>
  </si>
  <si>
    <t>Presupuesto de Incertidumbre</t>
  </si>
  <si>
    <t>Datos de los patrones</t>
  </si>
  <si>
    <t>Datos de Recipientes</t>
  </si>
  <si>
    <t>Tabla de conversiones                    
Disponible en  https://www.nist.gov/physical-measurement-laboratory/nist-guide-si-appendix-b</t>
  </si>
  <si>
    <t>Datos de condiciones ambientales</t>
  </si>
  <si>
    <t>Ciclos de calibración</t>
  </si>
  <si>
    <t>Coeficiente de sensibilidad con respecto al volumen de referencia (RVP)</t>
  </si>
  <si>
    <t>C-I V-003</t>
  </si>
  <si>
    <t xml:space="preserve">22,1014,1212,,005 / pt 347980,004     </t>
  </si>
  <si>
    <t>INM 5179</t>
  </si>
  <si>
    <t>V-003
 Punto 1</t>
  </si>
  <si>
    <t>V-003
Punto 2</t>
  </si>
  <si>
    <t>V-003
Punto 3</t>
  </si>
  <si>
    <t>V-003
Punto 4</t>
  </si>
  <si>
    <t>V-003
Punto 5</t>
  </si>
  <si>
    <t>in3</t>
  </si>
  <si>
    <t xml:space="preserve">Se instala precinto de seguridad, sobre la escala de medición, identificado con el número: </t>
  </si>
  <si>
    <t>AUX V-2</t>
  </si>
  <si>
    <t>AUX V-4</t>
  </si>
  <si>
    <t>AUX V-5</t>
  </si>
  <si>
    <t>AUX V-6</t>
  </si>
  <si>
    <t>AUX V-9</t>
  </si>
  <si>
    <t>AUX V-10</t>
  </si>
  <si>
    <t>AUX V-11</t>
  </si>
  <si>
    <t>AUX V-14</t>
  </si>
  <si>
    <t>AUX V-13 
Punto 5</t>
  </si>
  <si>
    <t>AUX V-13 
Punto 20</t>
  </si>
  <si>
    <t>AUX V-13 
Punto 50</t>
  </si>
  <si>
    <t>AUX V-13 
Punto 70</t>
  </si>
  <si>
    <t>AUX V-13 
Punto 150</t>
  </si>
  <si>
    <t>AUX V-13 
Punto 100</t>
  </si>
  <si>
    <t>AUX V-13
 Punto 200</t>
  </si>
  <si>
    <t>AUX V-13 
Punto 200</t>
  </si>
  <si>
    <t>AUX V-18</t>
  </si>
  <si>
    <t>0,5  mL a 5 mL</t>
  </si>
  <si>
    <t>V-9521</t>
  </si>
  <si>
    <t>AUX V-020</t>
  </si>
  <si>
    <t>V-9523</t>
  </si>
  <si>
    <t>0 mL a 10mL</t>
  </si>
  <si>
    <t>INM 5548</t>
  </si>
  <si>
    <t>2021-10-22</t>
  </si>
  <si>
    <t>100.69</t>
  </si>
  <si>
    <t>INM 5715</t>
  </si>
  <si>
    <t>AUX V-7</t>
  </si>
  <si>
    <t>AUX V-34</t>
  </si>
  <si>
    <t>INM 1851</t>
  </si>
  <si>
    <t>100 mL a 1000 mL</t>
  </si>
  <si>
    <t>18,92647</t>
  </si>
  <si>
    <t>18,93304</t>
  </si>
  <si>
    <t>DESPUÉS</t>
  </si>
  <si>
    <t>Código interno       LCV-XX-XXXXX          No. Radicado</t>
  </si>
  <si>
    <t xml:space="preserve"> Recipiente Volumétrico a Calibrar - (RVC)</t>
  </si>
  <si>
    <t>Análisis de capacidad de volumen (RVC) mL</t>
  </si>
  <si>
    <t>Respecto al coeficiente cúbico de expansión térmico del material del " RVP "</t>
  </si>
  <si>
    <t>Respecto al coeficiente cúbico de expansión térmico del material del " RVC "</t>
  </si>
  <si>
    <t xml:space="preserve">Respecto al coeficiente cúbico de expansión térmico del agua </t>
  </si>
  <si>
    <r>
      <t>in</t>
    </r>
    <r>
      <rPr>
        <vertAlign val="superscript"/>
        <sz val="12"/>
        <color theme="0"/>
        <rFont val="Arial"/>
        <family val="2"/>
      </rPr>
      <t>3</t>
    </r>
  </si>
  <si>
    <t>Se realiza el premojado con un llenado y  drenando en un tiempo mínimo  de 60 s ±10 s.</t>
  </si>
  <si>
    <r>
      <t>in</t>
    </r>
    <r>
      <rPr>
        <vertAlign val="superscript"/>
        <sz val="10"/>
        <rFont val="Arial"/>
        <family val="2"/>
      </rPr>
      <t>3</t>
    </r>
  </si>
  <si>
    <t>Informe N°</t>
  </si>
  <si>
    <t xml:space="preserve">1.   INFORMACIÓN DEL EQUIPO </t>
  </si>
  <si>
    <t xml:space="preserve">2.   LUGAR Y DIRECCIÓN </t>
  </si>
  <si>
    <t>4.   REGISTRO FOTOGRÁFICO</t>
  </si>
  <si>
    <t>Autorizado por</t>
  </si>
  <si>
    <t>Elaborado por</t>
  </si>
  <si>
    <t>5.   OBSERVACIONES</t>
  </si>
  <si>
    <r>
      <t xml:space="preserve">                      DATOS PROBETA PATRÓN                      (V</t>
    </r>
    <r>
      <rPr>
        <b/>
        <vertAlign val="subscript"/>
        <sz val="14"/>
        <color theme="0"/>
        <rFont val="Arial"/>
        <family val="2"/>
      </rPr>
      <t>sp</t>
    </r>
    <r>
      <rPr>
        <b/>
        <sz val="14"/>
        <color theme="0"/>
        <rFont val="Arial"/>
        <family val="2"/>
      </rPr>
      <t>) (mL)</t>
    </r>
  </si>
  <si>
    <t>TABLA DE CONVERSIÓN                                        
Disponible en  https://www.nist.gov/physical-measurement-laboratory/nist-guide-si-appendix-b</t>
  </si>
  <si>
    <t>PRESUPUESTO DE INCERTIDUMBRE</t>
  </si>
  <si>
    <r>
      <t>0,5 in</t>
    </r>
    <r>
      <rPr>
        <vertAlign val="superscript"/>
        <sz val="12"/>
        <color theme="0"/>
        <rFont val="Arial"/>
        <family val="2"/>
      </rPr>
      <t>3</t>
    </r>
  </si>
  <si>
    <r>
      <t>in</t>
    </r>
    <r>
      <rPr>
        <b/>
        <i/>
        <vertAlign val="superscript"/>
        <sz val="12"/>
        <color theme="0"/>
        <rFont val="Arial"/>
        <family val="2"/>
      </rPr>
      <t>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</si>
</sst>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7">
    <numFmt numFmtId="164" formatCode="0.00000"/>
    <numFmt numFmtId="165" formatCode="0.0000"/>
    <numFmt numFmtId="166" formatCode="0.000"/>
    <numFmt numFmtId="167" formatCode="0.0"/>
    <numFmt numFmtId="168" formatCode="0.000000"/>
    <numFmt numFmtId="169" formatCode="yyyy\-mm\-dd;@"/>
    <numFmt numFmtId="170" formatCode="0.0000000"/>
    <numFmt numFmtId="171" formatCode="0.0_ \ &quot;hPa&quot;"/>
    <numFmt numFmtId="172" formatCode="0\ &quot;°C&quot;"/>
    <numFmt numFmtId="173" formatCode="#,##0.0"/>
    <numFmt numFmtId="174" formatCode="#,##0.000"/>
    <numFmt numFmtId="175" formatCode="#\ ##0.00"/>
    <numFmt numFmtId="176" formatCode="0\ 000.0"/>
    <numFmt numFmtId="177" formatCode="0.00\ &quot;mL&quot;"/>
    <numFmt numFmtId="178" formatCode="\5\ &quot;gal&quot;"/>
    <numFmt numFmtId="179" formatCode="00\ 000.0"/>
    <numFmt numFmtId="180" formatCode="0\ 000.00"/>
    <numFmt numFmtId="181" formatCode="0.000.E+00"/>
    <numFmt numFmtId="182" formatCode="0.E+00"/>
    <numFmt numFmtId="183" formatCode="0.00000000"/>
    <numFmt numFmtId="184" formatCode="0.0000000000"/>
    <numFmt numFmtId="185" formatCode="0.0_ "/>
    <numFmt numFmtId="186" formatCode="0.0_ \ "/>
    <numFmt numFmtId="187" formatCode="00\ 000.00"/>
    <numFmt numFmtId="188" formatCode="0\ \°\C"/>
    <numFmt numFmtId="189" formatCode="0.0%"/>
    <numFmt numFmtId="190" formatCode="0.0E+00"/>
  </numFmts>
  <fonts count="90"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b/>
      <sz val="12"/>
      <color theme="1"/>
      <name val="Arial"/>
      <family val="2"/>
    </font>
    <font>
      <sz val="12"/>
      <color theme="1"/>
      <name val="Arial"/>
      <family val="2"/>
    </font>
    <font>
      <b/>
      <sz val="14"/>
      <color theme="1"/>
      <name val="Arial"/>
      <family val="2"/>
    </font>
    <font>
      <b/>
      <sz val="12"/>
      <color rgb="FF000000"/>
      <name val="Arial"/>
      <family val="2"/>
    </font>
    <font>
      <b/>
      <sz val="10"/>
      <color theme="1"/>
      <name val="Arial"/>
      <family val="2"/>
    </font>
    <font>
      <sz val="12"/>
      <color theme="1"/>
      <name val="Arial Narrow"/>
      <family val="2"/>
    </font>
    <font>
      <sz val="12"/>
      <color rgb="FF006100"/>
      <name val="Tahoma"/>
      <family val="2"/>
    </font>
    <font>
      <b/>
      <sz val="12"/>
      <color theme="0"/>
      <name val="Arial"/>
      <family val="2"/>
    </font>
    <font>
      <b/>
      <sz val="12"/>
      <name val="Arial"/>
      <family val="2"/>
    </font>
    <font>
      <i/>
      <sz val="12"/>
      <color theme="1"/>
      <name val="Arial"/>
      <family val="2"/>
    </font>
    <font>
      <b/>
      <sz val="10"/>
      <name val="Arial"/>
      <family val="2"/>
    </font>
    <font>
      <sz val="10"/>
      <color theme="1"/>
      <name val="Arial"/>
      <family val="2"/>
    </font>
    <font>
      <b/>
      <vertAlign val="subscript"/>
      <sz val="12"/>
      <color theme="1"/>
      <name val="Arial"/>
      <family val="2"/>
    </font>
    <font>
      <b/>
      <sz val="14"/>
      <color theme="0"/>
      <name val="Arial"/>
      <family val="2"/>
    </font>
    <font>
      <b/>
      <sz val="8"/>
      <color theme="1"/>
      <name val="Arial"/>
      <family val="2"/>
    </font>
    <font>
      <b/>
      <vertAlign val="superscript"/>
      <sz val="10"/>
      <color theme="1"/>
      <name val="Arial"/>
      <family val="2"/>
    </font>
    <font>
      <i/>
      <vertAlign val="subscript"/>
      <sz val="12"/>
      <color theme="1"/>
      <name val="Arial"/>
      <family val="2"/>
    </font>
    <font>
      <vertAlign val="subscript"/>
      <sz val="12"/>
      <color theme="1"/>
      <name val="Arial"/>
      <family val="2"/>
    </font>
    <font>
      <b/>
      <i/>
      <sz val="12"/>
      <color theme="1"/>
      <name val="Arial"/>
      <family val="2"/>
    </font>
    <font>
      <b/>
      <sz val="9"/>
      <name val="Arial"/>
      <family val="2"/>
    </font>
    <font>
      <b/>
      <sz val="18"/>
      <color theme="1"/>
      <name val="Arial"/>
      <family val="2"/>
    </font>
    <font>
      <b/>
      <vertAlign val="superscript"/>
      <sz val="12"/>
      <color theme="1"/>
      <name val="Arial"/>
      <family val="2"/>
    </font>
    <font>
      <vertAlign val="superscript"/>
      <sz val="12"/>
      <color theme="1"/>
      <name val="Arial"/>
      <family val="2"/>
    </font>
    <font>
      <b/>
      <vertAlign val="subscript"/>
      <sz val="14"/>
      <color theme="0"/>
      <name val="Arial"/>
      <family val="2"/>
    </font>
    <font>
      <b/>
      <sz val="14"/>
      <color rgb="FFFFFFFF"/>
      <name val="Arial"/>
      <family val="2"/>
    </font>
    <font>
      <b/>
      <vertAlign val="subscript"/>
      <sz val="14"/>
      <color rgb="FFFFFFFF"/>
      <name val="Arial"/>
      <family val="2"/>
    </font>
    <font>
      <b/>
      <vertAlign val="superscript"/>
      <sz val="14"/>
      <color rgb="FFFFFFFF"/>
      <name val="Arial"/>
      <family val="2"/>
    </font>
    <font>
      <sz val="14"/>
      <color theme="0"/>
      <name val="Arial"/>
      <family val="2"/>
    </font>
    <font>
      <sz val="12"/>
      <color rgb="FF000000"/>
      <name val="Arial"/>
      <family val="2"/>
    </font>
    <font>
      <sz val="12"/>
      <name val="Arial"/>
      <family val="2"/>
    </font>
    <font>
      <sz val="12"/>
      <color theme="0"/>
      <name val="Arial"/>
      <family val="2"/>
    </font>
    <font>
      <b/>
      <i/>
      <sz val="12"/>
      <name val="Arial"/>
      <family val="2"/>
    </font>
    <font>
      <b/>
      <i/>
      <vertAlign val="superscript"/>
      <sz val="12"/>
      <color theme="1"/>
      <name val="Arial"/>
      <family val="2"/>
    </font>
    <font>
      <sz val="11"/>
      <color rgb="FF006100"/>
      <name val="Calibri"/>
      <family val="2"/>
      <scheme val="minor"/>
    </font>
    <font>
      <vertAlign val="superscript"/>
      <sz val="14"/>
      <color rgb="FFFFFFFF"/>
      <name val="Arial"/>
      <family val="2"/>
    </font>
    <font>
      <b/>
      <vertAlign val="superscript"/>
      <sz val="18"/>
      <color rgb="FFFFFFFF"/>
      <name val="Arial"/>
      <family val="2"/>
    </font>
    <font>
      <b/>
      <i/>
      <sz val="12"/>
      <name val="Tahoma"/>
      <family val="2"/>
    </font>
    <font>
      <sz val="9"/>
      <color indexed="81"/>
      <name val="Tahoma"/>
      <family val="2"/>
    </font>
    <font>
      <b/>
      <sz val="9"/>
      <color indexed="81"/>
      <name val="Tahoma"/>
      <family val="2"/>
    </font>
    <font>
      <b/>
      <i/>
      <sz val="12"/>
      <color theme="0"/>
      <name val="Arial"/>
      <family val="2"/>
    </font>
    <font>
      <sz val="12"/>
      <color theme="1"/>
      <name val="Calibri"/>
      <family val="2"/>
      <scheme val="minor"/>
    </font>
    <font>
      <b/>
      <vertAlign val="superscript"/>
      <sz val="12"/>
      <color rgb="FF000000"/>
      <name val="Arial"/>
      <family val="2"/>
    </font>
    <font>
      <u/>
      <sz val="12"/>
      <color theme="1"/>
      <name val="Arial"/>
      <family val="2"/>
    </font>
    <font>
      <sz val="12"/>
      <name val="Calibri"/>
      <family val="2"/>
      <scheme val="minor"/>
    </font>
    <font>
      <sz val="12"/>
      <color rgb="FFFFFFFF"/>
      <name val="Arial"/>
      <family val="2"/>
    </font>
    <font>
      <b/>
      <i/>
      <sz val="14"/>
      <color theme="0"/>
      <name val="Arial"/>
      <family val="2"/>
    </font>
    <font>
      <b/>
      <vertAlign val="superscript"/>
      <sz val="14"/>
      <color theme="0"/>
      <name val="Arial"/>
      <family val="2"/>
    </font>
    <font>
      <sz val="11"/>
      <color theme="1"/>
      <name val="Calibri"/>
      <family val="2"/>
      <scheme val="minor"/>
    </font>
    <font>
      <sz val="11"/>
      <name val="Calibri"/>
      <family val="2"/>
      <scheme val="minor"/>
    </font>
    <font>
      <b/>
      <sz val="11"/>
      <name val="Arial"/>
      <family val="2"/>
    </font>
    <font>
      <b/>
      <vertAlign val="superscript"/>
      <sz val="12"/>
      <name val="Arial"/>
      <family val="2"/>
    </font>
    <font>
      <sz val="8"/>
      <name val="Calibri"/>
      <family val="2"/>
      <scheme val="minor"/>
    </font>
    <font>
      <b/>
      <sz val="11"/>
      <color rgb="FFFFFFFF"/>
      <name val="Arial"/>
      <family val="2"/>
    </font>
    <font>
      <b/>
      <sz val="20"/>
      <color theme="1"/>
      <name val="Arial"/>
      <family val="2"/>
    </font>
    <font>
      <b/>
      <sz val="11"/>
      <color theme="0"/>
      <name val="Calibri"/>
      <family val="2"/>
      <scheme val="minor"/>
    </font>
    <font>
      <vertAlign val="superscript"/>
      <sz val="12"/>
      <color theme="0"/>
      <name val="Arial"/>
      <family val="2"/>
    </font>
    <font>
      <sz val="12"/>
      <name val="Arial Narrow"/>
      <family val="2"/>
    </font>
    <font>
      <b/>
      <sz val="12"/>
      <name val="Arial Narrow"/>
      <family val="2"/>
    </font>
    <font>
      <b/>
      <i/>
      <sz val="12"/>
      <name val="Arial Narrow"/>
      <family val="2"/>
    </font>
    <font>
      <sz val="11"/>
      <name val="Arial"/>
      <family val="2"/>
    </font>
    <font>
      <b/>
      <i/>
      <sz val="11"/>
      <name val="Arial"/>
      <family val="2"/>
    </font>
    <font>
      <i/>
      <sz val="11"/>
      <name val="Arial"/>
      <family val="2"/>
    </font>
    <font>
      <sz val="10"/>
      <name val="Arial"/>
      <family val="2"/>
    </font>
    <font>
      <sz val="11"/>
      <name val="Arial Narrow"/>
      <family val="2"/>
    </font>
    <font>
      <sz val="10"/>
      <name val="Arial Narrow"/>
      <family val="2"/>
    </font>
    <font>
      <vertAlign val="superscript"/>
      <sz val="10"/>
      <name val="Arial"/>
      <family val="2"/>
    </font>
    <font>
      <i/>
      <sz val="12"/>
      <name val="Arial"/>
      <family val="2"/>
    </font>
    <font>
      <sz val="10"/>
      <color theme="0"/>
      <name val="Arial"/>
      <family val="2"/>
    </font>
    <font>
      <sz val="12"/>
      <color theme="0"/>
      <name val="Arial Narrow"/>
      <family val="2"/>
    </font>
    <font>
      <b/>
      <i/>
      <vertAlign val="superscript"/>
      <sz val="12"/>
      <color theme="0"/>
      <name val="Arial"/>
      <family val="2"/>
    </font>
  </fonts>
  <fills count="34">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rgb="FF9BC2E6"/>
        <bgColor indexed="64"/>
      </patternFill>
    </fill>
    <fill>
      <patternFill patternType="solid">
        <fgColor rgb="FFFCE4D6"/>
        <bgColor indexed="64"/>
      </patternFill>
    </fill>
    <fill>
      <patternFill patternType="solid">
        <fgColor rgb="FFDDEBF7"/>
        <bgColor indexed="64"/>
      </patternFill>
    </fill>
    <fill>
      <patternFill patternType="solid">
        <fgColor rgb="FF1F4E78"/>
        <bgColor indexed="64"/>
      </patternFill>
    </fill>
    <fill>
      <patternFill patternType="solid">
        <fgColor rgb="FFFF0000"/>
        <bgColor indexed="64"/>
      </patternFill>
    </fill>
    <fill>
      <patternFill patternType="solid">
        <fgColor rgb="FFC6EFCE"/>
      </patternFill>
    </fill>
    <fill>
      <patternFill patternType="solid">
        <fgColor rgb="FFF2DCDB"/>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rgb="FF0070C0"/>
        <bgColor indexed="64"/>
      </patternFill>
    </fill>
    <fill>
      <patternFill patternType="solid">
        <fgColor rgb="FF538DD5"/>
        <bgColor indexed="64"/>
      </patternFill>
    </fill>
    <fill>
      <patternFill patternType="solid">
        <fgColor rgb="FF91C6F7"/>
        <bgColor indexed="64"/>
      </patternFill>
    </fill>
    <fill>
      <patternFill patternType="solid">
        <fgColor rgb="FFC8E2FB"/>
        <bgColor indexed="64"/>
      </patternFill>
    </fill>
    <fill>
      <patternFill patternType="solid">
        <fgColor rgb="FF81B0E4"/>
        <bgColor indexed="64"/>
      </patternFill>
    </fill>
    <fill>
      <patternFill patternType="darkGray">
        <bgColor rgb="FFFFFF00"/>
      </patternFill>
    </fill>
    <fill>
      <gradientFill degree="90">
        <stop position="0">
          <color theme="0"/>
        </stop>
        <stop position="1">
          <color rgb="FFFFFF00"/>
        </stop>
      </gradientFill>
    </fill>
    <fill>
      <gradientFill type="path" left="1" right="1">
        <stop position="0">
          <color rgb="FF7030A0"/>
        </stop>
        <stop position="1">
          <color rgb="FFFFFF00"/>
        </stop>
      </gradientFill>
    </fill>
    <fill>
      <patternFill patternType="solid">
        <fgColor rgb="FF073763"/>
        <bgColor indexed="64"/>
      </patternFill>
    </fill>
    <fill>
      <patternFill patternType="solid">
        <fgColor rgb="FF8DB4E2"/>
        <bgColor indexed="64"/>
      </patternFill>
    </fill>
    <fill>
      <gradientFill degree="90">
        <stop position="0">
          <color rgb="FFFFFF00"/>
        </stop>
        <stop position="1">
          <color rgb="FF7030A0"/>
        </stop>
      </gradientFill>
    </fill>
    <fill>
      <patternFill patternType="darkGray">
        <bgColor rgb="FF0070C0"/>
      </patternFill>
    </fill>
    <fill>
      <patternFill patternType="solid">
        <fgColor rgb="FFAFDF9F"/>
        <bgColor indexed="64"/>
      </patternFill>
    </fill>
    <fill>
      <patternFill patternType="solid">
        <fgColor rgb="FFFF9999"/>
        <bgColor indexed="64"/>
      </patternFill>
    </fill>
    <fill>
      <patternFill patternType="solid">
        <fgColor theme="9" tint="0.59999389629810485"/>
        <bgColor indexed="64"/>
      </patternFill>
    </fill>
    <fill>
      <patternFill patternType="solid">
        <fgColor rgb="FFC6E0B4"/>
        <bgColor indexed="64"/>
      </patternFill>
    </fill>
    <fill>
      <patternFill patternType="solid">
        <fgColor rgb="FFDBE7B6"/>
        <bgColor indexed="64"/>
      </patternFill>
    </fill>
  </fills>
  <borders count="8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theme="0"/>
      </left>
      <right style="medium">
        <color theme="0"/>
      </right>
      <top style="medium">
        <color theme="0"/>
      </top>
      <bottom style="medium">
        <color theme="0"/>
      </bottom>
      <diagonal/>
    </border>
    <border>
      <left/>
      <right/>
      <top style="thin">
        <color indexed="64"/>
      </top>
      <bottom/>
      <diagonal/>
    </border>
  </borders>
  <cellStyleXfs count="12">
    <xf numFmtId="0" fontId="0" fillId="0" borderId="0"/>
    <xf numFmtId="0" fontId="26" fillId="10" borderId="0" applyNumberFormat="0" applyBorder="0" applyAlignment="0" applyProtection="0"/>
    <xf numFmtId="0" fontId="31" fillId="22" borderId="8">
      <alignment horizontal="center" vertical="center" wrapText="1"/>
    </xf>
    <xf numFmtId="0" fontId="31" fillId="14" borderId="8">
      <alignment horizontal="center" vertical="center" wrapText="1"/>
    </xf>
    <xf numFmtId="0" fontId="31" fillId="23" borderId="8">
      <alignment horizontal="center" vertical="center" wrapText="1"/>
    </xf>
    <xf numFmtId="0" fontId="25" fillId="2" borderId="0">
      <alignment horizontal="center"/>
    </xf>
    <xf numFmtId="0" fontId="25" fillId="24" borderId="0">
      <alignment horizontal="center"/>
    </xf>
    <xf numFmtId="0" fontId="31" fillId="9" borderId="9">
      <alignment horizontal="center"/>
    </xf>
    <xf numFmtId="0" fontId="53" fillId="10" borderId="0" applyNumberFormat="0" applyBorder="0" applyAlignment="0" applyProtection="0"/>
    <xf numFmtId="2" fontId="31" fillId="27" borderId="40" applyFont="0" applyBorder="0" applyAlignment="0">
      <alignment horizontal="center" vertical="center" wrapText="1"/>
      <protection locked="0"/>
    </xf>
    <xf numFmtId="0" fontId="21" fillId="28" borderId="9" applyBorder="0">
      <alignment horizontal="center" vertical="center"/>
    </xf>
    <xf numFmtId="9" fontId="67" fillId="0" borderId="0" applyFont="0" applyFill="0" applyBorder="0" applyAlignment="0" applyProtection="0"/>
  </cellStyleXfs>
  <cellXfs count="1953">
    <xf numFmtId="0" fontId="0" fillId="0" borderId="0" xfId="0"/>
    <xf numFmtId="0" fontId="27" fillId="8" borderId="46" xfId="0" applyFont="1" applyFill="1" applyBorder="1" applyAlignment="1" applyProtection="1">
      <alignment horizontal="center" vertical="center" wrapText="1"/>
      <protection hidden="1"/>
    </xf>
    <xf numFmtId="2" fontId="39" fillId="16" borderId="19" xfId="1" applyNumberFormat="1" applyFont="1" applyFill="1" applyBorder="1" applyAlignment="1" applyProtection="1">
      <alignment horizontal="center" vertical="center"/>
      <protection hidden="1"/>
    </xf>
    <xf numFmtId="2" fontId="39" fillId="16" borderId="22" xfId="1" applyNumberFormat="1" applyFont="1" applyFill="1" applyBorder="1" applyAlignment="1" applyProtection="1">
      <alignment horizontal="center" vertical="center" wrapText="1"/>
      <protection hidden="1"/>
    </xf>
    <xf numFmtId="2" fontId="30" fillId="16" borderId="22" xfId="1" applyNumberFormat="1" applyFont="1" applyFill="1" applyBorder="1" applyAlignment="1" applyProtection="1">
      <alignment horizontal="center" vertical="center" wrapText="1"/>
      <protection hidden="1"/>
    </xf>
    <xf numFmtId="0" fontId="21" fillId="0" borderId="0" xfId="0" applyFont="1" applyProtection="1">
      <protection hidden="1"/>
    </xf>
    <xf numFmtId="0" fontId="21" fillId="0" borderId="0" xfId="0" applyFont="1" applyBorder="1" applyProtection="1">
      <protection hidden="1"/>
    </xf>
    <xf numFmtId="0" fontId="21" fillId="0" borderId="6" xfId="0" applyFont="1" applyBorder="1" applyProtection="1">
      <protection hidden="1"/>
    </xf>
    <xf numFmtId="0" fontId="21" fillId="0" borderId="8" xfId="0" applyFont="1" applyBorder="1" applyProtection="1">
      <protection hidden="1"/>
    </xf>
    <xf numFmtId="167" fontId="21" fillId="15" borderId="9" xfId="0" applyNumberFormat="1" applyFont="1" applyFill="1" applyBorder="1" applyAlignment="1" applyProtection="1">
      <alignment horizontal="center" vertical="center" wrapText="1"/>
      <protection hidden="1"/>
    </xf>
    <xf numFmtId="0" fontId="24" fillId="16" borderId="19" xfId="0" applyFont="1" applyFill="1" applyBorder="1" applyAlignment="1" applyProtection="1">
      <alignment horizontal="center" vertical="center" wrapText="1"/>
      <protection hidden="1"/>
    </xf>
    <xf numFmtId="167" fontId="21" fillId="6" borderId="9" xfId="0" applyNumberFormat="1" applyFont="1" applyFill="1" applyBorder="1" applyAlignment="1" applyProtection="1">
      <alignment horizontal="center" vertical="center" wrapText="1"/>
      <protection locked="0" hidden="1"/>
    </xf>
    <xf numFmtId="0" fontId="21" fillId="6" borderId="43" xfId="0" applyFont="1" applyFill="1" applyBorder="1" applyAlignment="1" applyProtection="1">
      <alignment horizontal="center" vertical="center" wrapText="1"/>
      <protection locked="0" hidden="1"/>
    </xf>
    <xf numFmtId="0" fontId="21" fillId="6" borderId="9" xfId="0" applyFont="1" applyFill="1" applyBorder="1" applyAlignment="1" applyProtection="1">
      <alignment horizontal="center" vertical="center" wrapText="1"/>
      <protection locked="0" hidden="1"/>
    </xf>
    <xf numFmtId="0" fontId="25" fillId="24" borderId="1" xfId="6" applyBorder="1" applyAlignment="1" applyProtection="1">
      <alignment horizontal="center" vertical="center"/>
      <protection locked="0" hidden="1"/>
    </xf>
    <xf numFmtId="14" fontId="31" fillId="15" borderId="22" xfId="0" applyNumberFormat="1" applyFont="1" applyFill="1" applyBorder="1" applyAlignment="1" applyProtection="1">
      <alignment horizontal="center" vertical="center" wrapText="1"/>
      <protection hidden="1"/>
    </xf>
    <xf numFmtId="0" fontId="24" fillId="16" borderId="22" xfId="0" applyFont="1" applyFill="1" applyBorder="1" applyAlignment="1" applyProtection="1">
      <alignment horizontal="center" vertical="center" wrapText="1"/>
      <protection hidden="1"/>
    </xf>
    <xf numFmtId="0" fontId="29" fillId="16" borderId="18" xfId="0" applyFont="1" applyFill="1" applyBorder="1" applyAlignment="1" applyProtection="1">
      <alignment horizontal="center" vertical="center" wrapText="1"/>
      <protection hidden="1"/>
    </xf>
    <xf numFmtId="0" fontId="29" fillId="16" borderId="36" xfId="0" applyFont="1" applyFill="1" applyBorder="1" applyAlignment="1" applyProtection="1">
      <alignment horizontal="center" vertical="center" wrapText="1"/>
      <protection hidden="1"/>
    </xf>
    <xf numFmtId="0" fontId="21" fillId="2" borderId="0" xfId="0" applyFont="1" applyFill="1" applyBorder="1" applyAlignment="1" applyProtection="1">
      <alignment horizontal="center" vertical="center"/>
      <protection hidden="1"/>
    </xf>
    <xf numFmtId="0" fontId="21" fillId="0" borderId="0" xfId="0" applyFont="1" applyAlignment="1" applyProtection="1">
      <alignment vertical="center" wrapText="1"/>
      <protection hidden="1"/>
    </xf>
    <xf numFmtId="0" fontId="21" fillId="2" borderId="0" xfId="0" applyFont="1" applyFill="1" applyBorder="1" applyAlignment="1" applyProtection="1">
      <alignment vertical="center" wrapText="1"/>
      <protection hidden="1"/>
    </xf>
    <xf numFmtId="0" fontId="20" fillId="2" borderId="0" xfId="0" applyFont="1" applyFill="1" applyBorder="1" applyAlignment="1" applyProtection="1">
      <alignment horizontal="center" vertical="center" wrapText="1"/>
      <protection hidden="1"/>
    </xf>
    <xf numFmtId="0" fontId="21" fillId="2" borderId="0" xfId="0" applyFont="1" applyFill="1" applyAlignment="1" applyProtection="1">
      <alignment vertical="center" wrapText="1"/>
      <protection hidden="1"/>
    </xf>
    <xf numFmtId="0" fontId="21" fillId="2" borderId="0" xfId="0" applyFont="1" applyFill="1" applyProtection="1">
      <protection hidden="1"/>
    </xf>
    <xf numFmtId="11" fontId="21" fillId="2" borderId="0" xfId="0" applyNumberFormat="1" applyFont="1" applyFill="1" applyBorder="1" applyAlignment="1" applyProtection="1">
      <alignment horizontal="center" vertical="center"/>
      <protection hidden="1"/>
    </xf>
    <xf numFmtId="0" fontId="24" fillId="21" borderId="22" xfId="0" applyFont="1" applyFill="1" applyBorder="1" applyAlignment="1" applyProtection="1">
      <alignment horizontal="center" vertical="center" wrapText="1"/>
      <protection hidden="1"/>
    </xf>
    <xf numFmtId="0" fontId="21" fillId="2" borderId="0" xfId="1" applyFont="1" applyFill="1" applyBorder="1" applyAlignment="1" applyProtection="1">
      <alignment horizontal="center" vertical="center"/>
      <protection hidden="1"/>
    </xf>
    <xf numFmtId="11" fontId="21" fillId="2" borderId="0" xfId="1" applyNumberFormat="1" applyFont="1" applyFill="1" applyBorder="1" applyAlignment="1" applyProtection="1">
      <alignment horizontal="center" vertical="center"/>
      <protection hidden="1"/>
    </xf>
    <xf numFmtId="0" fontId="21" fillId="2" borderId="2" xfId="0" applyFont="1" applyFill="1" applyBorder="1" applyProtection="1">
      <protection hidden="1"/>
    </xf>
    <xf numFmtId="0" fontId="21" fillId="2" borderId="3" xfId="0" applyFont="1" applyFill="1" applyBorder="1" applyProtection="1">
      <protection hidden="1"/>
    </xf>
    <xf numFmtId="0" fontId="21" fillId="2" borderId="10" xfId="0" applyFont="1" applyFill="1" applyBorder="1" applyProtection="1">
      <protection hidden="1"/>
    </xf>
    <xf numFmtId="0" fontId="21" fillId="2" borderId="0" xfId="0" applyFont="1" applyFill="1" applyBorder="1" applyProtection="1">
      <protection hidden="1"/>
    </xf>
    <xf numFmtId="0" fontId="21" fillId="0" borderId="2" xfId="0" applyFont="1" applyBorder="1" applyAlignment="1" applyProtection="1">
      <alignment horizontal="center" vertical="center"/>
      <protection hidden="1"/>
    </xf>
    <xf numFmtId="0" fontId="21" fillId="0" borderId="70" xfId="0" applyFont="1" applyBorder="1" applyAlignment="1" applyProtection="1">
      <alignment horizontal="center" vertical="center"/>
      <protection hidden="1"/>
    </xf>
    <xf numFmtId="0" fontId="20" fillId="2" borderId="74" xfId="0" applyFont="1" applyFill="1" applyBorder="1" applyAlignment="1" applyProtection="1">
      <alignment horizontal="right"/>
      <protection hidden="1"/>
    </xf>
    <xf numFmtId="0" fontId="21" fillId="2" borderId="0" xfId="0" applyFont="1" applyFill="1" applyBorder="1" applyAlignment="1" applyProtection="1">
      <alignment horizontal="right" vertical="top"/>
      <protection hidden="1"/>
    </xf>
    <xf numFmtId="2" fontId="21" fillId="12" borderId="9" xfId="0" applyNumberFormat="1" applyFont="1" applyFill="1" applyBorder="1" applyAlignment="1" applyProtection="1">
      <alignment horizontal="center" vertical="center"/>
      <protection hidden="1"/>
    </xf>
    <xf numFmtId="2" fontId="21" fillId="5" borderId="34" xfId="0" applyNumberFormat="1" applyFont="1" applyFill="1" applyBorder="1" applyAlignment="1" applyProtection="1">
      <alignment horizontal="center" vertical="center"/>
      <protection hidden="1"/>
    </xf>
    <xf numFmtId="2" fontId="31" fillId="15" borderId="55" xfId="0" applyNumberFormat="1" applyFont="1" applyFill="1" applyBorder="1" applyAlignment="1" applyProtection="1">
      <alignment vertical="center" wrapText="1"/>
      <protection hidden="1"/>
    </xf>
    <xf numFmtId="2" fontId="31" fillId="15" borderId="56" xfId="0" applyNumberFormat="1" applyFont="1" applyFill="1" applyBorder="1" applyAlignment="1" applyProtection="1">
      <alignment vertical="center" wrapText="1"/>
      <protection hidden="1"/>
    </xf>
    <xf numFmtId="1" fontId="31" fillId="15" borderId="54" xfId="0" applyNumberFormat="1" applyFont="1" applyFill="1" applyBorder="1" applyAlignment="1" applyProtection="1">
      <alignment vertical="center" wrapText="1"/>
      <protection hidden="1"/>
    </xf>
    <xf numFmtId="1" fontId="31" fillId="15" borderId="60" xfId="0" applyNumberFormat="1" applyFont="1" applyFill="1" applyBorder="1" applyAlignment="1" applyProtection="1">
      <alignment vertical="center" wrapText="1"/>
      <protection hidden="1"/>
    </xf>
    <xf numFmtId="0" fontId="20" fillId="5" borderId="42" xfId="0" applyFont="1" applyFill="1" applyBorder="1" applyAlignment="1" applyProtection="1">
      <alignment horizontal="center" vertical="center"/>
      <protection hidden="1"/>
    </xf>
    <xf numFmtId="0" fontId="20" fillId="2" borderId="75" xfId="0" applyFont="1" applyFill="1" applyBorder="1" applyAlignment="1" applyProtection="1">
      <alignment horizontal="right"/>
      <protection hidden="1"/>
    </xf>
    <xf numFmtId="0" fontId="21" fillId="2" borderId="76" xfId="0" applyFont="1" applyFill="1" applyBorder="1" applyAlignment="1" applyProtection="1">
      <alignment horizontal="right" vertical="top"/>
      <protection hidden="1"/>
    </xf>
    <xf numFmtId="0" fontId="21" fillId="2" borderId="5" xfId="0" applyFont="1" applyFill="1" applyBorder="1" applyProtection="1">
      <protection hidden="1"/>
    </xf>
    <xf numFmtId="0" fontId="20" fillId="2" borderId="5" xfId="0" applyFont="1" applyFill="1" applyBorder="1" applyAlignment="1" applyProtection="1">
      <alignment horizontal="center"/>
      <protection hidden="1"/>
    </xf>
    <xf numFmtId="2" fontId="21" fillId="12" borderId="43" xfId="0" applyNumberFormat="1" applyFont="1" applyFill="1" applyBorder="1" applyAlignment="1" applyProtection="1">
      <alignment horizontal="center" vertical="center"/>
      <protection hidden="1"/>
    </xf>
    <xf numFmtId="2" fontId="21" fillId="5" borderId="37" xfId="0" applyNumberFormat="1" applyFont="1" applyFill="1" applyBorder="1" applyAlignment="1" applyProtection="1">
      <alignment horizontal="center" vertical="center"/>
      <protection hidden="1"/>
    </xf>
    <xf numFmtId="0" fontId="20" fillId="2" borderId="7" xfId="0" applyFont="1" applyFill="1" applyBorder="1" applyAlignment="1" applyProtection="1">
      <alignment horizontal="right"/>
      <protection hidden="1"/>
    </xf>
    <xf numFmtId="0" fontId="44" fillId="4" borderId="30" xfId="0" applyFont="1" applyFill="1" applyBorder="1" applyAlignment="1" applyProtection="1">
      <alignment horizontal="center" vertical="center" wrapText="1"/>
      <protection hidden="1"/>
    </xf>
    <xf numFmtId="2" fontId="21" fillId="12" borderId="52" xfId="0" applyNumberFormat="1" applyFont="1" applyFill="1" applyBorder="1" applyAlignment="1" applyProtection="1">
      <alignment horizontal="center" vertical="center"/>
      <protection hidden="1"/>
    </xf>
    <xf numFmtId="2" fontId="21" fillId="13" borderId="36" xfId="0" applyNumberFormat="1" applyFont="1" applyFill="1" applyBorder="1" applyAlignment="1" applyProtection="1">
      <alignment horizontal="center" vertical="center"/>
      <protection hidden="1"/>
    </xf>
    <xf numFmtId="0" fontId="22" fillId="4" borderId="32" xfId="0" applyFont="1" applyFill="1" applyBorder="1" applyAlignment="1" applyProtection="1">
      <alignment vertical="top" wrapText="1"/>
      <protection hidden="1"/>
    </xf>
    <xf numFmtId="165" fontId="21" fillId="12" borderId="34" xfId="0" applyNumberFormat="1" applyFont="1" applyFill="1" applyBorder="1" applyAlignment="1" applyProtection="1">
      <alignment horizontal="center" vertical="center"/>
      <protection hidden="1"/>
    </xf>
    <xf numFmtId="0" fontId="22" fillId="4" borderId="42" xfId="0" applyFont="1" applyFill="1" applyBorder="1" applyAlignment="1" applyProtection="1">
      <alignment vertical="center" wrapText="1"/>
      <protection hidden="1"/>
    </xf>
    <xf numFmtId="2" fontId="21" fillId="13" borderId="37" xfId="0" applyNumberFormat="1" applyFont="1" applyFill="1" applyBorder="1" applyAlignment="1" applyProtection="1">
      <alignment horizontal="center" vertical="center"/>
      <protection hidden="1"/>
    </xf>
    <xf numFmtId="9" fontId="21" fillId="2" borderId="0" xfId="0" applyNumberFormat="1" applyFont="1" applyFill="1" applyBorder="1" applyAlignment="1" applyProtection="1">
      <alignment horizontal="center" vertical="center"/>
      <protection hidden="1"/>
    </xf>
    <xf numFmtId="0" fontId="21" fillId="5" borderId="30" xfId="1" applyFont="1" applyFill="1" applyBorder="1" applyAlignment="1" applyProtection="1">
      <alignment horizontal="center" vertical="center"/>
      <protection hidden="1"/>
    </xf>
    <xf numFmtId="0" fontId="21" fillId="5" borderId="18" xfId="1" applyFont="1" applyFill="1" applyBorder="1" applyAlignment="1" applyProtection="1">
      <alignment horizontal="center" vertical="center"/>
      <protection hidden="1"/>
    </xf>
    <xf numFmtId="0" fontId="20" fillId="3" borderId="20" xfId="0" applyFont="1" applyFill="1" applyBorder="1" applyAlignment="1" applyProtection="1">
      <alignment horizontal="center" vertical="center"/>
      <protection hidden="1"/>
    </xf>
    <xf numFmtId="166" fontId="21" fillId="2" borderId="5" xfId="0" applyNumberFormat="1" applyFont="1" applyFill="1" applyBorder="1" applyProtection="1">
      <protection hidden="1"/>
    </xf>
    <xf numFmtId="0" fontId="20" fillId="5" borderId="30" xfId="0" applyFont="1" applyFill="1" applyBorder="1" applyAlignment="1" applyProtection="1">
      <alignment horizontal="center" vertical="center"/>
      <protection hidden="1"/>
    </xf>
    <xf numFmtId="0" fontId="20" fillId="5" borderId="32" xfId="0" applyFont="1" applyFill="1" applyBorder="1" applyAlignment="1" applyProtection="1">
      <alignment horizontal="center" vertical="center" wrapText="1"/>
      <protection hidden="1"/>
    </xf>
    <xf numFmtId="0" fontId="20" fillId="5" borderId="42" xfId="0" applyFont="1" applyFill="1" applyBorder="1" applyAlignment="1" applyProtection="1">
      <alignment horizontal="center" vertical="center" wrapText="1"/>
      <protection hidden="1"/>
    </xf>
    <xf numFmtId="0" fontId="20" fillId="5" borderId="67" xfId="0" applyFont="1" applyFill="1" applyBorder="1" applyAlignment="1" applyProtection="1">
      <alignment horizontal="center" vertical="center" wrapText="1"/>
      <protection hidden="1"/>
    </xf>
    <xf numFmtId="166" fontId="21" fillId="12" borderId="4" xfId="0" applyNumberFormat="1" applyFont="1" applyFill="1" applyBorder="1" applyAlignment="1" applyProtection="1">
      <alignment horizontal="center" vertical="center"/>
      <protection hidden="1"/>
    </xf>
    <xf numFmtId="0" fontId="21" fillId="2" borderId="2" xfId="0" applyFont="1" applyFill="1" applyBorder="1" applyAlignment="1" applyProtection="1">
      <protection hidden="1"/>
    </xf>
    <xf numFmtId="0" fontId="21" fillId="2" borderId="3" xfId="0" applyFont="1" applyFill="1" applyBorder="1" applyAlignment="1" applyProtection="1">
      <protection hidden="1"/>
    </xf>
    <xf numFmtId="0" fontId="20" fillId="5" borderId="68" xfId="0" applyFont="1" applyFill="1" applyBorder="1" applyAlignment="1" applyProtection="1">
      <alignment horizontal="center" vertical="center"/>
      <protection hidden="1"/>
    </xf>
    <xf numFmtId="2" fontId="21" fillId="13" borderId="8" xfId="0" applyNumberFormat="1" applyFont="1" applyFill="1" applyBorder="1" applyAlignment="1" applyProtection="1">
      <alignment horizontal="center" vertical="center"/>
      <protection hidden="1"/>
    </xf>
    <xf numFmtId="0" fontId="21" fillId="2" borderId="46" xfId="0" applyFont="1" applyFill="1" applyBorder="1" applyAlignment="1" applyProtection="1">
      <protection hidden="1"/>
    </xf>
    <xf numFmtId="0" fontId="21" fillId="2" borderId="5" xfId="0" applyFont="1" applyFill="1" applyBorder="1" applyAlignment="1" applyProtection="1">
      <protection hidden="1"/>
    </xf>
    <xf numFmtId="0" fontId="20" fillId="2" borderId="0" xfId="0" applyFont="1" applyFill="1" applyBorder="1" applyAlignment="1" applyProtection="1">
      <alignment horizontal="center" vertical="center"/>
      <protection hidden="1"/>
    </xf>
    <xf numFmtId="166" fontId="21" fillId="2" borderId="0" xfId="0" applyNumberFormat="1" applyFont="1" applyFill="1" applyBorder="1" applyAlignment="1" applyProtection="1">
      <alignment horizontal="center" vertical="center"/>
      <protection hidden="1"/>
    </xf>
    <xf numFmtId="0" fontId="21" fillId="2" borderId="10" xfId="0" applyFont="1" applyFill="1" applyBorder="1" applyAlignment="1" applyProtection="1">
      <alignment vertical="center" wrapText="1"/>
      <protection hidden="1"/>
    </xf>
    <xf numFmtId="0" fontId="20" fillId="2" borderId="0" xfId="0" applyFont="1" applyFill="1" applyBorder="1" applyAlignment="1" applyProtection="1">
      <alignment vertical="center" wrapText="1"/>
      <protection hidden="1"/>
    </xf>
    <xf numFmtId="0" fontId="21" fillId="2" borderId="10" xfId="0" applyFont="1" applyFill="1" applyBorder="1" applyAlignment="1" applyProtection="1">
      <alignment horizontal="left" vertical="center" wrapText="1"/>
      <protection hidden="1"/>
    </xf>
    <xf numFmtId="0" fontId="21" fillId="2" borderId="0" xfId="0" applyFont="1" applyFill="1" applyBorder="1" applyAlignment="1" applyProtection="1">
      <alignment horizontal="left" vertical="center" wrapText="1"/>
      <protection hidden="1"/>
    </xf>
    <xf numFmtId="0" fontId="21" fillId="0" borderId="10" xfId="0" applyFont="1" applyBorder="1" applyAlignment="1" applyProtection="1">
      <alignment vertical="center" wrapText="1"/>
      <protection hidden="1"/>
    </xf>
    <xf numFmtId="0" fontId="20" fillId="5" borderId="22" xfId="0" applyFont="1" applyFill="1" applyBorder="1" applyAlignment="1" applyProtection="1">
      <alignment horizontal="center" vertical="center" wrapText="1"/>
      <protection hidden="1"/>
    </xf>
    <xf numFmtId="0" fontId="20" fillId="5" borderId="20" xfId="0" applyFont="1" applyFill="1" applyBorder="1" applyAlignment="1" applyProtection="1">
      <alignment horizontal="center" vertical="center" wrapText="1"/>
      <protection hidden="1"/>
    </xf>
    <xf numFmtId="0" fontId="20" fillId="2" borderId="10" xfId="0" applyFont="1" applyFill="1" applyBorder="1" applyAlignment="1" applyProtection="1">
      <alignment horizontal="center" vertical="center" wrapText="1"/>
      <protection hidden="1"/>
    </xf>
    <xf numFmtId="14" fontId="21" fillId="5" borderId="9" xfId="0" applyNumberFormat="1" applyFont="1" applyFill="1" applyBorder="1" applyAlignment="1" applyProtection="1">
      <alignment horizontal="center" vertical="center" wrapText="1"/>
      <protection hidden="1"/>
    </xf>
    <xf numFmtId="0" fontId="21" fillId="5" borderId="9" xfId="0" applyFont="1" applyFill="1" applyBorder="1" applyAlignment="1" applyProtection="1">
      <alignment horizontal="center" vertical="center" wrapText="1"/>
      <protection hidden="1"/>
    </xf>
    <xf numFmtId="167" fontId="21" fillId="5" borderId="9" xfId="0" applyNumberFormat="1" applyFont="1" applyFill="1" applyBorder="1" applyAlignment="1" applyProtection="1">
      <alignment horizontal="center" vertical="center" wrapText="1"/>
      <protection hidden="1"/>
    </xf>
    <xf numFmtId="166" fontId="21" fillId="5" borderId="9" xfId="0" applyNumberFormat="1" applyFont="1" applyFill="1" applyBorder="1" applyAlignment="1" applyProtection="1">
      <alignment horizontal="center" vertical="center" wrapText="1"/>
      <protection hidden="1"/>
    </xf>
    <xf numFmtId="165" fontId="21" fillId="5" borderId="9" xfId="0" applyNumberFormat="1" applyFont="1" applyFill="1" applyBorder="1" applyAlignment="1" applyProtection="1">
      <alignment horizontal="center" vertical="center" wrapText="1"/>
      <protection hidden="1"/>
    </xf>
    <xf numFmtId="0" fontId="21" fillId="5" borderId="34" xfId="0" applyFont="1" applyFill="1" applyBorder="1" applyAlignment="1" applyProtection="1">
      <alignment horizontal="center" vertical="center" wrapText="1"/>
      <protection hidden="1"/>
    </xf>
    <xf numFmtId="2" fontId="21" fillId="5" borderId="9" xfId="0" applyNumberFormat="1" applyFont="1" applyFill="1" applyBorder="1" applyAlignment="1" applyProtection="1">
      <alignment horizontal="center" vertical="center" wrapText="1"/>
      <protection hidden="1"/>
    </xf>
    <xf numFmtId="168" fontId="21" fillId="5" borderId="9" xfId="0" applyNumberFormat="1" applyFont="1" applyFill="1" applyBorder="1" applyAlignment="1" applyProtection="1">
      <alignment horizontal="center" vertical="center" wrapText="1"/>
      <protection hidden="1"/>
    </xf>
    <xf numFmtId="0" fontId="21" fillId="2" borderId="48" xfId="0" applyFont="1" applyFill="1" applyBorder="1" applyAlignment="1" applyProtection="1">
      <alignment horizontal="center" vertical="center" wrapText="1"/>
      <protection hidden="1"/>
    </xf>
    <xf numFmtId="0" fontId="20" fillId="5" borderId="56" xfId="0" applyFont="1" applyFill="1" applyBorder="1" applyAlignment="1" applyProtection="1">
      <alignment vertical="top" wrapText="1"/>
      <protection hidden="1"/>
    </xf>
    <xf numFmtId="0" fontId="21" fillId="5" borderId="43" xfId="0" applyFont="1" applyFill="1" applyBorder="1" applyAlignment="1" applyProtection="1">
      <alignment horizontal="center" vertical="center" wrapText="1"/>
      <protection hidden="1"/>
    </xf>
    <xf numFmtId="14" fontId="21" fillId="5" borderId="43" xfId="0" applyNumberFormat="1" applyFont="1" applyFill="1" applyBorder="1" applyAlignment="1" applyProtection="1">
      <alignment horizontal="center" vertical="center" wrapText="1"/>
      <protection hidden="1"/>
    </xf>
    <xf numFmtId="165" fontId="21" fillId="5" borderId="43" xfId="0" applyNumberFormat="1" applyFont="1" applyFill="1" applyBorder="1" applyAlignment="1" applyProtection="1">
      <alignment horizontal="center" vertical="center" wrapText="1"/>
      <protection hidden="1"/>
    </xf>
    <xf numFmtId="1" fontId="21" fillId="5" borderId="43" xfId="0" applyNumberFormat="1" applyFont="1" applyFill="1" applyBorder="1" applyAlignment="1" applyProtection="1">
      <alignment horizontal="center" vertical="center" wrapText="1"/>
      <protection hidden="1"/>
    </xf>
    <xf numFmtId="168" fontId="21" fillId="5" borderId="43" xfId="0" applyNumberFormat="1" applyFont="1" applyFill="1" applyBorder="1" applyAlignment="1" applyProtection="1">
      <alignment horizontal="center" vertical="center" wrapText="1"/>
      <protection hidden="1"/>
    </xf>
    <xf numFmtId="0" fontId="21" fillId="5" borderId="37" xfId="0" applyFont="1" applyFill="1" applyBorder="1" applyAlignment="1" applyProtection="1">
      <alignment horizontal="center" vertical="center" wrapText="1"/>
      <protection hidden="1"/>
    </xf>
    <xf numFmtId="166" fontId="21" fillId="2" borderId="0" xfId="1" applyNumberFormat="1" applyFont="1" applyFill="1" applyBorder="1" applyAlignment="1" applyProtection="1">
      <alignment horizontal="center" vertical="center"/>
      <protection hidden="1"/>
    </xf>
    <xf numFmtId="165" fontId="21" fillId="2" borderId="0" xfId="1" applyNumberFormat="1" applyFont="1" applyFill="1" applyBorder="1" applyAlignment="1" applyProtection="1">
      <alignment horizontal="center" vertical="center"/>
      <protection hidden="1"/>
    </xf>
    <xf numFmtId="0" fontId="20" fillId="2" borderId="1" xfId="0" applyFont="1" applyFill="1" applyBorder="1" applyAlignment="1" applyProtection="1">
      <alignment vertical="center" wrapText="1"/>
      <protection hidden="1"/>
    </xf>
    <xf numFmtId="2" fontId="21" fillId="2" borderId="0" xfId="0" applyNumberFormat="1" applyFont="1" applyFill="1" applyBorder="1" applyProtection="1">
      <protection hidden="1"/>
    </xf>
    <xf numFmtId="0" fontId="21" fillId="11" borderId="14" xfId="0" applyFont="1" applyFill="1" applyBorder="1" applyAlignment="1" applyProtection="1">
      <alignment horizontal="center" vertical="center"/>
      <protection locked="0" hidden="1"/>
    </xf>
    <xf numFmtId="0" fontId="21" fillId="11" borderId="56" xfId="0" applyFont="1" applyFill="1" applyBorder="1" applyAlignment="1" applyProtection="1">
      <alignment horizontal="center" vertical="center"/>
      <protection locked="0" hidden="1"/>
    </xf>
    <xf numFmtId="0" fontId="21" fillId="11" borderId="9" xfId="1" applyFont="1" applyFill="1" applyBorder="1" applyAlignment="1" applyProtection="1">
      <alignment horizontal="center" vertical="center"/>
      <protection locked="0" hidden="1"/>
    </xf>
    <xf numFmtId="0" fontId="21" fillId="11" borderId="43" xfId="1" applyFont="1" applyFill="1" applyBorder="1" applyAlignment="1" applyProtection="1">
      <alignment horizontal="center" vertical="center"/>
      <protection locked="0" hidden="1"/>
    </xf>
    <xf numFmtId="2" fontId="25" fillId="24" borderId="1" xfId="6" applyNumberFormat="1" applyBorder="1" applyAlignment="1" applyProtection="1">
      <alignment horizontal="center" vertical="center"/>
      <protection locked="0" hidden="1"/>
    </xf>
    <xf numFmtId="0" fontId="21" fillId="5" borderId="39" xfId="0" applyFont="1" applyFill="1" applyBorder="1" applyAlignment="1" applyProtection="1">
      <alignment horizontal="center" vertical="center" wrapText="1"/>
      <protection hidden="1"/>
    </xf>
    <xf numFmtId="0" fontId="21" fillId="5" borderId="40" xfId="0" applyFont="1" applyFill="1" applyBorder="1" applyAlignment="1" applyProtection="1">
      <alignment horizontal="center" vertical="center" wrapText="1"/>
      <protection hidden="1"/>
    </xf>
    <xf numFmtId="0" fontId="21" fillId="5" borderId="32" xfId="0" applyFont="1" applyFill="1" applyBorder="1" applyAlignment="1" applyProtection="1">
      <alignment horizontal="center" vertical="center" wrapText="1"/>
      <protection hidden="1"/>
    </xf>
    <xf numFmtId="0" fontId="21" fillId="5" borderId="42" xfId="0" applyFont="1" applyFill="1" applyBorder="1" applyAlignment="1" applyProtection="1">
      <alignment horizontal="center" vertical="center"/>
      <protection hidden="1"/>
    </xf>
    <xf numFmtId="166" fontId="21" fillId="7" borderId="43" xfId="0" applyNumberFormat="1" applyFont="1" applyFill="1" applyBorder="1" applyAlignment="1" applyProtection="1">
      <alignment horizontal="center" vertical="center"/>
      <protection hidden="1"/>
    </xf>
    <xf numFmtId="166" fontId="21" fillId="7" borderId="9" xfId="0" applyNumberFormat="1" applyFont="1" applyFill="1" applyBorder="1" applyAlignment="1" applyProtection="1">
      <alignment horizontal="center" vertical="center" wrapText="1"/>
      <protection hidden="1"/>
    </xf>
    <xf numFmtId="0" fontId="21" fillId="5" borderId="27" xfId="1" applyFont="1" applyFill="1" applyBorder="1" applyAlignment="1" applyProtection="1">
      <alignment horizontal="center" wrapText="1"/>
      <protection hidden="1"/>
    </xf>
    <xf numFmtId="166" fontId="21" fillId="12" borderId="11" xfId="0" applyNumberFormat="1" applyFont="1" applyFill="1" applyBorder="1" applyAlignment="1" applyProtection="1">
      <alignment horizontal="center" vertical="center"/>
      <protection hidden="1"/>
    </xf>
    <xf numFmtId="166" fontId="21" fillId="12" borderId="54" xfId="0" applyNumberFormat="1" applyFont="1" applyFill="1" applyBorder="1" applyAlignment="1" applyProtection="1">
      <alignment horizontal="center" vertical="center"/>
      <protection hidden="1"/>
    </xf>
    <xf numFmtId="167" fontId="20" fillId="7" borderId="68" xfId="0" applyNumberFormat="1" applyFont="1" applyFill="1" applyBorder="1" applyAlignment="1" applyProtection="1">
      <alignment horizontal="center" vertical="center" wrapText="1"/>
      <protection hidden="1"/>
    </xf>
    <xf numFmtId="167" fontId="20" fillId="7" borderId="73" xfId="0" applyNumberFormat="1" applyFont="1" applyFill="1" applyBorder="1" applyAlignment="1" applyProtection="1">
      <alignment horizontal="center" vertical="center" wrapText="1"/>
      <protection hidden="1"/>
    </xf>
    <xf numFmtId="2" fontId="21" fillId="11" borderId="43" xfId="1" applyNumberFormat="1" applyFont="1" applyFill="1" applyBorder="1" applyAlignment="1" applyProtection="1">
      <alignment horizontal="center" vertical="center"/>
      <protection locked="0" hidden="1"/>
    </xf>
    <xf numFmtId="0" fontId="21" fillId="2" borderId="0" xfId="0" applyFont="1" applyFill="1" applyBorder="1" applyAlignment="1" applyProtection="1">
      <alignment horizontal="center"/>
      <protection hidden="1"/>
    </xf>
    <xf numFmtId="0" fontId="20" fillId="5" borderId="9" xfId="0" applyFont="1" applyFill="1" applyBorder="1" applyAlignment="1" applyProtection="1">
      <alignment horizontal="center" vertical="center" wrapText="1"/>
      <protection hidden="1"/>
    </xf>
    <xf numFmtId="0" fontId="20" fillId="5" borderId="41" xfId="0" applyFont="1" applyFill="1" applyBorder="1" applyAlignment="1" applyProtection="1">
      <alignment horizontal="center" vertical="center"/>
      <protection hidden="1"/>
    </xf>
    <xf numFmtId="0" fontId="21" fillId="3" borderId="32" xfId="0" applyFont="1" applyFill="1" applyBorder="1" applyAlignment="1" applyProtection="1">
      <alignment horizontal="center" vertical="center"/>
      <protection hidden="1"/>
    </xf>
    <xf numFmtId="0" fontId="20" fillId="5" borderId="34" xfId="0" applyFont="1" applyFill="1" applyBorder="1" applyAlignment="1" applyProtection="1">
      <alignment horizontal="center" vertical="center" wrapText="1"/>
      <protection hidden="1"/>
    </xf>
    <xf numFmtId="0" fontId="21" fillId="3" borderId="42" xfId="0" applyFont="1" applyFill="1" applyBorder="1" applyAlignment="1" applyProtection="1">
      <alignment horizontal="center" vertical="center"/>
      <protection hidden="1"/>
    </xf>
    <xf numFmtId="0" fontId="20" fillId="5" borderId="43" xfId="0" applyFont="1" applyFill="1" applyBorder="1" applyAlignment="1" applyProtection="1">
      <alignment horizontal="center" vertical="center" wrapText="1"/>
      <protection hidden="1"/>
    </xf>
    <xf numFmtId="0" fontId="20" fillId="5" borderId="37" xfId="0" applyFont="1" applyFill="1" applyBorder="1" applyAlignment="1" applyProtection="1">
      <alignment horizontal="center" vertical="center" wrapText="1"/>
      <protection hidden="1"/>
    </xf>
    <xf numFmtId="0" fontId="20" fillId="5" borderId="30" xfId="0" applyFont="1" applyFill="1" applyBorder="1" applyAlignment="1" applyProtection="1">
      <alignment horizontal="center" vertical="center" wrapText="1"/>
      <protection hidden="1"/>
    </xf>
    <xf numFmtId="0" fontId="21" fillId="3" borderId="30" xfId="0" applyFont="1" applyFill="1" applyBorder="1" applyAlignment="1" applyProtection="1">
      <alignment horizontal="center" vertical="center"/>
      <protection hidden="1"/>
    </xf>
    <xf numFmtId="2" fontId="21" fillId="12" borderId="18" xfId="0" applyNumberFormat="1" applyFont="1" applyFill="1" applyBorder="1" applyAlignment="1" applyProtection="1">
      <alignment horizontal="center" vertical="center"/>
      <protection hidden="1"/>
    </xf>
    <xf numFmtId="0" fontId="23" fillId="5" borderId="20" xfId="0" applyFont="1" applyFill="1" applyBorder="1" applyAlignment="1" applyProtection="1">
      <alignment horizontal="center" vertical="center" wrapText="1"/>
      <protection hidden="1"/>
    </xf>
    <xf numFmtId="0" fontId="20" fillId="5" borderId="22" xfId="0" applyFont="1" applyFill="1" applyBorder="1" applyAlignment="1" applyProtection="1">
      <alignment horizontal="center" vertical="center"/>
      <protection hidden="1"/>
    </xf>
    <xf numFmtId="0" fontId="20" fillId="4" borderId="39" xfId="0" applyFont="1" applyFill="1" applyBorder="1" applyAlignment="1" applyProtection="1">
      <alignment horizontal="center" vertical="center" wrapText="1"/>
      <protection hidden="1"/>
    </xf>
    <xf numFmtId="165" fontId="21" fillId="12" borderId="41" xfId="0" applyNumberFormat="1" applyFont="1" applyFill="1" applyBorder="1" applyAlignment="1" applyProtection="1">
      <alignment horizontal="center" vertical="center"/>
      <protection hidden="1"/>
    </xf>
    <xf numFmtId="0" fontId="20" fillId="4" borderId="32" xfId="0" applyFont="1" applyFill="1" applyBorder="1" applyAlignment="1" applyProtection="1">
      <alignment horizontal="center" vertical="center" wrapText="1"/>
      <protection hidden="1"/>
    </xf>
    <xf numFmtId="2" fontId="21" fillId="13" borderId="34" xfId="0" applyNumberFormat="1" applyFont="1" applyFill="1" applyBorder="1" applyAlignment="1" applyProtection="1">
      <alignment horizontal="center" vertical="center"/>
      <protection hidden="1"/>
    </xf>
    <xf numFmtId="0" fontId="20" fillId="4" borderId="42" xfId="0" applyFont="1" applyFill="1" applyBorder="1" applyAlignment="1" applyProtection="1">
      <alignment horizontal="center" vertical="center" wrapText="1"/>
      <protection hidden="1"/>
    </xf>
    <xf numFmtId="2" fontId="21" fillId="2" borderId="0" xfId="0" applyNumberFormat="1" applyFont="1" applyFill="1" applyProtection="1">
      <protection hidden="1"/>
    </xf>
    <xf numFmtId="0" fontId="20" fillId="5" borderId="18" xfId="0" applyFont="1" applyFill="1" applyBorder="1" applyAlignment="1" applyProtection="1">
      <alignment horizontal="center" vertical="center" wrapText="1"/>
      <protection hidden="1"/>
    </xf>
    <xf numFmtId="166" fontId="21" fillId="7" borderId="18" xfId="0" applyNumberFormat="1" applyFont="1" applyFill="1" applyBorder="1" applyAlignment="1" applyProtection="1">
      <alignment horizontal="center" vertical="center" wrapText="1"/>
      <protection hidden="1"/>
    </xf>
    <xf numFmtId="166" fontId="48" fillId="7" borderId="27" xfId="0" applyNumberFormat="1" applyFont="1" applyFill="1" applyBorder="1" applyAlignment="1" applyProtection="1">
      <alignment horizontal="center" vertical="center" wrapText="1"/>
      <protection hidden="1"/>
    </xf>
    <xf numFmtId="166" fontId="21" fillId="7" borderId="11" xfId="0" applyNumberFormat="1" applyFont="1" applyFill="1" applyBorder="1" applyAlignment="1" applyProtection="1">
      <alignment horizontal="center" vertical="center"/>
      <protection hidden="1"/>
    </xf>
    <xf numFmtId="166" fontId="21" fillId="7" borderId="43" xfId="0" applyNumberFormat="1" applyFont="1" applyFill="1" applyBorder="1" applyAlignment="1" applyProtection="1">
      <alignment horizontal="center" vertical="center" wrapText="1"/>
      <protection hidden="1"/>
    </xf>
    <xf numFmtId="166" fontId="21" fillId="7" borderId="37" xfId="0" applyNumberFormat="1" applyFont="1" applyFill="1" applyBorder="1" applyAlignment="1" applyProtection="1">
      <alignment horizontal="center" vertical="center"/>
      <protection hidden="1"/>
    </xf>
    <xf numFmtId="0" fontId="20" fillId="5" borderId="19" xfId="0" applyFont="1" applyFill="1" applyBorder="1" applyAlignment="1" applyProtection="1">
      <alignment horizontal="center" vertical="center" wrapText="1"/>
      <protection hidden="1"/>
    </xf>
    <xf numFmtId="0" fontId="20" fillId="5" borderId="28" xfId="0" applyFont="1" applyFill="1" applyBorder="1" applyAlignment="1" applyProtection="1">
      <alignment horizontal="center" vertical="center" wrapText="1"/>
      <protection hidden="1"/>
    </xf>
    <xf numFmtId="0" fontId="21" fillId="2" borderId="0" xfId="0" applyFont="1" applyFill="1" applyBorder="1" applyAlignment="1" applyProtection="1">
      <alignment horizontal="center" vertical="center" wrapText="1"/>
      <protection hidden="1"/>
    </xf>
    <xf numFmtId="0" fontId="20" fillId="5" borderId="21" xfId="0" applyFont="1" applyFill="1" applyBorder="1" applyAlignment="1" applyProtection="1">
      <alignment horizontal="center" vertical="center" wrapText="1"/>
      <protection hidden="1"/>
    </xf>
    <xf numFmtId="0" fontId="27" fillId="25" borderId="1" xfId="0" applyFont="1" applyFill="1" applyBorder="1" applyAlignment="1" applyProtection="1">
      <alignment horizontal="center" vertical="center" wrapText="1"/>
      <protection hidden="1"/>
    </xf>
    <xf numFmtId="0" fontId="21" fillId="2" borderId="0" xfId="0" applyFont="1" applyFill="1" applyBorder="1" applyAlignment="1" applyProtection="1">
      <alignment vertical="center" wrapText="1"/>
      <protection locked="0" hidden="1"/>
    </xf>
    <xf numFmtId="0" fontId="21" fillId="2" borderId="6" xfId="0" applyFont="1" applyFill="1" applyBorder="1" applyAlignment="1" applyProtection="1">
      <alignment horizontal="center" vertical="center" wrapText="1"/>
      <protection hidden="1"/>
    </xf>
    <xf numFmtId="0" fontId="21" fillId="2" borderId="7" xfId="0" applyFont="1" applyFill="1" applyBorder="1" applyAlignment="1" applyProtection="1">
      <alignment horizontal="center" vertical="center" wrapText="1"/>
      <protection hidden="1"/>
    </xf>
    <xf numFmtId="0" fontId="38" fillId="7" borderId="1" xfId="0" applyFont="1" applyFill="1" applyBorder="1" applyAlignment="1" applyProtection="1">
      <alignment horizontal="center" vertical="center" wrapText="1"/>
      <protection hidden="1"/>
    </xf>
    <xf numFmtId="0" fontId="51" fillId="7" borderId="39" xfId="0" applyFont="1" applyFill="1" applyBorder="1" applyAlignment="1" applyProtection="1">
      <alignment horizontal="center" vertical="center" wrapText="1"/>
      <protection hidden="1"/>
    </xf>
    <xf numFmtId="0" fontId="56" fillId="7" borderId="40" xfId="0" applyFont="1" applyFill="1" applyBorder="1" applyAlignment="1" applyProtection="1">
      <alignment horizontal="center" vertical="center" wrapText="1"/>
      <protection hidden="1"/>
    </xf>
    <xf numFmtId="0" fontId="51" fillId="7" borderId="41" xfId="0" applyFont="1" applyFill="1" applyBorder="1" applyAlignment="1" applyProtection="1">
      <alignment horizontal="center" vertical="center" wrapText="1"/>
      <protection hidden="1"/>
    </xf>
    <xf numFmtId="0" fontId="51" fillId="7" borderId="42" xfId="0" applyFont="1" applyFill="1" applyBorder="1" applyAlignment="1" applyProtection="1">
      <alignment horizontal="center" vertical="center" wrapText="1"/>
      <protection hidden="1"/>
    </xf>
    <xf numFmtId="0" fontId="51" fillId="7" borderId="43" xfId="0" applyFont="1" applyFill="1" applyBorder="1" applyAlignment="1" applyProtection="1">
      <alignment horizontal="center" vertical="center" wrapText="1"/>
      <protection hidden="1"/>
    </xf>
    <xf numFmtId="0" fontId="51" fillId="7" borderId="37" xfId="0" applyFont="1" applyFill="1" applyBorder="1" applyAlignment="1" applyProtection="1">
      <alignment horizontal="center" vertical="center" wrapText="1"/>
      <protection hidden="1"/>
    </xf>
    <xf numFmtId="14" fontId="21" fillId="5" borderId="40" xfId="0" applyNumberFormat="1" applyFont="1" applyFill="1" applyBorder="1" applyAlignment="1" applyProtection="1">
      <alignment horizontal="center" vertical="center" wrapText="1"/>
      <protection hidden="1"/>
    </xf>
    <xf numFmtId="0" fontId="20" fillId="5" borderId="63" xfId="0" applyFont="1" applyFill="1" applyBorder="1" applyAlignment="1" applyProtection="1">
      <alignment vertical="top" wrapText="1"/>
      <protection hidden="1"/>
    </xf>
    <xf numFmtId="0" fontId="21" fillId="5" borderId="52" xfId="0" applyFont="1" applyFill="1" applyBorder="1" applyAlignment="1" applyProtection="1">
      <alignment horizontal="center" vertical="center" wrapText="1"/>
      <protection hidden="1"/>
    </xf>
    <xf numFmtId="14" fontId="21" fillId="5" borderId="52" xfId="0" applyNumberFormat="1" applyFont="1" applyFill="1" applyBorder="1" applyAlignment="1" applyProtection="1">
      <alignment horizontal="center" vertical="center" wrapText="1"/>
      <protection hidden="1"/>
    </xf>
    <xf numFmtId="165" fontId="21" fillId="5" borderId="52" xfId="0" applyNumberFormat="1" applyFont="1" applyFill="1" applyBorder="1" applyAlignment="1" applyProtection="1">
      <alignment horizontal="center" vertical="center" wrapText="1"/>
      <protection hidden="1"/>
    </xf>
    <xf numFmtId="1" fontId="21" fillId="5" borderId="52" xfId="0" applyNumberFormat="1" applyFont="1" applyFill="1" applyBorder="1" applyAlignment="1" applyProtection="1">
      <alignment horizontal="center" vertical="center" wrapText="1"/>
      <protection hidden="1"/>
    </xf>
    <xf numFmtId="168" fontId="21" fillId="5" borderId="52" xfId="0" applyNumberFormat="1" applyFont="1" applyFill="1" applyBorder="1" applyAlignment="1" applyProtection="1">
      <alignment horizontal="center" vertical="center" wrapText="1"/>
      <protection hidden="1"/>
    </xf>
    <xf numFmtId="0" fontId="21" fillId="5" borderId="77" xfId="0" applyFont="1" applyFill="1" applyBorder="1" applyAlignment="1" applyProtection="1">
      <alignment horizontal="center" vertical="center" wrapText="1"/>
      <protection hidden="1"/>
    </xf>
    <xf numFmtId="165" fontId="21" fillId="5" borderId="40" xfId="0" applyNumberFormat="1" applyFont="1" applyFill="1" applyBorder="1" applyAlignment="1" applyProtection="1">
      <alignment horizontal="center" vertical="center" wrapText="1"/>
      <protection hidden="1"/>
    </xf>
    <xf numFmtId="164" fontId="21" fillId="5" borderId="40" xfId="0" applyNumberFormat="1" applyFont="1" applyFill="1" applyBorder="1" applyAlignment="1" applyProtection="1">
      <alignment horizontal="center" vertical="center" wrapText="1"/>
      <protection hidden="1"/>
    </xf>
    <xf numFmtId="168" fontId="21" fillId="5" borderId="40" xfId="0" applyNumberFormat="1" applyFont="1" applyFill="1" applyBorder="1" applyAlignment="1" applyProtection="1">
      <alignment horizontal="center" vertical="center" wrapText="1"/>
      <protection hidden="1"/>
    </xf>
    <xf numFmtId="0" fontId="21" fillId="5" borderId="41" xfId="0" applyFont="1" applyFill="1" applyBorder="1" applyAlignment="1" applyProtection="1">
      <alignment horizontal="center" vertical="center" wrapText="1"/>
      <protection hidden="1"/>
    </xf>
    <xf numFmtId="0" fontId="21" fillId="2" borderId="69" xfId="0" applyFont="1" applyFill="1" applyBorder="1" applyAlignment="1" applyProtection="1">
      <alignment vertical="center" wrapText="1"/>
      <protection hidden="1"/>
    </xf>
    <xf numFmtId="0" fontId="21" fillId="7" borderId="10" xfId="0" applyFont="1" applyFill="1" applyBorder="1" applyAlignment="1" applyProtection="1">
      <alignment horizontal="center" vertical="center" wrapText="1"/>
      <protection hidden="1"/>
    </xf>
    <xf numFmtId="2" fontId="20" fillId="7" borderId="1" xfId="0" applyNumberFormat="1" applyFont="1" applyFill="1" applyBorder="1" applyAlignment="1" applyProtection="1">
      <alignment horizontal="center" vertical="center" wrapText="1"/>
      <protection hidden="1"/>
    </xf>
    <xf numFmtId="14" fontId="21" fillId="5" borderId="20" xfId="0" applyNumberFormat="1" applyFont="1" applyFill="1" applyBorder="1" applyAlignment="1" applyProtection="1">
      <alignment horizontal="center" vertical="center" wrapText="1"/>
      <protection hidden="1"/>
    </xf>
    <xf numFmtId="0" fontId="21" fillId="5" borderId="19" xfId="0" applyFont="1" applyFill="1" applyBorder="1" applyAlignment="1" applyProtection="1">
      <alignment horizontal="center" vertical="center" wrapText="1"/>
      <protection hidden="1"/>
    </xf>
    <xf numFmtId="0" fontId="21" fillId="5" borderId="22" xfId="0" applyFont="1" applyFill="1" applyBorder="1" applyAlignment="1" applyProtection="1">
      <alignment horizontal="center" vertical="center" wrapText="1"/>
      <protection hidden="1"/>
    </xf>
    <xf numFmtId="0" fontId="21" fillId="5" borderId="21" xfId="0" applyFont="1" applyFill="1" applyBorder="1" applyAlignment="1" applyProtection="1">
      <alignment horizontal="center" vertical="center" wrapText="1"/>
      <protection hidden="1"/>
    </xf>
    <xf numFmtId="0" fontId="21" fillId="5" borderId="8" xfId="0" applyFont="1" applyFill="1" applyBorder="1" applyAlignment="1" applyProtection="1">
      <alignment horizontal="center" vertical="center" wrapText="1"/>
      <protection hidden="1"/>
    </xf>
    <xf numFmtId="165" fontId="21" fillId="7" borderId="40" xfId="0" applyNumberFormat="1" applyFont="1" applyFill="1" applyBorder="1" applyAlignment="1" applyProtection="1">
      <alignment horizontal="center" vertical="center" wrapText="1"/>
      <protection hidden="1"/>
    </xf>
    <xf numFmtId="2" fontId="21" fillId="5" borderId="67" xfId="0" applyNumberFormat="1" applyFont="1" applyFill="1" applyBorder="1" applyAlignment="1" applyProtection="1">
      <alignment horizontal="center" vertical="center" wrapText="1"/>
      <protection hidden="1"/>
    </xf>
    <xf numFmtId="166" fontId="21" fillId="5" borderId="65" xfId="0" applyNumberFormat="1" applyFont="1" applyFill="1" applyBorder="1" applyAlignment="1" applyProtection="1">
      <alignment horizontal="center" vertical="center" wrapText="1"/>
      <protection hidden="1"/>
    </xf>
    <xf numFmtId="166" fontId="21" fillId="5" borderId="68" xfId="0" applyNumberFormat="1" applyFont="1" applyFill="1" applyBorder="1" applyAlignment="1" applyProtection="1">
      <alignment horizontal="center" vertical="center"/>
      <protection hidden="1"/>
    </xf>
    <xf numFmtId="0" fontId="21" fillId="2" borderId="6" xfId="0" applyFont="1" applyFill="1" applyBorder="1" applyAlignment="1" applyProtection="1">
      <alignment vertical="center" wrapText="1"/>
      <protection hidden="1"/>
    </xf>
    <xf numFmtId="0" fontId="21" fillId="2" borderId="7" xfId="0" applyFont="1" applyFill="1" applyBorder="1" applyAlignment="1" applyProtection="1">
      <alignment vertical="center" wrapText="1"/>
      <protection hidden="1"/>
    </xf>
    <xf numFmtId="0" fontId="20" fillId="2" borderId="7" xfId="0" applyFont="1" applyFill="1" applyBorder="1" applyAlignment="1" applyProtection="1">
      <alignment vertical="center" wrapText="1"/>
      <protection hidden="1"/>
    </xf>
    <xf numFmtId="0" fontId="20" fillId="2" borderId="8" xfId="0" applyFont="1" applyFill="1" applyBorder="1" applyAlignment="1" applyProtection="1">
      <alignment horizontal="center" vertical="center" wrapText="1"/>
      <protection hidden="1"/>
    </xf>
    <xf numFmtId="164" fontId="21" fillId="2" borderId="69" xfId="0" applyNumberFormat="1" applyFont="1" applyFill="1" applyBorder="1" applyAlignment="1" applyProtection="1">
      <alignment vertical="center" wrapText="1"/>
      <protection hidden="1"/>
    </xf>
    <xf numFmtId="1" fontId="21" fillId="2" borderId="69" xfId="0" applyNumberFormat="1" applyFont="1" applyFill="1" applyBorder="1" applyAlignment="1" applyProtection="1">
      <alignment vertical="center" wrapText="1"/>
      <protection hidden="1"/>
    </xf>
    <xf numFmtId="0" fontId="21" fillId="2" borderId="69" xfId="0" applyNumberFormat="1" applyFont="1" applyFill="1" applyBorder="1" applyAlignment="1" applyProtection="1">
      <alignment horizontal="center" vertical="center" wrapText="1"/>
      <protection hidden="1"/>
    </xf>
    <xf numFmtId="168" fontId="20" fillId="2" borderId="69" xfId="0" applyNumberFormat="1" applyFont="1" applyFill="1" applyBorder="1" applyAlignment="1" applyProtection="1">
      <alignment vertical="center"/>
      <protection hidden="1"/>
    </xf>
    <xf numFmtId="168" fontId="21" fillId="2" borderId="69" xfId="0" applyNumberFormat="1" applyFont="1" applyFill="1" applyBorder="1" applyAlignment="1" applyProtection="1">
      <alignment vertical="center" wrapText="1"/>
      <protection hidden="1"/>
    </xf>
    <xf numFmtId="164" fontId="21" fillId="7" borderId="1" xfId="0" applyNumberFormat="1" applyFont="1" applyFill="1" applyBorder="1" applyAlignment="1" applyProtection="1">
      <alignment horizontal="center" vertical="center" wrapText="1"/>
      <protection hidden="1"/>
    </xf>
    <xf numFmtId="168" fontId="21" fillId="5" borderId="1" xfId="0" applyNumberFormat="1" applyFont="1" applyFill="1" applyBorder="1" applyAlignment="1" applyProtection="1">
      <alignment horizontal="center" vertical="center"/>
      <protection hidden="1"/>
    </xf>
    <xf numFmtId="0" fontId="21" fillId="5" borderId="6" xfId="0" applyFont="1" applyFill="1" applyBorder="1" applyAlignment="1" applyProtection="1">
      <alignment horizontal="left" vertical="center" wrapText="1"/>
      <protection hidden="1"/>
    </xf>
    <xf numFmtId="0" fontId="21" fillId="5" borderId="7" xfId="0" applyFont="1" applyFill="1" applyBorder="1" applyAlignment="1" applyProtection="1">
      <alignment horizontal="left" vertical="center" wrapText="1"/>
      <protection hidden="1"/>
    </xf>
    <xf numFmtId="0" fontId="21" fillId="5" borderId="7" xfId="0" applyFont="1" applyFill="1" applyBorder="1" applyAlignment="1" applyProtection="1">
      <alignment vertical="center" wrapText="1"/>
      <protection hidden="1"/>
    </xf>
    <xf numFmtId="0" fontId="21" fillId="5" borderId="8" xfId="0" applyFont="1" applyFill="1" applyBorder="1" applyAlignment="1" applyProtection="1">
      <alignment vertical="center" wrapText="1"/>
      <protection hidden="1"/>
    </xf>
    <xf numFmtId="0" fontId="21" fillId="5" borderId="18" xfId="0" applyFont="1" applyFill="1" applyBorder="1" applyAlignment="1" applyProtection="1">
      <alignment horizontal="center" vertical="center" wrapText="1"/>
      <protection hidden="1"/>
    </xf>
    <xf numFmtId="0" fontId="21" fillId="5" borderId="36" xfId="0" applyFont="1" applyFill="1" applyBorder="1" applyAlignment="1" applyProtection="1">
      <alignment horizontal="center" vertical="center" wrapText="1"/>
      <protection hidden="1"/>
    </xf>
    <xf numFmtId="0" fontId="20" fillId="5" borderId="47" xfId="0" applyFont="1" applyFill="1" applyBorder="1" applyAlignment="1" applyProtection="1">
      <alignment vertical="top" wrapText="1"/>
      <protection hidden="1"/>
    </xf>
    <xf numFmtId="166" fontId="20" fillId="7" borderId="6" xfId="0" applyNumberFormat="1" applyFont="1" applyFill="1" applyBorder="1" applyAlignment="1" applyProtection="1">
      <alignment horizontal="center" vertical="center" wrapText="1"/>
      <protection hidden="1"/>
    </xf>
    <xf numFmtId="168" fontId="38" fillId="5" borderId="1" xfId="0" applyNumberFormat="1" applyFont="1" applyFill="1" applyBorder="1" applyAlignment="1" applyProtection="1">
      <alignment horizontal="center" vertical="center"/>
      <protection hidden="1"/>
    </xf>
    <xf numFmtId="168" fontId="38" fillId="2" borderId="48" xfId="0" applyNumberFormat="1" applyFont="1" applyFill="1" applyBorder="1" applyAlignment="1" applyProtection="1">
      <alignment vertical="center"/>
      <protection hidden="1"/>
    </xf>
    <xf numFmtId="168" fontId="38" fillId="2" borderId="48" xfId="0" applyNumberFormat="1" applyFont="1" applyFill="1" applyBorder="1" applyAlignment="1" applyProtection="1">
      <alignment vertical="center" wrapText="1"/>
      <protection hidden="1"/>
    </xf>
    <xf numFmtId="166" fontId="20" fillId="5" borderId="3" xfId="0" applyNumberFormat="1" applyFont="1" applyFill="1" applyBorder="1" applyAlignment="1" applyProtection="1">
      <alignment horizontal="center" vertical="center" wrapText="1"/>
      <protection hidden="1"/>
    </xf>
    <xf numFmtId="165" fontId="20" fillId="5" borderId="14" xfId="0" applyNumberFormat="1" applyFont="1" applyFill="1" applyBorder="1" applyAlignment="1" applyProtection="1">
      <alignment horizontal="center" vertical="center" wrapText="1"/>
      <protection hidden="1"/>
    </xf>
    <xf numFmtId="167" fontId="20" fillId="7" borderId="65" xfId="0" applyNumberFormat="1" applyFont="1" applyFill="1" applyBorder="1" applyAlignment="1" applyProtection="1">
      <alignment horizontal="center" vertical="center"/>
      <protection hidden="1"/>
    </xf>
    <xf numFmtId="0" fontId="21" fillId="0" borderId="0" xfId="0" applyFont="1"/>
    <xf numFmtId="0" fontId="27" fillId="0" borderId="0" xfId="0" applyFont="1" applyFill="1" applyBorder="1" applyAlignment="1">
      <alignment horizontal="center" vertical="center"/>
    </xf>
    <xf numFmtId="0" fontId="50" fillId="0" borderId="0" xfId="0" applyFont="1" applyFill="1"/>
    <xf numFmtId="0" fontId="21" fillId="0" borderId="0" xfId="0" applyFont="1" applyAlignment="1">
      <alignment vertical="center"/>
    </xf>
    <xf numFmtId="22" fontId="21" fillId="0" borderId="0" xfId="0" applyNumberFormat="1" applyFont="1" applyAlignment="1">
      <alignment vertical="center" wrapText="1"/>
    </xf>
    <xf numFmtId="0" fontId="21" fillId="0" borderId="0" xfId="0" applyFont="1" applyAlignment="1">
      <alignment horizontal="center" vertical="center" wrapText="1"/>
    </xf>
    <xf numFmtId="0" fontId="21" fillId="0" borderId="0" xfId="0" applyFont="1" applyFill="1" applyBorder="1" applyAlignment="1">
      <alignment vertical="center"/>
    </xf>
    <xf numFmtId="0" fontId="21" fillId="0" borderId="0" xfId="0" applyFont="1" applyFill="1" applyBorder="1" applyAlignment="1">
      <alignment horizontal="center" vertical="center"/>
    </xf>
    <xf numFmtId="0" fontId="21" fillId="0" borderId="0" xfId="0" applyFont="1" applyFill="1" applyBorder="1" applyAlignment="1">
      <alignment horizontal="center" vertical="center" wrapText="1"/>
    </xf>
    <xf numFmtId="167" fontId="21" fillId="0" borderId="0" xfId="0" applyNumberFormat="1" applyFont="1" applyFill="1" applyBorder="1" applyAlignment="1">
      <alignment horizontal="center" vertical="center" wrapText="1"/>
    </xf>
    <xf numFmtId="0" fontId="20" fillId="0" borderId="0" xfId="0" applyFont="1" applyFill="1" applyBorder="1" applyAlignment="1">
      <alignment horizontal="center" vertical="center" wrapText="1"/>
    </xf>
    <xf numFmtId="167" fontId="20" fillId="0" borderId="0" xfId="0" applyNumberFormat="1" applyFont="1" applyFill="1" applyBorder="1" applyAlignment="1">
      <alignment horizontal="center" vertical="center" wrapText="1"/>
    </xf>
    <xf numFmtId="22" fontId="21" fillId="0" borderId="0" xfId="0" applyNumberFormat="1" applyFont="1" applyFill="1" applyBorder="1" applyAlignment="1">
      <alignment horizontal="center" vertical="center" wrapText="1"/>
    </xf>
    <xf numFmtId="0" fontId="20" fillId="5" borderId="19" xfId="0" applyFont="1" applyFill="1" applyBorder="1" applyAlignment="1" applyProtection="1">
      <alignment horizontal="center" vertical="center" wrapText="1"/>
      <protection hidden="1"/>
    </xf>
    <xf numFmtId="0" fontId="20" fillId="16" borderId="6" xfId="0" applyFont="1" applyFill="1" applyBorder="1" applyAlignment="1" applyProtection="1">
      <alignment horizontal="center" vertical="center" wrapText="1"/>
      <protection hidden="1"/>
    </xf>
    <xf numFmtId="0" fontId="20" fillId="16" borderId="21" xfId="0" applyFont="1" applyFill="1" applyBorder="1" applyAlignment="1" applyProtection="1">
      <alignment horizontal="center" vertical="center" wrapText="1"/>
      <protection hidden="1"/>
    </xf>
    <xf numFmtId="0" fontId="21" fillId="2" borderId="6" xfId="0" applyFont="1" applyFill="1" applyBorder="1" applyAlignment="1" applyProtection="1">
      <alignment horizontal="center" vertical="center" wrapText="1"/>
      <protection hidden="1"/>
    </xf>
    <xf numFmtId="0" fontId="21" fillId="2" borderId="0" xfId="0" applyFont="1" applyFill="1" applyBorder="1" applyAlignment="1" applyProtection="1">
      <alignment horizontal="center" vertical="center" wrapText="1"/>
      <protection hidden="1"/>
    </xf>
    <xf numFmtId="1" fontId="25" fillId="24" borderId="1" xfId="6" applyNumberFormat="1" applyFont="1" applyBorder="1" applyAlignment="1" applyProtection="1">
      <alignment horizontal="center" vertical="center"/>
      <protection locked="0" hidden="1"/>
    </xf>
    <xf numFmtId="170" fontId="21" fillId="7" borderId="9" xfId="0" applyNumberFormat="1" applyFont="1" applyFill="1" applyBorder="1" applyAlignment="1" applyProtection="1">
      <alignment horizontal="center" vertical="center" wrapText="1"/>
      <protection hidden="1"/>
    </xf>
    <xf numFmtId="2" fontId="49" fillId="7" borderId="9" xfId="0" applyNumberFormat="1" applyFont="1" applyFill="1" applyBorder="1" applyAlignment="1" applyProtection="1">
      <alignment horizontal="center" vertical="center" wrapText="1"/>
      <protection hidden="1"/>
    </xf>
    <xf numFmtId="0" fontId="21" fillId="0" borderId="0" xfId="0" applyFont="1" applyAlignment="1" applyProtection="1">
      <alignment vertical="center" wrapText="1"/>
      <protection locked="0" hidden="1"/>
    </xf>
    <xf numFmtId="0" fontId="21" fillId="0" borderId="0" xfId="0" applyFont="1" applyFill="1" applyBorder="1" applyAlignment="1" applyProtection="1">
      <alignment horizontal="center" vertical="center" wrapText="1"/>
      <protection hidden="1"/>
    </xf>
    <xf numFmtId="0" fontId="21" fillId="0" borderId="0" xfId="0" applyFont="1" applyFill="1" applyBorder="1" applyAlignment="1" applyProtection="1">
      <alignment vertical="center" wrapText="1"/>
      <protection hidden="1"/>
    </xf>
    <xf numFmtId="0" fontId="27" fillId="0" borderId="0" xfId="0" applyFont="1" applyFill="1" applyBorder="1" applyAlignment="1" applyProtection="1">
      <alignment horizontal="center" vertical="center" wrapText="1"/>
      <protection hidden="1"/>
    </xf>
    <xf numFmtId="0" fontId="21" fillId="0" borderId="0" xfId="0" applyFont="1" applyFill="1" applyAlignment="1" applyProtection="1">
      <alignment vertical="center" wrapText="1"/>
      <protection hidden="1"/>
    </xf>
    <xf numFmtId="2" fontId="28" fillId="16" borderId="19" xfId="1" applyNumberFormat="1" applyFont="1" applyFill="1" applyBorder="1" applyAlignment="1" applyProtection="1">
      <alignment horizontal="center" vertical="center"/>
      <protection hidden="1"/>
    </xf>
    <xf numFmtId="2" fontId="28" fillId="16" borderId="22" xfId="1" applyNumberFormat="1" applyFont="1" applyFill="1" applyBorder="1" applyAlignment="1" applyProtection="1">
      <alignment horizontal="center" vertical="center" wrapText="1"/>
      <protection hidden="1"/>
    </xf>
    <xf numFmtId="0" fontId="25" fillId="24" borderId="1" xfId="6" applyFont="1" applyBorder="1" applyAlignment="1" applyProtection="1">
      <alignment horizontal="center" vertical="center"/>
      <protection locked="0" hidden="1"/>
    </xf>
    <xf numFmtId="0" fontId="20" fillId="16" borderId="1" xfId="0" applyFont="1" applyFill="1" applyBorder="1" applyAlignment="1" applyProtection="1">
      <alignment horizontal="center" vertical="center" wrapText="1"/>
      <protection hidden="1"/>
    </xf>
    <xf numFmtId="0" fontId="20" fillId="16" borderId="22" xfId="0" applyFont="1" applyFill="1" applyBorder="1" applyAlignment="1" applyProtection="1">
      <alignment horizontal="center" vertical="center" wrapText="1"/>
      <protection hidden="1"/>
    </xf>
    <xf numFmtId="0" fontId="20" fillId="21" borderId="67" xfId="0" applyFont="1" applyFill="1" applyBorder="1" applyAlignment="1" applyProtection="1">
      <alignment horizontal="center" vertical="center" wrapText="1"/>
      <protection hidden="1"/>
    </xf>
    <xf numFmtId="14" fontId="21" fillId="15" borderId="47" xfId="0" applyNumberFormat="1" applyFont="1" applyFill="1" applyBorder="1" applyAlignment="1" applyProtection="1">
      <alignment horizontal="center" vertical="center" wrapText="1"/>
      <protection hidden="1"/>
    </xf>
    <xf numFmtId="2" fontId="21" fillId="15" borderId="40" xfId="0" applyNumberFormat="1" applyFont="1" applyFill="1" applyBorder="1" applyAlignment="1" applyProtection="1">
      <alignment horizontal="center" vertical="center" wrapText="1"/>
      <protection hidden="1"/>
    </xf>
    <xf numFmtId="14" fontId="21" fillId="12" borderId="40" xfId="0" applyNumberFormat="1" applyFont="1" applyFill="1" applyBorder="1" applyAlignment="1" applyProtection="1">
      <alignment horizontal="center" vertical="center" wrapText="1"/>
      <protection hidden="1"/>
    </xf>
    <xf numFmtId="0" fontId="21" fillId="15" borderId="40" xfId="0" applyFont="1" applyFill="1" applyBorder="1" applyAlignment="1" applyProtection="1">
      <alignment horizontal="center" vertical="center" wrapText="1"/>
      <protection hidden="1"/>
    </xf>
    <xf numFmtId="167" fontId="21" fillId="15" borderId="40" xfId="0" applyNumberFormat="1" applyFont="1" applyFill="1" applyBorder="1" applyAlignment="1" applyProtection="1">
      <alignment horizontal="center" vertical="center" wrapText="1"/>
      <protection hidden="1"/>
    </xf>
    <xf numFmtId="0" fontId="21" fillId="19" borderId="9" xfId="0" applyFont="1" applyFill="1" applyBorder="1" applyAlignment="1" applyProtection="1">
      <alignment horizontal="center" vertical="center" wrapText="1"/>
      <protection hidden="1"/>
    </xf>
    <xf numFmtId="169" fontId="21" fillId="15" borderId="9" xfId="0" applyNumberFormat="1" applyFont="1" applyFill="1" applyBorder="1" applyAlignment="1" applyProtection="1">
      <alignment horizontal="center" vertical="center" wrapText="1"/>
      <protection hidden="1"/>
    </xf>
    <xf numFmtId="0" fontId="21" fillId="2" borderId="29" xfId="0" applyFont="1" applyFill="1" applyBorder="1" applyAlignment="1" applyProtection="1">
      <alignment horizontal="center" vertical="center" wrapText="1"/>
      <protection hidden="1"/>
    </xf>
    <xf numFmtId="0" fontId="21" fillId="2" borderId="4" xfId="0" applyFont="1" applyFill="1" applyBorder="1" applyAlignment="1" applyProtection="1">
      <alignment horizontal="center" vertical="center" wrapText="1"/>
      <protection hidden="1"/>
    </xf>
    <xf numFmtId="0" fontId="25" fillId="24" borderId="1" xfId="6" applyFont="1" applyBorder="1" applyAlignment="1" applyProtection="1">
      <alignment horizontal="center" vertical="center" wrapText="1"/>
      <protection locked="0" hidden="1"/>
    </xf>
    <xf numFmtId="1" fontId="21" fillId="15" borderId="14" xfId="0" applyNumberFormat="1" applyFont="1" applyFill="1" applyBorder="1" applyAlignment="1" applyProtection="1">
      <alignment vertical="center" wrapText="1"/>
      <protection hidden="1"/>
    </xf>
    <xf numFmtId="166" fontId="21" fillId="15" borderId="9" xfId="0" applyNumberFormat="1" applyFont="1" applyFill="1" applyBorder="1" applyAlignment="1" applyProtection="1">
      <alignment horizontal="center" vertical="center" wrapText="1"/>
      <protection hidden="1"/>
    </xf>
    <xf numFmtId="14" fontId="21" fillId="12" borderId="9" xfId="0" applyNumberFormat="1" applyFont="1" applyFill="1" applyBorder="1" applyAlignment="1" applyProtection="1">
      <alignment horizontal="center" vertical="center" wrapText="1"/>
      <protection hidden="1"/>
    </xf>
    <xf numFmtId="14" fontId="21" fillId="12" borderId="9" xfId="0" applyNumberFormat="1" applyFont="1" applyFill="1" applyBorder="1" applyAlignment="1" applyProtection="1">
      <alignment horizontal="center" vertical="center"/>
      <protection hidden="1"/>
    </xf>
    <xf numFmtId="1" fontId="21" fillId="15" borderId="9" xfId="0" applyNumberFormat="1" applyFont="1" applyFill="1" applyBorder="1" applyAlignment="1" applyProtection="1">
      <alignment horizontal="center" vertical="center" wrapText="1"/>
      <protection hidden="1"/>
    </xf>
    <xf numFmtId="0" fontId="25" fillId="24" borderId="70" xfId="6" applyFont="1" applyBorder="1" applyAlignment="1" applyProtection="1">
      <alignment horizontal="center" vertical="center" wrapText="1"/>
      <protection locked="0" hidden="1"/>
    </xf>
    <xf numFmtId="0" fontId="21" fillId="2" borderId="24" xfId="0" applyFont="1" applyFill="1" applyBorder="1" applyAlignment="1" applyProtection="1">
      <alignment horizontal="center" vertical="center" wrapText="1"/>
      <protection hidden="1"/>
    </xf>
    <xf numFmtId="0" fontId="21" fillId="2" borderId="48" xfId="0" applyFont="1" applyFill="1" applyBorder="1" applyAlignment="1" applyProtection="1">
      <alignment horizontal="center" vertical="center" wrapText="1"/>
      <protection locked="0" hidden="1"/>
    </xf>
    <xf numFmtId="0" fontId="25" fillId="24" borderId="69" xfId="6" applyFont="1" applyBorder="1" applyAlignment="1" applyProtection="1">
      <alignment horizontal="center" vertical="center" wrapText="1"/>
      <protection locked="0" hidden="1"/>
    </xf>
    <xf numFmtId="166" fontId="21" fillId="19" borderId="9" xfId="0" applyNumberFormat="1" applyFont="1" applyFill="1" applyBorder="1" applyAlignment="1" applyProtection="1">
      <alignment horizontal="center" vertical="center" wrapText="1"/>
      <protection hidden="1"/>
    </xf>
    <xf numFmtId="0" fontId="50" fillId="2" borderId="48" xfId="0" applyFont="1" applyFill="1" applyBorder="1" applyAlignment="1" applyProtection="1">
      <alignment horizontal="center" vertical="center" wrapText="1"/>
      <protection hidden="1"/>
    </xf>
    <xf numFmtId="0" fontId="25" fillId="24" borderId="49" xfId="6" applyFont="1" applyBorder="1" applyAlignment="1" applyProtection="1">
      <alignment horizontal="center" vertical="center" wrapText="1"/>
      <protection locked="0" hidden="1"/>
    </xf>
    <xf numFmtId="2" fontId="21" fillId="15" borderId="9" xfId="0" applyNumberFormat="1" applyFont="1" applyFill="1" applyBorder="1" applyAlignment="1" applyProtection="1">
      <alignment horizontal="center" vertical="center" wrapText="1"/>
      <protection hidden="1"/>
    </xf>
    <xf numFmtId="0" fontId="20" fillId="16" borderId="78" xfId="0" applyFont="1" applyFill="1" applyBorder="1" applyAlignment="1" applyProtection="1">
      <alignment horizontal="center" vertical="center" wrapText="1"/>
      <protection hidden="1"/>
    </xf>
    <xf numFmtId="1" fontId="21" fillId="15" borderId="14" xfId="0" applyNumberFormat="1" applyFont="1" applyFill="1" applyBorder="1" applyAlignment="1" applyProtection="1">
      <alignment horizontal="center" vertical="center" wrapText="1"/>
      <protection hidden="1"/>
    </xf>
    <xf numFmtId="14" fontId="21" fillId="12" borderId="11" xfId="0" applyNumberFormat="1" applyFont="1" applyFill="1" applyBorder="1" applyAlignment="1" applyProtection="1">
      <alignment horizontal="center" vertical="center" wrapText="1"/>
      <protection hidden="1"/>
    </xf>
    <xf numFmtId="0" fontId="21" fillId="7" borderId="19" xfId="0" applyFont="1" applyFill="1" applyBorder="1" applyAlignment="1" applyProtection="1">
      <alignment horizontal="center" vertical="center" wrapText="1"/>
      <protection hidden="1"/>
    </xf>
    <xf numFmtId="0" fontId="21" fillId="7" borderId="20" xfId="0" applyFont="1" applyFill="1" applyBorder="1" applyAlignment="1" applyProtection="1">
      <alignment horizontal="center" vertical="center" wrapText="1"/>
      <protection hidden="1"/>
    </xf>
    <xf numFmtId="0" fontId="25" fillId="24" borderId="8" xfId="6" applyFont="1" applyBorder="1" applyAlignment="1" applyProtection="1">
      <alignment horizontal="center" vertical="center" wrapText="1"/>
      <protection locked="0" hidden="1"/>
    </xf>
    <xf numFmtId="0" fontId="20" fillId="30" borderId="30" xfId="0" applyFont="1" applyFill="1" applyBorder="1" applyAlignment="1" applyProtection="1">
      <alignment horizontal="center" vertical="center" wrapText="1"/>
      <protection hidden="1"/>
    </xf>
    <xf numFmtId="0" fontId="20" fillId="30" borderId="36" xfId="0" applyFont="1" applyFill="1" applyBorder="1" applyAlignment="1" applyProtection="1">
      <alignment horizontal="center" vertical="center" wrapText="1"/>
      <protection hidden="1"/>
    </xf>
    <xf numFmtId="0" fontId="21" fillId="0" borderId="0" xfId="0" applyFont="1" applyBorder="1" applyAlignment="1" applyProtection="1">
      <alignment vertical="center" wrapText="1"/>
      <protection hidden="1"/>
    </xf>
    <xf numFmtId="0" fontId="20" fillId="30" borderId="42" xfId="0" applyFont="1" applyFill="1" applyBorder="1" applyAlignment="1" applyProtection="1">
      <alignment horizontal="center" vertical="center" wrapText="1"/>
      <protection hidden="1"/>
    </xf>
    <xf numFmtId="2" fontId="20" fillId="30" borderId="37" xfId="0" applyNumberFormat="1" applyFont="1" applyFill="1" applyBorder="1" applyAlignment="1" applyProtection="1">
      <alignment horizontal="center" vertical="center" wrapText="1"/>
      <protection hidden="1"/>
    </xf>
    <xf numFmtId="0" fontId="20" fillId="16" borderId="65" xfId="0" applyFont="1" applyFill="1" applyBorder="1" applyAlignment="1" applyProtection="1">
      <alignment horizontal="center" vertical="center" wrapText="1"/>
      <protection hidden="1"/>
    </xf>
    <xf numFmtId="165" fontId="21" fillId="15" borderId="9" xfId="0" applyNumberFormat="1" applyFont="1" applyFill="1" applyBorder="1" applyAlignment="1" applyProtection="1">
      <alignment horizontal="center" vertical="center" wrapText="1"/>
      <protection hidden="1"/>
    </xf>
    <xf numFmtId="168" fontId="21" fillId="15" borderId="9" xfId="0" applyNumberFormat="1" applyFont="1" applyFill="1" applyBorder="1" applyAlignment="1" applyProtection="1">
      <alignment horizontal="center" vertical="center" wrapText="1"/>
      <protection hidden="1"/>
    </xf>
    <xf numFmtId="0" fontId="21" fillId="12" borderId="9" xfId="0" applyFont="1" applyFill="1" applyBorder="1" applyAlignment="1" applyProtection="1">
      <alignment horizontal="center" vertical="center" wrapText="1"/>
      <protection hidden="1"/>
    </xf>
    <xf numFmtId="0" fontId="21" fillId="0" borderId="24" xfId="0" applyFont="1" applyFill="1" applyBorder="1" applyAlignment="1" applyProtection="1">
      <alignment horizontal="center" vertical="center" wrapText="1"/>
      <protection hidden="1"/>
    </xf>
    <xf numFmtId="0" fontId="21" fillId="0" borderId="48" xfId="0" applyFont="1" applyFill="1" applyBorder="1" applyAlignment="1" applyProtection="1">
      <alignment horizontal="center" vertical="center" wrapText="1"/>
      <protection hidden="1"/>
    </xf>
    <xf numFmtId="0" fontId="20" fillId="16" borderId="49" xfId="0" applyFont="1" applyFill="1" applyBorder="1" applyAlignment="1" applyProtection="1">
      <alignment horizontal="center" vertical="center" wrapText="1"/>
      <protection hidden="1"/>
    </xf>
    <xf numFmtId="1" fontId="21" fillId="15" borderId="56" xfId="0" applyNumberFormat="1" applyFont="1" applyFill="1" applyBorder="1" applyAlignment="1" applyProtection="1">
      <alignment horizontal="center" vertical="center" wrapText="1"/>
      <protection hidden="1"/>
    </xf>
    <xf numFmtId="1" fontId="21" fillId="15" borderId="43" xfId="0" applyNumberFormat="1" applyFont="1" applyFill="1" applyBorder="1" applyAlignment="1" applyProtection="1">
      <alignment horizontal="center" vertical="center" wrapText="1"/>
      <protection hidden="1"/>
    </xf>
    <xf numFmtId="14" fontId="21" fillId="12" borderId="43" xfId="0" applyNumberFormat="1" applyFont="1" applyFill="1" applyBorder="1" applyAlignment="1" applyProtection="1">
      <alignment horizontal="center" vertical="center" wrapText="1"/>
      <protection hidden="1"/>
    </xf>
    <xf numFmtId="2" fontId="21" fillId="15" borderId="43" xfId="0" applyNumberFormat="1" applyFont="1" applyFill="1" applyBorder="1" applyAlignment="1" applyProtection="1">
      <alignment horizontal="center" vertical="center" wrapText="1"/>
      <protection hidden="1"/>
    </xf>
    <xf numFmtId="165" fontId="21" fillId="15" borderId="43" xfId="0" applyNumberFormat="1" applyFont="1" applyFill="1" applyBorder="1" applyAlignment="1" applyProtection="1">
      <alignment horizontal="center" vertical="center" wrapText="1"/>
      <protection hidden="1"/>
    </xf>
    <xf numFmtId="166" fontId="21" fillId="15" borderId="43" xfId="0" applyNumberFormat="1" applyFont="1" applyFill="1" applyBorder="1" applyAlignment="1" applyProtection="1">
      <alignment horizontal="center" vertical="center" wrapText="1"/>
      <protection hidden="1"/>
    </xf>
    <xf numFmtId="170" fontId="21" fillId="19" borderId="43" xfId="0" applyNumberFormat="1" applyFont="1" applyFill="1" applyBorder="1" applyAlignment="1" applyProtection="1">
      <alignment horizontal="center" vertical="center" wrapText="1"/>
      <protection hidden="1"/>
    </xf>
    <xf numFmtId="0" fontId="21" fillId="19" borderId="43" xfId="0" applyFont="1" applyFill="1" applyBorder="1" applyAlignment="1" applyProtection="1">
      <alignment horizontal="center" vertical="center" wrapText="1"/>
      <protection hidden="1"/>
    </xf>
    <xf numFmtId="169" fontId="21" fillId="15" borderId="43" xfId="0" applyNumberFormat="1" applyFont="1" applyFill="1" applyBorder="1" applyAlignment="1" applyProtection="1">
      <alignment horizontal="center" vertical="center" wrapText="1"/>
      <protection hidden="1"/>
    </xf>
    <xf numFmtId="0" fontId="21" fillId="0" borderId="45" xfId="0" applyFont="1" applyFill="1" applyBorder="1" applyAlignment="1" applyProtection="1">
      <alignment horizontal="center" vertical="center" wrapText="1"/>
      <protection hidden="1"/>
    </xf>
    <xf numFmtId="0" fontId="21" fillId="0" borderId="38" xfId="0" applyFont="1" applyFill="1" applyBorder="1" applyAlignment="1" applyProtection="1">
      <alignment horizontal="center" vertical="center" wrapText="1"/>
      <protection hidden="1"/>
    </xf>
    <xf numFmtId="0" fontId="20" fillId="16" borderId="8" xfId="0" applyFont="1" applyFill="1" applyBorder="1" applyAlignment="1" applyProtection="1">
      <alignment horizontal="center" vertical="center" wrapText="1"/>
      <protection hidden="1"/>
    </xf>
    <xf numFmtId="2" fontId="21" fillId="7" borderId="9" xfId="0" applyNumberFormat="1" applyFont="1" applyFill="1" applyBorder="1" applyAlignment="1" applyProtection="1">
      <alignment horizontal="center" vertical="center" wrapText="1"/>
      <protection hidden="1"/>
    </xf>
    <xf numFmtId="2" fontId="21" fillId="7" borderId="34" xfId="0" applyNumberFormat="1" applyFont="1" applyFill="1" applyBorder="1" applyAlignment="1" applyProtection="1">
      <alignment horizontal="center" vertical="center" wrapText="1"/>
      <protection hidden="1"/>
    </xf>
    <xf numFmtId="0" fontId="62" fillId="2" borderId="0" xfId="0" applyFont="1" applyFill="1" applyBorder="1" applyAlignment="1" applyProtection="1">
      <alignment vertical="center" wrapText="1"/>
      <protection hidden="1"/>
    </xf>
    <xf numFmtId="2" fontId="21" fillId="7" borderId="32" xfId="0" applyNumberFormat="1" applyFont="1" applyFill="1" applyBorder="1" applyAlignment="1" applyProtection="1">
      <alignment horizontal="center" vertical="center" wrapText="1"/>
      <protection hidden="1"/>
    </xf>
    <xf numFmtId="0" fontId="21" fillId="12" borderId="14" xfId="0" applyFont="1" applyFill="1" applyBorder="1" applyAlignment="1" applyProtection="1">
      <alignment horizontal="center" vertical="center" wrapText="1"/>
      <protection hidden="1"/>
    </xf>
    <xf numFmtId="0" fontId="21" fillId="12" borderId="34" xfId="0" applyFont="1" applyFill="1" applyBorder="1" applyAlignment="1" applyProtection="1">
      <alignment horizontal="center" vertical="center" wrapText="1"/>
      <protection hidden="1"/>
    </xf>
    <xf numFmtId="164" fontId="21" fillId="7" borderId="32" xfId="0" applyNumberFormat="1" applyFont="1" applyFill="1" applyBorder="1" applyAlignment="1" applyProtection="1">
      <alignment horizontal="center" vertical="center" wrapText="1"/>
      <protection hidden="1"/>
    </xf>
    <xf numFmtId="2" fontId="21" fillId="7" borderId="43" xfId="0" applyNumberFormat="1" applyFont="1" applyFill="1" applyBorder="1" applyAlignment="1" applyProtection="1">
      <alignment horizontal="center" vertical="center" wrapText="1"/>
      <protection hidden="1"/>
    </xf>
    <xf numFmtId="2" fontId="21" fillId="0" borderId="0" xfId="0" applyNumberFormat="1" applyFont="1" applyAlignment="1" applyProtection="1">
      <alignment vertical="center" wrapText="1"/>
      <protection hidden="1"/>
    </xf>
    <xf numFmtId="14" fontId="21" fillId="0" borderId="0" xfId="0" applyNumberFormat="1" applyFont="1" applyAlignment="1" applyProtection="1">
      <alignment vertical="center" wrapText="1"/>
      <protection hidden="1"/>
    </xf>
    <xf numFmtId="182" fontId="21" fillId="12" borderId="56" xfId="0" applyNumberFormat="1" applyFont="1" applyFill="1" applyBorder="1" applyAlignment="1" applyProtection="1">
      <alignment horizontal="center" vertical="center" wrapText="1"/>
      <protection hidden="1"/>
    </xf>
    <xf numFmtId="0" fontId="21" fillId="12" borderId="43" xfId="0" applyFont="1" applyFill="1" applyBorder="1" applyAlignment="1" applyProtection="1">
      <alignment horizontal="center" vertical="center" wrapText="1"/>
      <protection hidden="1"/>
    </xf>
    <xf numFmtId="182" fontId="21" fillId="12" borderId="43" xfId="0" applyNumberFormat="1" applyFont="1" applyFill="1" applyBorder="1" applyAlignment="1" applyProtection="1">
      <alignment horizontal="center" vertical="center" wrapText="1"/>
      <protection hidden="1"/>
    </xf>
    <xf numFmtId="0" fontId="21" fillId="20" borderId="37" xfId="0" applyFont="1" applyFill="1" applyBorder="1" applyAlignment="1" applyProtection="1">
      <alignment horizontal="center" vertical="center" wrapText="1"/>
      <protection hidden="1"/>
    </xf>
    <xf numFmtId="0" fontId="20" fillId="5" borderId="1" xfId="0" applyFont="1" applyFill="1" applyBorder="1" applyAlignment="1" applyProtection="1">
      <alignment horizontal="center" vertical="center" wrapText="1"/>
      <protection hidden="1"/>
    </xf>
    <xf numFmtId="166" fontId="21" fillId="7" borderId="9" xfId="0" applyNumberFormat="1" applyFont="1" applyFill="1" applyBorder="1" applyAlignment="1" applyProtection="1">
      <alignment horizontal="center" vertical="center"/>
      <protection hidden="1"/>
    </xf>
    <xf numFmtId="1" fontId="21" fillId="6" borderId="9" xfId="0" applyNumberFormat="1" applyFont="1" applyFill="1" applyBorder="1" applyAlignment="1" applyProtection="1">
      <alignment horizontal="center" vertical="center"/>
      <protection locked="0" hidden="1"/>
    </xf>
    <xf numFmtId="1" fontId="21" fillId="6" borderId="9" xfId="0" applyNumberFormat="1" applyFont="1" applyFill="1" applyBorder="1" applyAlignment="1" applyProtection="1">
      <alignment horizontal="center" vertical="center" wrapText="1"/>
      <protection locked="0" hidden="1"/>
    </xf>
    <xf numFmtId="1" fontId="21" fillId="7" borderId="34" xfId="0" applyNumberFormat="1" applyFont="1" applyFill="1" applyBorder="1" applyAlignment="1" applyProtection="1">
      <alignment horizontal="center" vertical="center" wrapText="1"/>
      <protection hidden="1"/>
    </xf>
    <xf numFmtId="166" fontId="21" fillId="6" borderId="32" xfId="0" applyNumberFormat="1" applyFont="1" applyFill="1" applyBorder="1" applyAlignment="1" applyProtection="1">
      <alignment horizontal="center" vertical="center"/>
      <protection locked="0" hidden="1"/>
    </xf>
    <xf numFmtId="0" fontId="21" fillId="6" borderId="9" xfId="0" applyFont="1" applyFill="1" applyBorder="1" applyAlignment="1" applyProtection="1">
      <alignment horizontal="center" vertical="center"/>
      <protection locked="0" hidden="1"/>
    </xf>
    <xf numFmtId="0" fontId="21" fillId="6" borderId="34" xfId="0" applyFont="1" applyFill="1" applyBorder="1" applyAlignment="1" applyProtection="1">
      <alignment horizontal="center" vertical="center" wrapText="1"/>
      <protection locked="0" hidden="1"/>
    </xf>
    <xf numFmtId="0" fontId="21" fillId="2" borderId="46" xfId="0" applyFont="1" applyFill="1" applyBorder="1" applyAlignment="1" applyProtection="1">
      <alignment vertical="center" wrapText="1"/>
      <protection hidden="1"/>
    </xf>
    <xf numFmtId="0" fontId="21" fillId="2" borderId="5" xfId="0" applyFont="1" applyFill="1" applyBorder="1" applyAlignment="1" applyProtection="1">
      <alignment vertical="center" wrapText="1"/>
      <protection hidden="1"/>
    </xf>
    <xf numFmtId="166" fontId="21" fillId="0" borderId="0" xfId="0" applyNumberFormat="1" applyFont="1" applyAlignment="1" applyProtection="1">
      <alignment horizontal="center" vertical="center" wrapText="1"/>
      <protection hidden="1"/>
    </xf>
    <xf numFmtId="0" fontId="21" fillId="5" borderId="30" xfId="0" applyFont="1" applyFill="1" applyBorder="1" applyAlignment="1" applyProtection="1">
      <alignment horizontal="center" vertical="center" wrapText="1"/>
      <protection hidden="1"/>
    </xf>
    <xf numFmtId="175" fontId="21" fillId="12" borderId="9" xfId="0" applyNumberFormat="1" applyFont="1" applyFill="1" applyBorder="1" applyAlignment="1" applyProtection="1">
      <alignment horizontal="center" vertical="center" wrapText="1"/>
      <protection hidden="1"/>
    </xf>
    <xf numFmtId="11" fontId="21" fillId="12" borderId="9" xfId="0" applyNumberFormat="1" applyFont="1" applyFill="1" applyBorder="1" applyAlignment="1" applyProtection="1">
      <alignment horizontal="center" vertical="center" wrapText="1"/>
      <protection hidden="1"/>
    </xf>
    <xf numFmtId="11" fontId="21" fillId="5" borderId="45" xfId="0" applyNumberFormat="1" applyFont="1" applyFill="1" applyBorder="1" applyAlignment="1" applyProtection="1">
      <alignment horizontal="center" vertical="center" wrapText="1"/>
      <protection hidden="1"/>
    </xf>
    <xf numFmtId="0" fontId="21" fillId="5" borderId="60" xfId="0" applyFont="1" applyFill="1" applyBorder="1" applyAlignment="1" applyProtection="1">
      <alignment horizontal="center" vertical="center" wrapText="1"/>
      <protection hidden="1"/>
    </xf>
    <xf numFmtId="2" fontId="21" fillId="12" borderId="37" xfId="0" applyNumberFormat="1" applyFont="1" applyFill="1" applyBorder="1" applyAlignment="1" applyProtection="1">
      <alignment horizontal="center" vertical="center" wrapText="1"/>
      <protection hidden="1"/>
    </xf>
    <xf numFmtId="0" fontId="27" fillId="2" borderId="0" xfId="0" applyFont="1" applyFill="1" applyBorder="1" applyAlignment="1" applyProtection="1">
      <alignment horizontal="center" vertical="center" wrapText="1"/>
      <protection hidden="1"/>
    </xf>
    <xf numFmtId="0" fontId="50" fillId="2" borderId="0" xfId="0" applyFont="1" applyFill="1" applyBorder="1" applyAlignment="1" applyProtection="1">
      <alignment horizontal="center" vertical="center" wrapText="1"/>
      <protection hidden="1"/>
    </xf>
    <xf numFmtId="0" fontId="21" fillId="2" borderId="51" xfId="0" applyFont="1" applyFill="1" applyBorder="1" applyAlignment="1" applyProtection="1">
      <alignment vertical="center" wrapText="1"/>
      <protection hidden="1"/>
    </xf>
    <xf numFmtId="0" fontId="21" fillId="2" borderId="13" xfId="0" applyFont="1" applyFill="1" applyBorder="1" applyAlignment="1" applyProtection="1">
      <alignment vertical="center" wrapText="1"/>
      <protection hidden="1"/>
    </xf>
    <xf numFmtId="0" fontId="21" fillId="5" borderId="23" xfId="0" applyFont="1" applyFill="1" applyBorder="1" applyAlignment="1" applyProtection="1">
      <alignment horizontal="left" vertical="center" wrapText="1"/>
      <protection hidden="1"/>
    </xf>
    <xf numFmtId="0" fontId="21" fillId="5" borderId="23" xfId="0" applyFont="1" applyFill="1" applyBorder="1" applyAlignment="1" applyProtection="1">
      <alignment vertical="center" wrapText="1"/>
      <protection hidden="1"/>
    </xf>
    <xf numFmtId="0" fontId="50" fillId="5" borderId="30" xfId="0" applyFont="1" applyFill="1" applyBorder="1" applyAlignment="1" applyProtection="1">
      <alignment horizontal="center" vertical="center" wrapText="1"/>
      <protection hidden="1"/>
    </xf>
    <xf numFmtId="2" fontId="21" fillId="7" borderId="18" xfId="0" applyNumberFormat="1" applyFont="1" applyFill="1" applyBorder="1" applyAlignment="1" applyProtection="1">
      <alignment horizontal="center" vertical="center" wrapText="1"/>
      <protection hidden="1"/>
    </xf>
    <xf numFmtId="0" fontId="50" fillId="7" borderId="36" xfId="0" applyFont="1" applyFill="1" applyBorder="1" applyAlignment="1" applyProtection="1">
      <alignment horizontal="center" vertical="center" wrapText="1"/>
      <protection hidden="1"/>
    </xf>
    <xf numFmtId="0" fontId="21" fillId="2" borderId="23" xfId="0" applyFont="1" applyFill="1" applyBorder="1" applyAlignment="1" applyProtection="1">
      <alignment horizontal="left" vertical="center" wrapText="1"/>
      <protection hidden="1"/>
    </xf>
    <xf numFmtId="0" fontId="21" fillId="2" borderId="23" xfId="0" applyFont="1" applyFill="1" applyBorder="1" applyAlignment="1" applyProtection="1">
      <alignment vertical="center" wrapText="1"/>
      <protection hidden="1"/>
    </xf>
    <xf numFmtId="0" fontId="21" fillId="2" borderId="32" xfId="0" applyFont="1" applyFill="1" applyBorder="1" applyAlignment="1" applyProtection="1">
      <alignment vertical="center" wrapText="1"/>
      <protection hidden="1"/>
    </xf>
    <xf numFmtId="0" fontId="21" fillId="2" borderId="9" xfId="0" applyFont="1" applyFill="1" applyBorder="1" applyAlignment="1" applyProtection="1">
      <alignment vertical="center" wrapText="1"/>
      <protection hidden="1"/>
    </xf>
    <xf numFmtId="0" fontId="21" fillId="2" borderId="34" xfId="0" applyFont="1" applyFill="1" applyBorder="1" applyAlignment="1" applyProtection="1">
      <alignment vertical="center" wrapText="1"/>
      <protection hidden="1"/>
    </xf>
    <xf numFmtId="0" fontId="50" fillId="5" borderId="32" xfId="0" applyFont="1" applyFill="1" applyBorder="1" applyAlignment="1" applyProtection="1">
      <alignment horizontal="center" vertical="center" wrapText="1"/>
      <protection hidden="1"/>
    </xf>
    <xf numFmtId="0" fontId="50" fillId="7" borderId="34" xfId="0" applyFont="1" applyFill="1" applyBorder="1" applyAlignment="1" applyProtection="1">
      <alignment horizontal="center" vertical="center" wrapText="1"/>
      <protection hidden="1"/>
    </xf>
    <xf numFmtId="0" fontId="50" fillId="7" borderId="9" xfId="0" applyFont="1" applyFill="1" applyBorder="1" applyAlignment="1" applyProtection="1">
      <alignment horizontal="center" vertical="center" wrapText="1"/>
      <protection hidden="1"/>
    </xf>
    <xf numFmtId="166" fontId="21" fillId="7" borderId="34" xfId="0" applyNumberFormat="1" applyFont="1" applyFill="1" applyBorder="1" applyAlignment="1" applyProtection="1">
      <alignment horizontal="center" vertical="center" wrapText="1"/>
      <protection hidden="1"/>
    </xf>
    <xf numFmtId="0" fontId="21" fillId="5" borderId="32" xfId="0" applyFont="1" applyFill="1" applyBorder="1" applyAlignment="1" applyProtection="1">
      <alignment vertical="center" wrapText="1"/>
      <protection hidden="1"/>
    </xf>
    <xf numFmtId="0" fontId="21" fillId="7" borderId="34" xfId="0" applyFont="1" applyFill="1" applyBorder="1" applyAlignment="1" applyProtection="1">
      <alignment horizontal="center" vertical="center" wrapText="1"/>
      <protection hidden="1"/>
    </xf>
    <xf numFmtId="0" fontId="50" fillId="5" borderId="23" xfId="0" applyFont="1" applyFill="1" applyBorder="1" applyAlignment="1" applyProtection="1">
      <alignment vertical="center" wrapText="1"/>
      <protection hidden="1"/>
    </xf>
    <xf numFmtId="0" fontId="50" fillId="2" borderId="32" xfId="0" applyFont="1" applyFill="1" applyBorder="1" applyAlignment="1" applyProtection="1">
      <alignment horizontal="center" vertical="center" wrapText="1"/>
      <protection hidden="1"/>
    </xf>
    <xf numFmtId="0" fontId="50" fillId="5" borderId="23" xfId="0" applyFont="1" applyFill="1" applyBorder="1" applyAlignment="1" applyProtection="1">
      <alignment horizontal="left" vertical="center" wrapText="1"/>
      <protection hidden="1"/>
    </xf>
    <xf numFmtId="1" fontId="21" fillId="7" borderId="1" xfId="0" applyNumberFormat="1" applyFont="1" applyFill="1" applyBorder="1" applyAlignment="1" applyProtection="1">
      <alignment horizontal="center" vertical="center" wrapText="1"/>
      <protection hidden="1"/>
    </xf>
    <xf numFmtId="11" fontId="21" fillId="7" borderId="9" xfId="0" applyNumberFormat="1" applyFont="1" applyFill="1" applyBorder="1" applyAlignment="1" applyProtection="1">
      <alignment horizontal="center" vertical="center" wrapText="1"/>
      <protection hidden="1"/>
    </xf>
    <xf numFmtId="11" fontId="21" fillId="7" borderId="34" xfId="0" applyNumberFormat="1" applyFont="1" applyFill="1" applyBorder="1" applyAlignment="1" applyProtection="1">
      <alignment horizontal="center" vertical="center" wrapText="1"/>
      <protection hidden="1"/>
    </xf>
    <xf numFmtId="0" fontId="50" fillId="5" borderId="42" xfId="0" applyFont="1" applyFill="1" applyBorder="1" applyAlignment="1" applyProtection="1">
      <alignment horizontal="center" vertical="center" wrapText="1"/>
      <protection hidden="1"/>
    </xf>
    <xf numFmtId="0" fontId="50" fillId="7" borderId="43" xfId="0" applyFont="1" applyFill="1" applyBorder="1" applyAlignment="1" applyProtection="1">
      <alignment horizontal="center" vertical="center" wrapText="1"/>
      <protection hidden="1"/>
    </xf>
    <xf numFmtId="167" fontId="21" fillId="7" borderId="37" xfId="0" applyNumberFormat="1" applyFont="1" applyFill="1" applyBorder="1" applyAlignment="1" applyProtection="1">
      <alignment horizontal="center" vertical="center" wrapText="1"/>
      <protection hidden="1"/>
    </xf>
    <xf numFmtId="168" fontId="21" fillId="2" borderId="38" xfId="0" applyNumberFormat="1" applyFont="1" applyFill="1" applyBorder="1" applyAlignment="1" applyProtection="1">
      <alignment horizontal="center" vertical="center"/>
      <protection hidden="1"/>
    </xf>
    <xf numFmtId="0" fontId="50" fillId="2" borderId="0" xfId="0" applyFont="1" applyFill="1" applyBorder="1" applyAlignment="1" applyProtection="1">
      <alignment vertical="center" wrapText="1"/>
      <protection hidden="1"/>
    </xf>
    <xf numFmtId="0" fontId="20" fillId="0" borderId="0" xfId="0" applyFont="1" applyFill="1" applyBorder="1" applyAlignment="1" applyProtection="1">
      <alignment vertical="center" wrapText="1"/>
      <protection hidden="1"/>
    </xf>
    <xf numFmtId="0" fontId="21" fillId="9" borderId="0" xfId="0" applyFont="1" applyFill="1" applyAlignment="1" applyProtection="1">
      <alignment vertical="center" wrapText="1"/>
      <protection hidden="1"/>
    </xf>
    <xf numFmtId="0" fontId="20" fillId="2" borderId="0" xfId="0" applyFont="1" applyFill="1" applyBorder="1" applyAlignment="1" applyProtection="1">
      <alignment horizontal="right" vertical="center" wrapText="1"/>
      <protection hidden="1"/>
    </xf>
    <xf numFmtId="0" fontId="20" fillId="2" borderId="51" xfId="0" applyFont="1" applyFill="1" applyBorder="1" applyAlignment="1" applyProtection="1">
      <alignment horizontal="center" vertical="center" wrapText="1"/>
      <protection hidden="1"/>
    </xf>
    <xf numFmtId="0" fontId="20" fillId="2" borderId="13" xfId="0" applyFont="1" applyFill="1" applyBorder="1" applyAlignment="1" applyProtection="1">
      <alignment horizontal="center" vertical="center" wrapText="1"/>
      <protection hidden="1"/>
    </xf>
    <xf numFmtId="0" fontId="20" fillId="2" borderId="1" xfId="0" applyFont="1" applyFill="1" applyBorder="1" applyAlignment="1" applyProtection="1">
      <alignment horizontal="center" vertical="center" wrapText="1"/>
      <protection hidden="1"/>
    </xf>
    <xf numFmtId="0" fontId="49" fillId="5" borderId="21" xfId="0" applyFont="1" applyFill="1" applyBorder="1" applyAlignment="1" applyProtection="1">
      <alignment horizontal="center" vertical="center" wrapText="1"/>
      <protection hidden="1"/>
    </xf>
    <xf numFmtId="0" fontId="49" fillId="5" borderId="22" xfId="0" applyFont="1" applyFill="1" applyBorder="1" applyAlignment="1" applyProtection="1">
      <alignment horizontal="center" vertical="center" wrapText="1"/>
      <protection hidden="1"/>
    </xf>
    <xf numFmtId="0" fontId="49" fillId="5" borderId="20" xfId="0" applyFont="1" applyFill="1" applyBorder="1" applyAlignment="1" applyProtection="1">
      <alignment horizontal="center" vertical="center" wrapText="1"/>
      <protection hidden="1"/>
    </xf>
    <xf numFmtId="2" fontId="21" fillId="2" borderId="0" xfId="0" applyNumberFormat="1" applyFont="1" applyFill="1" applyAlignment="1" applyProtection="1">
      <alignment horizontal="center" vertical="center" wrapText="1"/>
      <protection hidden="1"/>
    </xf>
    <xf numFmtId="167" fontId="21" fillId="2" borderId="0" xfId="0" applyNumberFormat="1" applyFont="1" applyFill="1" applyAlignment="1" applyProtection="1">
      <alignment vertical="center" wrapText="1"/>
      <protection hidden="1"/>
    </xf>
    <xf numFmtId="0" fontId="50" fillId="0" borderId="0" xfId="0" applyFont="1" applyAlignment="1" applyProtection="1">
      <alignment horizontal="center" vertical="center" wrapText="1"/>
      <protection hidden="1"/>
    </xf>
    <xf numFmtId="165" fontId="21" fillId="7" borderId="9" xfId="0" applyNumberFormat="1" applyFont="1" applyFill="1" applyBorder="1" applyAlignment="1" applyProtection="1">
      <alignment horizontal="center" vertical="center" wrapText="1"/>
      <protection hidden="1"/>
    </xf>
    <xf numFmtId="0" fontId="27" fillId="2" borderId="0" xfId="0" applyFont="1" applyFill="1" applyBorder="1" applyAlignment="1" applyProtection="1">
      <alignment vertical="center" wrapText="1"/>
      <protection hidden="1"/>
    </xf>
    <xf numFmtId="165" fontId="21" fillId="0" borderId="0" xfId="0" applyNumberFormat="1" applyFont="1" applyAlignment="1" applyProtection="1">
      <alignment horizontal="center" vertical="center" wrapText="1"/>
      <protection hidden="1"/>
    </xf>
    <xf numFmtId="165" fontId="21" fillId="0" borderId="0" xfId="0" applyNumberFormat="1" applyFont="1" applyAlignment="1" applyProtection="1">
      <alignment vertical="center" wrapText="1"/>
      <protection hidden="1"/>
    </xf>
    <xf numFmtId="166" fontId="21" fillId="7" borderId="1" xfId="0" applyNumberFormat="1" applyFont="1" applyFill="1" applyBorder="1" applyAlignment="1" applyProtection="1">
      <alignment horizontal="center" vertical="center" wrapText="1"/>
      <protection hidden="1"/>
    </xf>
    <xf numFmtId="166" fontId="21" fillId="0" borderId="0" xfId="0" applyNumberFormat="1" applyFont="1" applyBorder="1" applyAlignment="1" applyProtection="1">
      <alignment vertical="center" wrapText="1"/>
      <protection hidden="1"/>
    </xf>
    <xf numFmtId="170" fontId="21" fillId="7" borderId="34" xfId="0" applyNumberFormat="1" applyFont="1" applyFill="1" applyBorder="1" applyAlignment="1" applyProtection="1">
      <alignment horizontal="center" vertical="center" wrapText="1"/>
      <protection hidden="1"/>
    </xf>
    <xf numFmtId="0" fontId="20" fillId="5" borderId="52" xfId="0" applyFont="1" applyFill="1" applyBorder="1" applyAlignment="1" applyProtection="1">
      <alignment horizontal="center" vertical="center" wrapText="1"/>
      <protection hidden="1"/>
    </xf>
    <xf numFmtId="170" fontId="21" fillId="12" borderId="9" xfId="0" applyNumberFormat="1" applyFont="1" applyFill="1" applyBorder="1" applyAlignment="1" applyProtection="1">
      <alignment horizontal="center" vertical="center" wrapText="1"/>
      <protection hidden="1"/>
    </xf>
    <xf numFmtId="0" fontId="20" fillId="18" borderId="19" xfId="0" applyFont="1" applyFill="1" applyBorder="1" applyAlignment="1" applyProtection="1">
      <alignment horizontal="center" vertical="center" wrapText="1"/>
      <protection hidden="1"/>
    </xf>
    <xf numFmtId="0" fontId="20" fillId="5" borderId="19" xfId="0" applyFont="1" applyFill="1" applyBorder="1" applyAlignment="1" applyProtection="1">
      <alignment horizontal="center" vertical="center" wrapText="1"/>
      <protection hidden="1"/>
    </xf>
    <xf numFmtId="0" fontId="20" fillId="5" borderId="32" xfId="0" applyFont="1" applyFill="1" applyBorder="1" applyAlignment="1" applyProtection="1">
      <alignment horizontal="center" vertical="center" wrapText="1"/>
      <protection hidden="1"/>
    </xf>
    <xf numFmtId="0" fontId="20" fillId="5" borderId="21" xfId="0" applyFont="1" applyFill="1" applyBorder="1" applyAlignment="1" applyProtection="1">
      <alignment horizontal="center" vertical="center" wrapText="1"/>
      <protection hidden="1"/>
    </xf>
    <xf numFmtId="0" fontId="19" fillId="0" borderId="0" xfId="0" applyFont="1" applyBorder="1" applyProtection="1">
      <protection hidden="1"/>
    </xf>
    <xf numFmtId="0" fontId="19" fillId="0" borderId="6" xfId="0" applyFont="1" applyBorder="1" applyProtection="1">
      <protection hidden="1"/>
    </xf>
    <xf numFmtId="0" fontId="19" fillId="0" borderId="8" xfId="0" applyFont="1" applyBorder="1" applyProtection="1">
      <protection hidden="1"/>
    </xf>
    <xf numFmtId="0" fontId="20" fillId="0" borderId="0" xfId="0" applyFont="1" applyBorder="1" applyAlignment="1" applyProtection="1">
      <alignment vertical="center"/>
      <protection hidden="1"/>
    </xf>
    <xf numFmtId="0" fontId="19" fillId="0" borderId="0" xfId="0" applyFont="1" applyProtection="1">
      <protection hidden="1"/>
    </xf>
    <xf numFmtId="169" fontId="20" fillId="0" borderId="0" xfId="0" applyNumberFormat="1" applyFont="1" applyBorder="1" applyAlignment="1" applyProtection="1">
      <alignment vertical="center"/>
      <protection hidden="1"/>
    </xf>
    <xf numFmtId="169" fontId="19" fillId="0" borderId="0" xfId="0" applyNumberFormat="1" applyFont="1" applyProtection="1">
      <protection hidden="1"/>
    </xf>
    <xf numFmtId="0" fontId="19" fillId="0" borderId="0" xfId="0" applyFont="1" applyAlignment="1" applyProtection="1">
      <alignment horizontal="center" vertical="center"/>
      <protection hidden="1"/>
    </xf>
    <xf numFmtId="0" fontId="19" fillId="0" borderId="0" xfId="0" applyFont="1" applyFill="1" applyBorder="1" applyAlignment="1" applyProtection="1">
      <alignment vertical="center"/>
      <protection hidden="1"/>
    </xf>
    <xf numFmtId="0" fontId="19" fillId="0" borderId="0" xfId="0" applyFont="1" applyFill="1" applyBorder="1" applyAlignment="1" applyProtection="1">
      <protection hidden="1"/>
    </xf>
    <xf numFmtId="2" fontId="20" fillId="21" borderId="2" xfId="1" applyNumberFormat="1" applyFont="1" applyFill="1" applyBorder="1" applyAlignment="1" applyProtection="1">
      <alignment horizontal="center" vertical="center" wrapText="1"/>
      <protection hidden="1"/>
    </xf>
    <xf numFmtId="2" fontId="20" fillId="21" borderId="71" xfId="1" applyNumberFormat="1" applyFont="1" applyFill="1" applyBorder="1" applyAlignment="1" applyProtection="1">
      <alignment horizontal="center" vertical="center" wrapText="1"/>
      <protection hidden="1"/>
    </xf>
    <xf numFmtId="2" fontId="20" fillId="21" borderId="66" xfId="1" applyNumberFormat="1" applyFont="1" applyFill="1" applyBorder="1" applyAlignment="1" applyProtection="1">
      <alignment horizontal="center" vertical="center" wrapText="1"/>
      <protection hidden="1"/>
    </xf>
    <xf numFmtId="2" fontId="20" fillId="16" borderId="66" xfId="1" applyNumberFormat="1" applyFont="1" applyFill="1" applyBorder="1" applyAlignment="1" applyProtection="1">
      <alignment horizontal="center" vertical="center" wrapText="1"/>
      <protection hidden="1"/>
    </xf>
    <xf numFmtId="2" fontId="20" fillId="16" borderId="72" xfId="1" applyNumberFormat="1" applyFont="1" applyFill="1" applyBorder="1" applyAlignment="1" applyProtection="1">
      <alignment horizontal="center" vertical="center" wrapText="1"/>
      <protection hidden="1"/>
    </xf>
    <xf numFmtId="0" fontId="25" fillId="0" borderId="0" xfId="0" applyFont="1" applyProtection="1">
      <protection hidden="1"/>
    </xf>
    <xf numFmtId="0" fontId="19" fillId="2" borderId="39" xfId="0" applyFont="1" applyFill="1" applyBorder="1" applyAlignment="1" applyProtection="1">
      <alignment horizontal="center"/>
      <protection hidden="1"/>
    </xf>
    <xf numFmtId="0" fontId="19" fillId="2" borderId="40" xfId="0" applyFont="1" applyFill="1" applyBorder="1" applyAlignment="1" applyProtection="1">
      <alignment horizontal="center"/>
      <protection hidden="1"/>
    </xf>
    <xf numFmtId="0" fontId="19" fillId="0" borderId="40" xfId="0" applyFont="1" applyBorder="1" applyProtection="1">
      <protection hidden="1"/>
    </xf>
    <xf numFmtId="0" fontId="19" fillId="2" borderId="40" xfId="0" applyFont="1" applyFill="1" applyBorder="1" applyProtection="1">
      <protection hidden="1"/>
    </xf>
    <xf numFmtId="0" fontId="19" fillId="0" borderId="41" xfId="0" applyFont="1" applyBorder="1" applyProtection="1">
      <protection hidden="1"/>
    </xf>
    <xf numFmtId="0" fontId="19" fillId="0" borderId="0" xfId="0" applyFont="1" applyFill="1" applyBorder="1" applyProtection="1">
      <protection hidden="1"/>
    </xf>
    <xf numFmtId="0" fontId="19" fillId="0" borderId="0" xfId="0" applyFont="1" applyFill="1" applyProtection="1">
      <protection hidden="1"/>
    </xf>
    <xf numFmtId="0" fontId="19" fillId="7" borderId="32" xfId="0" applyFont="1" applyFill="1" applyBorder="1" applyAlignment="1" applyProtection="1">
      <alignment horizontal="center" vertical="center"/>
      <protection hidden="1"/>
    </xf>
    <xf numFmtId="0" fontId="19" fillId="7" borderId="9" xfId="0" applyFont="1" applyFill="1" applyBorder="1" applyAlignment="1" applyProtection="1">
      <alignment horizontal="center" vertical="center"/>
      <protection hidden="1"/>
    </xf>
    <xf numFmtId="0" fontId="19" fillId="7" borderId="9" xfId="0" applyFont="1" applyFill="1" applyBorder="1" applyAlignment="1" applyProtection="1">
      <alignment horizontal="center" vertical="center" wrapText="1"/>
      <protection hidden="1"/>
    </xf>
    <xf numFmtId="0" fontId="20" fillId="18" borderId="1" xfId="0" applyFont="1" applyFill="1" applyBorder="1" applyAlignment="1" applyProtection="1">
      <alignment horizontal="center" vertical="center"/>
      <protection hidden="1"/>
    </xf>
    <xf numFmtId="0" fontId="19" fillId="2" borderId="42" xfId="0" applyFont="1" applyFill="1" applyBorder="1" applyAlignment="1" applyProtection="1">
      <alignment horizontal="center"/>
      <protection hidden="1"/>
    </xf>
    <xf numFmtId="0" fontId="19" fillId="2" borderId="43" xfId="0" applyFont="1" applyFill="1" applyBorder="1" applyAlignment="1" applyProtection="1">
      <alignment horizontal="center"/>
      <protection hidden="1"/>
    </xf>
    <xf numFmtId="169" fontId="19" fillId="2" borderId="43" xfId="0" applyNumberFormat="1" applyFont="1" applyFill="1" applyBorder="1" applyAlignment="1" applyProtection="1">
      <alignment horizontal="center"/>
      <protection hidden="1"/>
    </xf>
    <xf numFmtId="0" fontId="19" fillId="0" borderId="43" xfId="0" applyFont="1" applyFill="1" applyBorder="1" applyProtection="1">
      <protection hidden="1"/>
    </xf>
    <xf numFmtId="0" fontId="19" fillId="0" borderId="37" xfId="0" applyFont="1" applyBorder="1" applyProtection="1">
      <protection hidden="1"/>
    </xf>
    <xf numFmtId="0" fontId="19" fillId="0" borderId="39" xfId="0" applyFont="1" applyFill="1" applyBorder="1" applyAlignment="1" applyProtection="1">
      <alignment horizontal="center" vertical="center"/>
      <protection hidden="1"/>
    </xf>
    <xf numFmtId="0" fontId="19" fillId="0" borderId="0" xfId="0" applyFont="1" applyFill="1" applyBorder="1" applyAlignment="1" applyProtection="1">
      <alignment horizontal="center"/>
      <protection hidden="1"/>
    </xf>
    <xf numFmtId="0" fontId="19" fillId="0" borderId="0" xfId="0" applyFont="1" applyBorder="1" applyAlignment="1" applyProtection="1">
      <alignment horizontal="center"/>
      <protection hidden="1"/>
    </xf>
    <xf numFmtId="169" fontId="19" fillId="0" borderId="0" xfId="0" applyNumberFormat="1" applyFont="1" applyFill="1" applyBorder="1" applyAlignment="1" applyProtection="1">
      <alignment horizontal="center"/>
      <protection hidden="1"/>
    </xf>
    <xf numFmtId="0" fontId="19" fillId="7" borderId="35" xfId="0" applyFont="1" applyFill="1" applyBorder="1" applyAlignment="1" applyProtection="1">
      <alignment horizontal="center" vertical="center"/>
      <protection hidden="1"/>
    </xf>
    <xf numFmtId="0" fontId="19" fillId="7" borderId="11" xfId="0" applyFont="1" applyFill="1" applyBorder="1" applyAlignment="1" applyProtection="1">
      <alignment vertical="center"/>
      <protection hidden="1"/>
    </xf>
    <xf numFmtId="0" fontId="19" fillId="7" borderId="9" xfId="0" applyFont="1" applyFill="1" applyBorder="1" applyAlignment="1" applyProtection="1">
      <alignment vertical="center"/>
      <protection hidden="1"/>
    </xf>
    <xf numFmtId="0" fontId="19" fillId="7" borderId="34" xfId="0" applyFont="1" applyFill="1" applyBorder="1" applyAlignment="1" applyProtection="1">
      <alignment vertical="center" wrapText="1"/>
      <protection hidden="1"/>
    </xf>
    <xf numFmtId="2" fontId="19" fillId="7" borderId="9" xfId="0" applyNumberFormat="1" applyFont="1" applyFill="1" applyBorder="1" applyAlignment="1" applyProtection="1">
      <alignment vertical="center"/>
      <protection hidden="1"/>
    </xf>
    <xf numFmtId="0" fontId="19" fillId="7" borderId="42" xfId="0" applyFont="1" applyFill="1" applyBorder="1" applyAlignment="1" applyProtection="1">
      <alignment horizontal="center" vertical="center"/>
      <protection hidden="1"/>
    </xf>
    <xf numFmtId="2" fontId="19" fillId="7" borderId="43" xfId="0" applyNumberFormat="1" applyFont="1" applyFill="1" applyBorder="1" applyAlignment="1" applyProtection="1">
      <alignment vertical="center"/>
      <protection hidden="1"/>
    </xf>
    <xf numFmtId="0" fontId="19" fillId="7" borderId="43" xfId="0" applyFont="1" applyFill="1" applyBorder="1" applyAlignment="1" applyProtection="1">
      <alignment vertical="center"/>
      <protection hidden="1"/>
    </xf>
    <xf numFmtId="0" fontId="19" fillId="7" borderId="54" xfId="0" applyFont="1" applyFill="1" applyBorder="1" applyAlignment="1" applyProtection="1">
      <alignment vertical="center"/>
      <protection hidden="1"/>
    </xf>
    <xf numFmtId="0" fontId="19" fillId="7" borderId="37" xfId="0" applyFont="1" applyFill="1" applyBorder="1" applyAlignment="1" applyProtection="1">
      <alignment vertical="center" wrapText="1"/>
      <protection hidden="1"/>
    </xf>
    <xf numFmtId="2" fontId="20" fillId="16" borderId="1" xfId="1" applyNumberFormat="1" applyFont="1" applyFill="1" applyBorder="1" applyAlignment="1" applyProtection="1">
      <alignment horizontal="center" vertical="center" wrapText="1"/>
      <protection hidden="1"/>
    </xf>
    <xf numFmtId="2" fontId="20" fillId="16" borderId="20" xfId="1" applyNumberFormat="1" applyFont="1" applyFill="1" applyBorder="1" applyAlignment="1" applyProtection="1">
      <alignment horizontal="center" vertical="center" wrapText="1"/>
      <protection hidden="1"/>
    </xf>
    <xf numFmtId="2" fontId="20" fillId="21" borderId="20" xfId="1" applyNumberFormat="1"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9" fillId="2" borderId="41" xfId="0" applyFont="1" applyFill="1" applyBorder="1" applyAlignment="1" applyProtection="1">
      <alignment horizontal="center" vertical="center" wrapText="1"/>
      <protection hidden="1"/>
    </xf>
    <xf numFmtId="0" fontId="19" fillId="0" borderId="0" xfId="0" applyFont="1" applyFill="1" applyBorder="1" applyAlignment="1" applyProtection="1">
      <alignment horizontal="center" vertical="center"/>
      <protection hidden="1"/>
    </xf>
    <xf numFmtId="1" fontId="19" fillId="7" borderId="9" xfId="0" applyNumberFormat="1" applyFont="1" applyFill="1" applyBorder="1" applyAlignment="1" applyProtection="1">
      <alignment horizontal="center" vertical="center" wrapText="1"/>
      <protection hidden="1"/>
    </xf>
    <xf numFmtId="170" fontId="19" fillId="7" borderId="9" xfId="0" applyNumberFormat="1" applyFont="1" applyFill="1" applyBorder="1" applyAlignment="1" applyProtection="1">
      <alignment horizontal="center" vertical="center" wrapText="1"/>
      <protection hidden="1"/>
    </xf>
    <xf numFmtId="2" fontId="19" fillId="7" borderId="12" xfId="0" applyNumberFormat="1" applyFont="1" applyFill="1" applyBorder="1" applyAlignment="1" applyProtection="1">
      <alignment horizontal="center" vertical="center" wrapText="1"/>
      <protection hidden="1"/>
    </xf>
    <xf numFmtId="166" fontId="19" fillId="7" borderId="9" xfId="0" applyNumberFormat="1" applyFont="1" applyFill="1" applyBorder="1" applyAlignment="1" applyProtection="1">
      <alignment horizontal="center" vertical="center" wrapText="1"/>
      <protection hidden="1"/>
    </xf>
    <xf numFmtId="0" fontId="19" fillId="7" borderId="34" xfId="0" applyFont="1" applyFill="1" applyBorder="1" applyAlignment="1" applyProtection="1">
      <alignment horizontal="center" vertical="center"/>
      <protection hidden="1"/>
    </xf>
    <xf numFmtId="0" fontId="19" fillId="2" borderId="54" xfId="0" applyFont="1" applyFill="1" applyBorder="1" applyAlignment="1" applyProtection="1">
      <alignment horizontal="center"/>
      <protection hidden="1"/>
    </xf>
    <xf numFmtId="0" fontId="19" fillId="2" borderId="56" xfId="0" applyFont="1" applyFill="1" applyBorder="1" applyAlignment="1" applyProtection="1">
      <alignment horizontal="center"/>
      <protection hidden="1"/>
    </xf>
    <xf numFmtId="0" fontId="19" fillId="2" borderId="37" xfId="0" applyFont="1" applyFill="1" applyBorder="1" applyAlignment="1" applyProtection="1">
      <alignment horizontal="center"/>
      <protection hidden="1"/>
    </xf>
    <xf numFmtId="0" fontId="19" fillId="0" borderId="0" xfId="0" applyFont="1" applyBorder="1" applyAlignment="1" applyProtection="1">
      <alignment horizontal="center" vertical="center"/>
      <protection hidden="1"/>
    </xf>
    <xf numFmtId="169" fontId="19" fillId="0" borderId="0" xfId="0" applyNumberFormat="1" applyFont="1" applyBorder="1" applyAlignment="1" applyProtection="1">
      <alignment horizontal="center"/>
      <protection hidden="1"/>
    </xf>
    <xf numFmtId="0" fontId="19" fillId="0" borderId="2" xfId="0" applyFont="1" applyBorder="1" applyProtection="1">
      <protection hidden="1"/>
    </xf>
    <xf numFmtId="0" fontId="19" fillId="0" borderId="3" xfId="0" applyFont="1" applyFill="1" applyBorder="1" applyAlignment="1" applyProtection="1">
      <alignment horizontal="center" vertical="center"/>
      <protection hidden="1"/>
    </xf>
    <xf numFmtId="169" fontId="19" fillId="0" borderId="0" xfId="0" applyNumberFormat="1" applyFont="1" applyFill="1" applyBorder="1" applyProtection="1">
      <protection hidden="1"/>
    </xf>
    <xf numFmtId="0" fontId="19" fillId="0" borderId="10" xfId="0" applyFont="1" applyBorder="1" applyProtection="1">
      <protection hidden="1"/>
    </xf>
    <xf numFmtId="0" fontId="20" fillId="0" borderId="0" xfId="0" applyFont="1" applyFill="1" applyBorder="1" applyAlignment="1" applyProtection="1">
      <alignment vertical="center"/>
      <protection hidden="1"/>
    </xf>
    <xf numFmtId="169" fontId="19" fillId="0" borderId="0" xfId="0" applyNumberFormat="1" applyFont="1" applyBorder="1" applyProtection="1">
      <protection hidden="1"/>
    </xf>
    <xf numFmtId="0" fontId="19" fillId="0" borderId="7" xfId="0" applyFont="1" applyBorder="1" applyProtection="1">
      <protection hidden="1"/>
    </xf>
    <xf numFmtId="169" fontId="19" fillId="0" borderId="7" xfId="0" applyNumberFormat="1" applyFont="1" applyBorder="1" applyProtection="1">
      <protection hidden="1"/>
    </xf>
    <xf numFmtId="0" fontId="20" fillId="7" borderId="39" xfId="0" applyFont="1" applyFill="1" applyBorder="1" applyAlignment="1" applyProtection="1">
      <alignment horizontal="center" vertical="center" wrapText="1"/>
      <protection hidden="1"/>
    </xf>
    <xf numFmtId="0" fontId="19" fillId="7" borderId="40" xfId="0" applyFont="1" applyFill="1" applyBorder="1" applyAlignment="1" applyProtection="1">
      <alignment horizontal="center" vertical="center" wrapText="1"/>
      <protection hidden="1"/>
    </xf>
    <xf numFmtId="2" fontId="19" fillId="7" borderId="40" xfId="0" applyNumberFormat="1" applyFont="1" applyFill="1" applyBorder="1" applyAlignment="1" applyProtection="1">
      <alignment horizontal="center" vertical="center" wrapText="1"/>
      <protection hidden="1"/>
    </xf>
    <xf numFmtId="0" fontId="19" fillId="7" borderId="40" xfId="0" applyFont="1" applyFill="1" applyBorder="1" applyAlignment="1" applyProtection="1">
      <alignment horizontal="center" vertical="center"/>
      <protection hidden="1"/>
    </xf>
    <xf numFmtId="165" fontId="19" fillId="7" borderId="40" xfId="0" applyNumberFormat="1" applyFont="1" applyFill="1" applyBorder="1" applyAlignment="1" applyProtection="1">
      <alignment horizontal="center" vertical="center" wrapText="1"/>
      <protection hidden="1"/>
    </xf>
    <xf numFmtId="170" fontId="19" fillId="7" borderId="41" xfId="0" applyNumberFormat="1" applyFont="1" applyFill="1" applyBorder="1" applyAlignment="1" applyProtection="1">
      <alignment horizontal="center" vertical="center" wrapText="1"/>
      <protection hidden="1"/>
    </xf>
    <xf numFmtId="0" fontId="20" fillId="7" borderId="42" xfId="0" applyFont="1" applyFill="1" applyBorder="1" applyAlignment="1" applyProtection="1">
      <alignment horizontal="center" vertical="center" wrapText="1"/>
      <protection hidden="1"/>
    </xf>
    <xf numFmtId="0" fontId="19" fillId="7" borderId="43" xfId="0" applyFont="1" applyFill="1" applyBorder="1" applyAlignment="1" applyProtection="1">
      <alignment horizontal="center" vertical="center" wrapText="1"/>
      <protection hidden="1"/>
    </xf>
    <xf numFmtId="14" fontId="19" fillId="7" borderId="43" xfId="0" applyNumberFormat="1" applyFont="1" applyFill="1" applyBorder="1" applyAlignment="1" applyProtection="1">
      <alignment horizontal="center" vertical="center" wrapText="1"/>
      <protection hidden="1"/>
    </xf>
    <xf numFmtId="167" fontId="19" fillId="7" borderId="43" xfId="0" applyNumberFormat="1" applyFont="1" applyFill="1" applyBorder="1" applyAlignment="1" applyProtection="1">
      <alignment horizontal="center" vertical="center" wrapText="1"/>
      <protection hidden="1"/>
    </xf>
    <xf numFmtId="2" fontId="19" fillId="7" borderId="43" xfId="0" applyNumberFormat="1" applyFont="1" applyFill="1" applyBorder="1" applyAlignment="1" applyProtection="1">
      <alignment horizontal="center" vertical="center" wrapText="1"/>
      <protection hidden="1"/>
    </xf>
    <xf numFmtId="0" fontId="19" fillId="7" borderId="43" xfId="0" applyFont="1" applyFill="1" applyBorder="1" applyAlignment="1" applyProtection="1">
      <alignment horizontal="center" vertical="center"/>
      <protection hidden="1"/>
    </xf>
    <xf numFmtId="165" fontId="19" fillId="7" borderId="43" xfId="0" applyNumberFormat="1" applyFont="1" applyFill="1" applyBorder="1" applyAlignment="1" applyProtection="1">
      <alignment horizontal="center" vertical="center" wrapText="1"/>
      <protection hidden="1"/>
    </xf>
    <xf numFmtId="170" fontId="19" fillId="7" borderId="37" xfId="0" applyNumberFormat="1" applyFont="1" applyFill="1" applyBorder="1" applyAlignment="1" applyProtection="1">
      <alignment horizontal="center" vertical="center" wrapText="1"/>
      <protection hidden="1"/>
    </xf>
    <xf numFmtId="169" fontId="20" fillId="5" borderId="22" xfId="0" applyNumberFormat="1" applyFont="1" applyFill="1" applyBorder="1" applyAlignment="1" applyProtection="1">
      <alignment horizontal="center" vertical="center" wrapText="1"/>
      <protection hidden="1"/>
    </xf>
    <xf numFmtId="0" fontId="20" fillId="5" borderId="20" xfId="0" applyFont="1" applyFill="1" applyBorder="1" applyAlignment="1" applyProtection="1">
      <alignment horizontal="center" vertical="center"/>
      <protection hidden="1"/>
    </xf>
    <xf numFmtId="0" fontId="20" fillId="0" borderId="0" xfId="0" applyFont="1" applyFill="1" applyBorder="1" applyAlignment="1" applyProtection="1">
      <alignment horizontal="center" vertical="center" wrapText="1"/>
      <protection hidden="1"/>
    </xf>
    <xf numFmtId="0" fontId="19" fillId="0" borderId="7" xfId="0" applyFont="1" applyBorder="1" applyAlignment="1" applyProtection="1">
      <alignment horizontal="center" vertical="center"/>
      <protection hidden="1"/>
    </xf>
    <xf numFmtId="0" fontId="19" fillId="0" borderId="7" xfId="0" applyFont="1" applyFill="1" applyBorder="1" applyProtection="1">
      <protection hidden="1"/>
    </xf>
    <xf numFmtId="0" fontId="19" fillId="0" borderId="8" xfId="0" applyFont="1" applyBorder="1" applyAlignment="1" applyProtection="1">
      <alignment horizontal="center" vertical="center"/>
      <protection hidden="1"/>
    </xf>
    <xf numFmtId="14" fontId="19" fillId="0" borderId="0" xfId="0" applyNumberFormat="1" applyFont="1" applyFill="1" applyBorder="1" applyAlignment="1" applyProtection="1">
      <alignment horizontal="center" vertical="center" wrapText="1"/>
      <protection hidden="1"/>
    </xf>
    <xf numFmtId="0" fontId="20" fillId="7" borderId="39" xfId="0" applyFont="1" applyFill="1" applyBorder="1" applyAlignment="1" applyProtection="1">
      <alignment horizontal="center" vertical="center"/>
      <protection hidden="1"/>
    </xf>
    <xf numFmtId="169" fontId="19" fillId="0" borderId="0" xfId="0" applyNumberFormat="1" applyFont="1" applyFill="1" applyBorder="1" applyAlignment="1" applyProtection="1">
      <alignment horizontal="center" vertical="center" wrapText="1"/>
      <protection hidden="1"/>
    </xf>
    <xf numFmtId="0" fontId="25" fillId="0" borderId="0" xfId="0" applyFont="1" applyAlignment="1" applyProtection="1">
      <alignment horizontal="center" vertical="center" wrapText="1"/>
      <protection hidden="1"/>
    </xf>
    <xf numFmtId="0" fontId="20" fillId="7" borderId="42" xfId="0" applyFont="1" applyFill="1" applyBorder="1" applyAlignment="1" applyProtection="1">
      <alignment horizontal="center" vertical="center"/>
      <protection hidden="1"/>
    </xf>
    <xf numFmtId="0" fontId="19" fillId="0" borderId="3" xfId="0" applyFont="1" applyBorder="1" applyAlignment="1" applyProtection="1">
      <alignment vertical="center" textRotation="90" wrapText="1"/>
      <protection hidden="1"/>
    </xf>
    <xf numFmtId="2" fontId="19" fillId="0" borderId="0" xfId="0" applyNumberFormat="1" applyFont="1" applyBorder="1" applyAlignment="1" applyProtection="1">
      <alignment horizontal="center" vertical="center"/>
      <protection hidden="1"/>
    </xf>
    <xf numFmtId="0" fontId="20" fillId="0" borderId="0" xfId="0" applyFont="1" applyFill="1" applyBorder="1" applyAlignment="1" applyProtection="1">
      <alignment horizontal="center" vertical="center"/>
      <protection hidden="1"/>
    </xf>
    <xf numFmtId="0" fontId="20" fillId="5" borderId="44" xfId="0" applyFont="1" applyFill="1" applyBorder="1" applyAlignment="1" applyProtection="1">
      <alignment horizontal="center" vertical="center" wrapText="1"/>
      <protection hidden="1"/>
    </xf>
    <xf numFmtId="169" fontId="20" fillId="5" borderId="52" xfId="0" applyNumberFormat="1" applyFont="1" applyFill="1" applyBorder="1" applyAlignment="1" applyProtection="1">
      <alignment horizontal="center" vertical="center" wrapText="1"/>
      <protection hidden="1"/>
    </xf>
    <xf numFmtId="0" fontId="19" fillId="5" borderId="77" xfId="0" applyFont="1" applyFill="1" applyBorder="1" applyAlignment="1" applyProtection="1">
      <alignment horizontal="center" vertical="center"/>
      <protection hidden="1"/>
    </xf>
    <xf numFmtId="169" fontId="19" fillId="0" borderId="0" xfId="0" applyNumberFormat="1" applyFont="1" applyBorder="1" applyAlignment="1" applyProtection="1">
      <alignment horizontal="center" vertical="center"/>
      <protection hidden="1"/>
    </xf>
    <xf numFmtId="166" fontId="19" fillId="7" borderId="40" xfId="0" applyNumberFormat="1" applyFont="1" applyFill="1" applyBorder="1" applyAlignment="1" applyProtection="1">
      <alignment horizontal="center" vertical="center"/>
      <protection hidden="1"/>
    </xf>
    <xf numFmtId="166" fontId="19" fillId="7" borderId="9" xfId="0" applyNumberFormat="1" applyFont="1" applyFill="1" applyBorder="1" applyAlignment="1" applyProtection="1">
      <alignment horizontal="center" vertical="center"/>
      <protection hidden="1"/>
    </xf>
    <xf numFmtId="0" fontId="19" fillId="0" borderId="0" xfId="0" applyFont="1" applyFill="1" applyBorder="1" applyAlignment="1" applyProtection="1">
      <alignment vertical="center" wrapText="1"/>
      <protection hidden="1"/>
    </xf>
    <xf numFmtId="169" fontId="19" fillId="0" borderId="7" xfId="0" applyNumberFormat="1" applyFont="1" applyBorder="1" applyAlignment="1" applyProtection="1">
      <alignment horizontal="center" vertical="center"/>
      <protection hidden="1"/>
    </xf>
    <xf numFmtId="166" fontId="19" fillId="0" borderId="0" xfId="0" applyNumberFormat="1" applyFont="1" applyProtection="1">
      <protection hidden="1"/>
    </xf>
    <xf numFmtId="0" fontId="19" fillId="0" borderId="10" xfId="0" applyFont="1" applyBorder="1" applyAlignment="1" applyProtection="1">
      <alignment horizontal="center"/>
      <protection hidden="1"/>
    </xf>
    <xf numFmtId="0" fontId="19" fillId="0" borderId="48" xfId="0" applyFont="1" applyBorder="1" applyAlignment="1" applyProtection="1">
      <alignment horizontal="center"/>
      <protection hidden="1"/>
    </xf>
    <xf numFmtId="0" fontId="19" fillId="2" borderId="3" xfId="0" applyFont="1" applyFill="1" applyBorder="1" applyAlignment="1" applyProtection="1">
      <alignment vertical="center" textRotation="90"/>
      <protection hidden="1"/>
    </xf>
    <xf numFmtId="0" fontId="19" fillId="2" borderId="3" xfId="0" applyFont="1" applyFill="1" applyBorder="1" applyAlignment="1" applyProtection="1">
      <alignment horizontal="center" vertical="center"/>
      <protection hidden="1"/>
    </xf>
    <xf numFmtId="0" fontId="19" fillId="2" borderId="3" xfId="0" applyFont="1" applyFill="1" applyBorder="1" applyProtection="1">
      <protection hidden="1"/>
    </xf>
    <xf numFmtId="0" fontId="19" fillId="0" borderId="3" xfId="0" applyFont="1" applyFill="1" applyBorder="1" applyAlignment="1" applyProtection="1">
      <alignment horizontal="center" vertical="center" wrapText="1"/>
      <protection hidden="1"/>
    </xf>
    <xf numFmtId="169" fontId="19" fillId="0" borderId="3" xfId="0" applyNumberFormat="1" applyFont="1" applyFill="1" applyBorder="1" applyAlignment="1" applyProtection="1">
      <alignment horizontal="center" vertical="center"/>
      <protection hidden="1"/>
    </xf>
    <xf numFmtId="0" fontId="19" fillId="0" borderId="46" xfId="0" applyFont="1" applyBorder="1" applyProtection="1">
      <protection hidden="1"/>
    </xf>
    <xf numFmtId="0" fontId="19" fillId="2" borderId="5" xfId="0" applyFont="1" applyFill="1" applyBorder="1" applyAlignment="1" applyProtection="1">
      <alignment vertical="center" textRotation="90"/>
      <protection hidden="1"/>
    </xf>
    <xf numFmtId="0" fontId="19" fillId="2" borderId="5" xfId="0" applyFont="1" applyFill="1" applyBorder="1" applyAlignment="1" applyProtection="1">
      <alignment horizontal="center" vertical="center"/>
      <protection hidden="1"/>
    </xf>
    <xf numFmtId="0" fontId="19" fillId="2" borderId="5" xfId="0" applyFont="1" applyFill="1" applyBorder="1" applyProtection="1">
      <protection hidden="1"/>
    </xf>
    <xf numFmtId="0" fontId="19" fillId="0" borderId="5" xfId="0" applyFont="1" applyFill="1" applyBorder="1" applyAlignment="1" applyProtection="1">
      <alignment horizontal="center" vertical="center" wrapText="1"/>
      <protection hidden="1"/>
    </xf>
    <xf numFmtId="0" fontId="19" fillId="0" borderId="5" xfId="0" applyFont="1" applyFill="1" applyBorder="1" applyAlignment="1" applyProtection="1">
      <alignment horizontal="center" vertical="center"/>
      <protection hidden="1"/>
    </xf>
    <xf numFmtId="169" fontId="19" fillId="0" borderId="0" xfId="0" applyNumberFormat="1" applyFont="1" applyFill="1" applyBorder="1" applyAlignment="1" applyProtection="1">
      <alignment horizontal="center" vertical="center"/>
      <protection hidden="1"/>
    </xf>
    <xf numFmtId="0" fontId="19" fillId="0" borderId="10" xfId="0" applyFont="1" applyFill="1" applyBorder="1" applyAlignment="1" applyProtection="1">
      <alignment horizontal="center"/>
      <protection hidden="1"/>
    </xf>
    <xf numFmtId="0" fontId="19" fillId="0" borderId="48" xfId="0" applyFont="1" applyFill="1" applyBorder="1" applyAlignment="1" applyProtection="1">
      <alignment horizontal="center"/>
      <protection hidden="1"/>
    </xf>
    <xf numFmtId="0" fontId="19" fillId="2" borderId="0" xfId="0" applyFont="1" applyFill="1" applyBorder="1" applyAlignment="1" applyProtection="1">
      <alignment vertical="center" textRotation="90"/>
      <protection hidden="1"/>
    </xf>
    <xf numFmtId="0" fontId="19" fillId="2" borderId="0" xfId="0" applyFont="1" applyFill="1" applyBorder="1" applyProtection="1">
      <protection hidden="1"/>
    </xf>
    <xf numFmtId="0" fontId="19" fillId="2" borderId="0" xfId="0" applyFont="1" applyFill="1" applyBorder="1" applyAlignment="1" applyProtection="1">
      <alignment horizontal="center" vertical="center"/>
      <protection hidden="1"/>
    </xf>
    <xf numFmtId="0" fontId="19" fillId="0" borderId="0" xfId="0" applyFont="1" applyFill="1" applyBorder="1" applyAlignment="1" applyProtection="1">
      <alignment horizontal="center" vertical="center" wrapText="1"/>
      <protection hidden="1"/>
    </xf>
    <xf numFmtId="0" fontId="19" fillId="0" borderId="46" xfId="0" applyFont="1" applyBorder="1" applyAlignment="1" applyProtection="1">
      <alignment horizontal="center"/>
      <protection hidden="1"/>
    </xf>
    <xf numFmtId="0" fontId="19" fillId="0" borderId="5" xfId="0" applyFont="1" applyBorder="1" applyProtection="1">
      <protection hidden="1"/>
    </xf>
    <xf numFmtId="0" fontId="19" fillId="0" borderId="5" xfId="0" applyFont="1" applyFill="1" applyBorder="1" applyAlignment="1" applyProtection="1">
      <alignment horizontal="center"/>
      <protection hidden="1"/>
    </xf>
    <xf numFmtId="0" fontId="19" fillId="0" borderId="5" xfId="0" applyFont="1" applyBorder="1" applyAlignment="1" applyProtection="1">
      <alignment horizontal="center"/>
      <protection hidden="1"/>
    </xf>
    <xf numFmtId="0" fontId="19" fillId="0" borderId="38" xfId="0" applyFont="1" applyBorder="1" applyAlignment="1" applyProtection="1">
      <alignment horizontal="center"/>
      <protection hidden="1"/>
    </xf>
    <xf numFmtId="0" fontId="19" fillId="0" borderId="2" xfId="0" applyFont="1" applyBorder="1" applyAlignment="1" applyProtection="1">
      <alignment horizontal="center" vertical="center"/>
      <protection hidden="1"/>
    </xf>
    <xf numFmtId="0" fontId="20" fillId="5" borderId="71" xfId="0" applyFont="1" applyFill="1" applyBorder="1" applyAlignment="1" applyProtection="1">
      <alignment horizontal="center" vertical="center" wrapText="1"/>
      <protection hidden="1"/>
    </xf>
    <xf numFmtId="0" fontId="20" fillId="5" borderId="66" xfId="0" applyFont="1" applyFill="1" applyBorder="1" applyAlignment="1" applyProtection="1">
      <alignment horizontal="center" vertical="center" wrapText="1"/>
      <protection hidden="1"/>
    </xf>
    <xf numFmtId="169" fontId="20" fillId="5" borderId="66" xfId="0" applyNumberFormat="1" applyFont="1" applyFill="1" applyBorder="1" applyAlignment="1" applyProtection="1">
      <alignment horizontal="center" vertical="center" wrapText="1"/>
      <protection hidden="1"/>
    </xf>
    <xf numFmtId="0" fontId="20" fillId="5" borderId="66" xfId="0" applyFont="1" applyFill="1" applyBorder="1" applyAlignment="1" applyProtection="1">
      <alignment horizontal="center" vertical="center"/>
      <protection hidden="1"/>
    </xf>
    <xf numFmtId="0" fontId="20" fillId="5" borderId="72" xfId="0" applyFont="1" applyFill="1" applyBorder="1" applyAlignment="1" applyProtection="1">
      <alignment horizontal="center" vertical="center" wrapText="1"/>
      <protection hidden="1"/>
    </xf>
    <xf numFmtId="0" fontId="19" fillId="0" borderId="6" xfId="0" applyFont="1" applyBorder="1" applyAlignment="1" applyProtection="1">
      <alignment horizontal="center" vertical="center"/>
      <protection hidden="1"/>
    </xf>
    <xf numFmtId="0" fontId="19" fillId="0" borderId="7" xfId="0" applyFont="1" applyBorder="1" applyAlignment="1" applyProtection="1">
      <alignment horizontal="center"/>
      <protection hidden="1"/>
    </xf>
    <xf numFmtId="0" fontId="19" fillId="0" borderId="50" xfId="0" applyFont="1" applyBorder="1" applyAlignment="1" applyProtection="1">
      <alignment horizontal="center"/>
      <protection hidden="1"/>
    </xf>
    <xf numFmtId="0" fontId="19" fillId="0" borderId="64" xfId="0" applyFont="1" applyBorder="1" applyAlignment="1" applyProtection="1">
      <alignment horizontal="center"/>
      <protection hidden="1"/>
    </xf>
    <xf numFmtId="0" fontId="19" fillId="30" borderId="40" xfId="0" applyFont="1" applyFill="1" applyBorder="1" applyAlignment="1" applyProtection="1">
      <alignment horizontal="center" vertical="center" wrapText="1"/>
      <protection hidden="1"/>
    </xf>
    <xf numFmtId="0" fontId="19" fillId="7" borderId="32" xfId="0" applyFont="1" applyFill="1" applyBorder="1" applyAlignment="1" applyProtection="1">
      <alignment horizontal="center" vertical="center" wrapText="1"/>
      <protection hidden="1"/>
    </xf>
    <xf numFmtId="167" fontId="19" fillId="7" borderId="9" xfId="0" applyNumberFormat="1" applyFont="1" applyFill="1" applyBorder="1" applyAlignment="1" applyProtection="1">
      <alignment horizontal="center" vertical="center" wrapText="1"/>
      <protection hidden="1"/>
    </xf>
    <xf numFmtId="169" fontId="19" fillId="7" borderId="9" xfId="0" applyNumberFormat="1" applyFont="1" applyFill="1" applyBorder="1" applyAlignment="1" applyProtection="1">
      <alignment horizontal="center" vertical="center" wrapText="1"/>
      <protection hidden="1"/>
    </xf>
    <xf numFmtId="14" fontId="19" fillId="7" borderId="9" xfId="0" applyNumberFormat="1" applyFont="1" applyFill="1" applyBorder="1" applyAlignment="1" applyProtection="1">
      <alignment horizontal="center" vertical="center" wrapText="1"/>
      <protection hidden="1"/>
    </xf>
    <xf numFmtId="0" fontId="19" fillId="30" borderId="9" xfId="0" applyFont="1" applyFill="1" applyBorder="1" applyAlignment="1" applyProtection="1">
      <alignment horizontal="center" vertical="center" wrapText="1"/>
      <protection hidden="1"/>
    </xf>
    <xf numFmtId="0" fontId="19" fillId="7" borderId="30" xfId="0" applyFont="1" applyFill="1" applyBorder="1" applyAlignment="1" applyProtection="1">
      <alignment horizontal="center" vertical="center" wrapText="1"/>
      <protection hidden="1"/>
    </xf>
    <xf numFmtId="0" fontId="19" fillId="7" borderId="34" xfId="0" applyFont="1" applyFill="1" applyBorder="1" applyAlignment="1" applyProtection="1">
      <alignment horizontal="center" vertical="center" wrapText="1"/>
      <protection hidden="1"/>
    </xf>
    <xf numFmtId="166" fontId="19" fillId="7" borderId="34" xfId="0" applyNumberFormat="1" applyFont="1" applyFill="1" applyBorder="1" applyAlignment="1" applyProtection="1">
      <alignment horizontal="center" vertical="center" wrapText="1"/>
      <protection hidden="1"/>
    </xf>
    <xf numFmtId="0" fontId="19" fillId="7" borderId="42" xfId="0" applyFont="1" applyFill="1" applyBorder="1" applyAlignment="1" applyProtection="1">
      <alignment horizontal="center" vertical="center" wrapText="1"/>
      <protection hidden="1"/>
    </xf>
    <xf numFmtId="169" fontId="19" fillId="7" borderId="43" xfId="0" applyNumberFormat="1" applyFont="1" applyFill="1" applyBorder="1" applyAlignment="1" applyProtection="1">
      <alignment horizontal="center" vertical="center" wrapText="1"/>
      <protection hidden="1"/>
    </xf>
    <xf numFmtId="0" fontId="19" fillId="7" borderId="37" xfId="0" applyFont="1" applyFill="1" applyBorder="1" applyAlignment="1" applyProtection="1">
      <alignment horizontal="center" vertical="center" wrapText="1"/>
      <protection hidden="1"/>
    </xf>
    <xf numFmtId="0" fontId="19" fillId="0" borderId="48" xfId="0" applyFont="1" applyBorder="1" applyAlignment="1" applyProtection="1">
      <alignment horizontal="center" vertical="center"/>
      <protection hidden="1"/>
    </xf>
    <xf numFmtId="167" fontId="19" fillId="7" borderId="40" xfId="0" applyNumberFormat="1" applyFont="1" applyFill="1" applyBorder="1" applyAlignment="1" applyProtection="1">
      <alignment horizontal="center" vertical="center" wrapText="1"/>
      <protection hidden="1"/>
    </xf>
    <xf numFmtId="14" fontId="19" fillId="7" borderId="40" xfId="0" applyNumberFormat="1" applyFont="1" applyFill="1" applyBorder="1" applyAlignment="1" applyProtection="1">
      <alignment horizontal="center" vertical="center" wrapText="1"/>
      <protection hidden="1"/>
    </xf>
    <xf numFmtId="2" fontId="19" fillId="7" borderId="9" xfId="0" applyNumberFormat="1" applyFont="1" applyFill="1" applyBorder="1" applyAlignment="1" applyProtection="1">
      <alignment horizontal="center" vertical="center" wrapText="1"/>
      <protection hidden="1"/>
    </xf>
    <xf numFmtId="164" fontId="19" fillId="0" borderId="0" xfId="0" applyNumberFormat="1" applyFont="1" applyFill="1" applyBorder="1" applyAlignment="1" applyProtection="1">
      <alignment vertical="center"/>
      <protection hidden="1"/>
    </xf>
    <xf numFmtId="0" fontId="19" fillId="0" borderId="5" xfId="0" applyFont="1" applyBorder="1" applyAlignment="1" applyProtection="1">
      <alignment vertical="center"/>
      <protection hidden="1"/>
    </xf>
    <xf numFmtId="0" fontId="19" fillId="0" borderId="5" xfId="0" applyFont="1" applyBorder="1" applyAlignment="1" applyProtection="1">
      <alignment horizontal="center" vertical="center"/>
      <protection hidden="1"/>
    </xf>
    <xf numFmtId="169" fontId="19" fillId="0" borderId="5" xfId="0" applyNumberFormat="1" applyFont="1" applyBorder="1" applyAlignment="1" applyProtection="1">
      <alignment horizontal="center" vertical="center"/>
      <protection hidden="1"/>
    </xf>
    <xf numFmtId="0" fontId="19" fillId="0" borderId="38" xfId="0" applyFont="1" applyBorder="1" applyProtection="1">
      <protection hidden="1"/>
    </xf>
    <xf numFmtId="169" fontId="20" fillId="5" borderId="20" xfId="0" applyNumberFormat="1" applyFont="1" applyFill="1" applyBorder="1" applyAlignment="1" applyProtection="1">
      <alignment horizontal="center" vertical="center" wrapText="1"/>
      <protection hidden="1"/>
    </xf>
    <xf numFmtId="0" fontId="19" fillId="0" borderId="29" xfId="0" applyFont="1" applyBorder="1" applyProtection="1">
      <protection hidden="1"/>
    </xf>
    <xf numFmtId="0" fontId="19" fillId="0" borderId="3" xfId="0" applyFont="1" applyBorder="1" applyAlignment="1" applyProtection="1">
      <alignment horizontal="center" vertical="center"/>
      <protection hidden="1"/>
    </xf>
    <xf numFmtId="169" fontId="19" fillId="0" borderId="3" xfId="0" applyNumberFormat="1" applyFont="1" applyBorder="1" applyAlignment="1" applyProtection="1">
      <alignment horizontal="center" vertical="center"/>
      <protection hidden="1"/>
    </xf>
    <xf numFmtId="0" fontId="19" fillId="0" borderId="4" xfId="0" applyFont="1" applyBorder="1" applyProtection="1">
      <protection hidden="1"/>
    </xf>
    <xf numFmtId="0" fontId="19" fillId="2" borderId="0" xfId="0" applyFont="1" applyFill="1" applyBorder="1" applyAlignment="1" applyProtection="1">
      <alignment horizontal="center" vertical="center" wrapText="1"/>
      <protection hidden="1"/>
    </xf>
    <xf numFmtId="2" fontId="19" fillId="2" borderId="0" xfId="0" applyNumberFormat="1" applyFont="1" applyFill="1" applyBorder="1" applyAlignment="1" applyProtection="1">
      <alignment horizontal="center" vertical="center"/>
      <protection hidden="1"/>
    </xf>
    <xf numFmtId="169" fontId="19" fillId="2" borderId="0" xfId="0" applyNumberFormat="1" applyFont="1" applyFill="1" applyBorder="1" applyAlignment="1" applyProtection="1">
      <alignment horizontal="center" vertical="center"/>
      <protection hidden="1"/>
    </xf>
    <xf numFmtId="0" fontId="19" fillId="0" borderId="48" xfId="0" applyFont="1" applyBorder="1" applyProtection="1">
      <protection hidden="1"/>
    </xf>
    <xf numFmtId="0" fontId="19" fillId="0" borderId="19" xfId="0" applyFont="1" applyBorder="1" applyAlignment="1" applyProtection="1">
      <alignment horizontal="center" vertical="center"/>
      <protection hidden="1"/>
    </xf>
    <xf numFmtId="0" fontId="19" fillId="0" borderId="22" xfId="0" applyFont="1" applyBorder="1" applyAlignment="1" applyProtection="1">
      <alignment horizontal="center" vertical="center"/>
      <protection hidden="1"/>
    </xf>
    <xf numFmtId="0" fontId="19" fillId="0" borderId="20" xfId="0" applyFont="1" applyBorder="1" applyAlignment="1" applyProtection="1">
      <alignment horizontal="center" vertical="center"/>
      <protection hidden="1"/>
    </xf>
    <xf numFmtId="1" fontId="19" fillId="7" borderId="9" xfId="0" applyNumberFormat="1" applyFont="1" applyFill="1" applyBorder="1" applyAlignment="1" applyProtection="1">
      <alignment vertical="center" wrapText="1"/>
      <protection hidden="1"/>
    </xf>
    <xf numFmtId="165" fontId="19" fillId="7" borderId="9" xfId="0" applyNumberFormat="1" applyFont="1" applyFill="1" applyBorder="1" applyAlignment="1" applyProtection="1">
      <alignment horizontal="center" vertical="center"/>
      <protection hidden="1"/>
    </xf>
    <xf numFmtId="165" fontId="20" fillId="7" borderId="9" xfId="0" applyNumberFormat="1" applyFont="1" applyFill="1" applyBorder="1" applyAlignment="1" applyProtection="1">
      <alignment horizontal="center" vertical="center"/>
      <protection hidden="1"/>
    </xf>
    <xf numFmtId="166" fontId="20" fillId="7" borderId="9" xfId="0" applyNumberFormat="1" applyFont="1" applyFill="1" applyBorder="1" applyAlignment="1" applyProtection="1">
      <alignment horizontal="center" vertical="center"/>
      <protection hidden="1"/>
    </xf>
    <xf numFmtId="1" fontId="19" fillId="7" borderId="40" xfId="0" applyNumberFormat="1" applyFont="1" applyFill="1" applyBorder="1" applyAlignment="1" applyProtection="1">
      <alignment vertical="center" wrapText="1"/>
      <protection hidden="1"/>
    </xf>
    <xf numFmtId="165" fontId="19" fillId="7" borderId="40" xfId="0" applyNumberFormat="1" applyFont="1" applyFill="1" applyBorder="1" applyAlignment="1" applyProtection="1">
      <alignment horizontal="center" vertical="center"/>
      <protection hidden="1"/>
    </xf>
    <xf numFmtId="1" fontId="19" fillId="7" borderId="43" xfId="0" applyNumberFormat="1" applyFont="1" applyFill="1" applyBorder="1" applyAlignment="1" applyProtection="1">
      <alignment vertical="center" wrapText="1"/>
      <protection hidden="1"/>
    </xf>
    <xf numFmtId="165" fontId="19" fillId="7" borderId="43" xfId="0" applyNumberFormat="1" applyFont="1" applyFill="1" applyBorder="1" applyAlignment="1" applyProtection="1">
      <alignment horizontal="center" vertical="center"/>
      <protection hidden="1"/>
    </xf>
    <xf numFmtId="166" fontId="19" fillId="7" borderId="43" xfId="0" applyNumberFormat="1" applyFont="1" applyFill="1" applyBorder="1" applyAlignment="1" applyProtection="1">
      <alignment horizontal="center" vertical="center"/>
      <protection hidden="1"/>
    </xf>
    <xf numFmtId="0" fontId="20" fillId="29" borderId="1" xfId="0" applyFont="1" applyFill="1" applyBorder="1" applyAlignment="1" applyProtection="1">
      <alignment horizontal="center" vertical="center"/>
      <protection hidden="1"/>
    </xf>
    <xf numFmtId="0" fontId="20" fillId="29" borderId="6" xfId="0" applyFont="1" applyFill="1" applyBorder="1" applyAlignment="1" applyProtection="1">
      <alignment horizontal="center" vertical="center"/>
      <protection hidden="1"/>
    </xf>
    <xf numFmtId="1" fontId="19" fillId="0" borderId="0" xfId="0" applyNumberFormat="1" applyFont="1" applyFill="1" applyBorder="1" applyAlignment="1" applyProtection="1">
      <alignment vertical="center" wrapText="1"/>
      <protection hidden="1"/>
    </xf>
    <xf numFmtId="166" fontId="19" fillId="0" borderId="0" xfId="0" applyNumberFormat="1" applyFont="1" applyBorder="1" applyAlignment="1" applyProtection="1">
      <alignment horizontal="center" vertical="center"/>
      <protection hidden="1"/>
    </xf>
    <xf numFmtId="0" fontId="38" fillId="19" borderId="22" xfId="0" applyFont="1" applyFill="1" applyBorder="1" applyAlignment="1" applyProtection="1">
      <alignment horizontal="center" vertical="top" wrapText="1"/>
      <protection hidden="1"/>
    </xf>
    <xf numFmtId="2" fontId="19" fillId="12" borderId="40" xfId="0" applyNumberFormat="1" applyFont="1" applyFill="1" applyBorder="1" applyAlignment="1" applyProtection="1">
      <alignment horizontal="center" vertical="center" wrapText="1"/>
      <protection hidden="1"/>
    </xf>
    <xf numFmtId="164" fontId="19" fillId="12" borderId="9" xfId="0" applyNumberFormat="1" applyFont="1" applyFill="1" applyBorder="1" applyAlignment="1" applyProtection="1">
      <alignment horizontal="center" vertical="center" wrapText="1"/>
      <protection hidden="1"/>
    </xf>
    <xf numFmtId="165" fontId="19" fillId="12" borderId="9" xfId="0" applyNumberFormat="1" applyFont="1" applyFill="1" applyBorder="1" applyAlignment="1" applyProtection="1">
      <alignment horizontal="center" vertical="center" wrapText="1"/>
      <protection hidden="1"/>
    </xf>
    <xf numFmtId="165" fontId="21" fillId="7" borderId="39" xfId="0" applyNumberFormat="1" applyFont="1" applyFill="1" applyBorder="1" applyAlignment="1" applyProtection="1">
      <alignment horizontal="center" vertical="center" wrapText="1"/>
      <protection hidden="1"/>
    </xf>
    <xf numFmtId="2" fontId="21" fillId="7" borderId="36" xfId="0" applyNumberFormat="1" applyFont="1" applyFill="1" applyBorder="1" applyAlignment="1" applyProtection="1">
      <alignment horizontal="center" vertical="center" wrapText="1"/>
      <protection hidden="1"/>
    </xf>
    <xf numFmtId="175" fontId="21" fillId="7" borderId="34" xfId="0" applyNumberFormat="1" applyFont="1" applyFill="1" applyBorder="1" applyAlignment="1" applyProtection="1">
      <alignment horizontal="center" vertical="center" wrapText="1"/>
      <protection hidden="1"/>
    </xf>
    <xf numFmtId="175" fontId="21" fillId="7" borderId="37" xfId="0" applyNumberFormat="1" applyFont="1" applyFill="1" applyBorder="1" applyAlignment="1" applyProtection="1">
      <alignment horizontal="center" vertical="center" wrapText="1"/>
      <protection hidden="1"/>
    </xf>
    <xf numFmtId="165" fontId="21" fillId="7" borderId="41" xfId="0" applyNumberFormat="1" applyFont="1" applyFill="1" applyBorder="1" applyAlignment="1" applyProtection="1">
      <alignment horizontal="center" vertical="center" wrapText="1"/>
      <protection hidden="1"/>
    </xf>
    <xf numFmtId="166" fontId="63" fillId="7" borderId="41" xfId="0" applyNumberFormat="1" applyFont="1" applyFill="1" applyBorder="1" applyAlignment="1" applyProtection="1">
      <alignment horizontal="center" vertical="center"/>
      <protection hidden="1"/>
    </xf>
    <xf numFmtId="165" fontId="21" fillId="7" borderId="34" xfId="0" applyNumberFormat="1" applyFont="1" applyFill="1" applyBorder="1" applyAlignment="1" applyProtection="1">
      <alignment horizontal="center" vertical="center" wrapText="1"/>
      <protection hidden="1"/>
    </xf>
    <xf numFmtId="166" fontId="63" fillId="7" borderId="34" xfId="0" applyNumberFormat="1" applyFont="1" applyFill="1" applyBorder="1" applyAlignment="1" applyProtection="1">
      <alignment horizontal="center" vertical="center"/>
      <protection hidden="1"/>
    </xf>
    <xf numFmtId="175" fontId="21" fillId="7" borderId="65" xfId="0" applyNumberFormat="1" applyFont="1" applyFill="1" applyBorder="1" applyAlignment="1" applyProtection="1">
      <alignment horizontal="center" vertical="center" wrapText="1"/>
      <protection hidden="1"/>
    </xf>
    <xf numFmtId="175" fontId="21" fillId="7" borderId="68" xfId="0" applyNumberFormat="1" applyFont="1" applyFill="1" applyBorder="1" applyAlignment="1" applyProtection="1">
      <alignment horizontal="center" vertical="center" wrapText="1"/>
      <protection hidden="1"/>
    </xf>
    <xf numFmtId="165" fontId="21" fillId="7" borderId="37" xfId="0" applyNumberFormat="1" applyFont="1" applyFill="1" applyBorder="1" applyAlignment="1" applyProtection="1">
      <alignment horizontal="center" vertical="center" wrapText="1"/>
      <protection hidden="1"/>
    </xf>
    <xf numFmtId="166" fontId="63" fillId="7" borderId="37" xfId="0" applyNumberFormat="1" applyFont="1" applyFill="1" applyBorder="1" applyAlignment="1" applyProtection="1">
      <alignment horizontal="center" vertical="center"/>
      <protection hidden="1"/>
    </xf>
    <xf numFmtId="164" fontId="21" fillId="7" borderId="9" xfId="0" applyNumberFormat="1" applyFont="1" applyFill="1" applyBorder="1" applyAlignment="1" applyProtection="1">
      <alignment horizontal="center" vertical="center" wrapText="1"/>
      <protection hidden="1"/>
    </xf>
    <xf numFmtId="0" fontId="28" fillId="5" borderId="39" xfId="0" applyFont="1" applyFill="1" applyBorder="1" applyAlignment="1" applyProtection="1">
      <alignment horizontal="center" vertical="center" wrapText="1"/>
      <protection hidden="1"/>
    </xf>
    <xf numFmtId="0" fontId="28" fillId="5" borderId="32" xfId="0" applyFont="1" applyFill="1" applyBorder="1" applyAlignment="1" applyProtection="1">
      <alignment horizontal="center" vertical="center" wrapText="1"/>
      <protection hidden="1"/>
    </xf>
    <xf numFmtId="164" fontId="21" fillId="7" borderId="43" xfId="0" applyNumberFormat="1" applyFont="1" applyFill="1" applyBorder="1" applyAlignment="1" applyProtection="1">
      <alignment horizontal="center" vertical="center" wrapText="1"/>
      <protection hidden="1"/>
    </xf>
    <xf numFmtId="166" fontId="21" fillId="0" borderId="0" xfId="0" applyNumberFormat="1" applyFont="1" applyAlignment="1" applyProtection="1">
      <alignment vertical="center" wrapText="1"/>
      <protection hidden="1"/>
    </xf>
    <xf numFmtId="2" fontId="28" fillId="19" borderId="22" xfId="1" applyNumberFormat="1" applyFont="1" applyFill="1" applyBorder="1" applyAlignment="1" applyProtection="1">
      <alignment horizontal="center" vertical="center" wrapText="1"/>
      <protection hidden="1"/>
    </xf>
    <xf numFmtId="0" fontId="20" fillId="16" borderId="66" xfId="0" applyFont="1" applyFill="1" applyBorder="1" applyAlignment="1" applyProtection="1">
      <alignment horizontal="center" vertical="center" wrapText="1"/>
      <protection hidden="1"/>
    </xf>
    <xf numFmtId="167" fontId="21" fillId="6" borderId="40" xfId="0" applyNumberFormat="1" applyFont="1" applyFill="1" applyBorder="1" applyAlignment="1" applyProtection="1">
      <alignment horizontal="center" vertical="center" wrapText="1"/>
      <protection locked="0" hidden="1"/>
    </xf>
    <xf numFmtId="167" fontId="19" fillId="15" borderId="9" xfId="0" applyNumberFormat="1" applyFont="1" applyFill="1" applyBorder="1" applyAlignment="1">
      <alignment horizontal="center" vertical="center" wrapText="1"/>
    </xf>
    <xf numFmtId="167" fontId="19" fillId="15" borderId="43" xfId="0" applyNumberFormat="1" applyFont="1" applyFill="1" applyBorder="1" applyAlignment="1">
      <alignment horizontal="center" vertical="center" wrapText="1"/>
    </xf>
    <xf numFmtId="175" fontId="21" fillId="0" borderId="0" xfId="0" applyNumberFormat="1" applyFont="1" applyAlignment="1" applyProtection="1">
      <alignment horizontal="center" vertical="center" wrapText="1"/>
      <protection hidden="1"/>
    </xf>
    <xf numFmtId="0" fontId="21" fillId="0" borderId="0" xfId="0" applyFont="1" applyAlignment="1" applyProtection="1">
      <alignment horizontal="center" vertical="center" wrapText="1"/>
      <protection hidden="1"/>
    </xf>
    <xf numFmtId="167" fontId="21" fillId="0" borderId="0" xfId="0" applyNumberFormat="1" applyFont="1" applyAlignment="1" applyProtection="1">
      <alignment horizontal="center"/>
      <protection hidden="1"/>
    </xf>
    <xf numFmtId="166" fontId="21" fillId="0" borderId="0" xfId="0" applyNumberFormat="1" applyFont="1" applyAlignment="1" applyProtection="1">
      <alignment horizontal="center"/>
      <protection hidden="1"/>
    </xf>
    <xf numFmtId="0" fontId="27" fillId="17" borderId="19" xfId="0" applyFont="1" applyFill="1" applyBorder="1" applyAlignment="1" applyProtection="1">
      <alignment horizontal="center" vertical="center" wrapText="1"/>
      <protection hidden="1"/>
    </xf>
    <xf numFmtId="0" fontId="27" fillId="17" borderId="22" xfId="0" applyFont="1" applyFill="1" applyBorder="1" applyAlignment="1" applyProtection="1">
      <alignment horizontal="center" vertical="center"/>
      <protection hidden="1"/>
    </xf>
    <xf numFmtId="0" fontId="27" fillId="17" borderId="22" xfId="0" applyFont="1" applyFill="1" applyBorder="1" applyAlignment="1" applyProtection="1">
      <alignment horizontal="center" vertical="center" wrapText="1"/>
      <protection hidden="1"/>
    </xf>
    <xf numFmtId="0" fontId="27" fillId="17" borderId="20" xfId="0" applyFont="1" applyFill="1" applyBorder="1" applyAlignment="1" applyProtection="1">
      <alignment horizontal="center" vertical="center" wrapText="1"/>
      <protection hidden="1"/>
    </xf>
    <xf numFmtId="0" fontId="19" fillId="0" borderId="0" xfId="0" applyFont="1" applyFill="1" applyAlignment="1" applyProtection="1">
      <alignment vertical="center" wrapText="1"/>
      <protection hidden="1"/>
    </xf>
    <xf numFmtId="0" fontId="21" fillId="0" borderId="0" xfId="0" applyFont="1" applyFill="1" applyAlignment="1" applyProtection="1">
      <alignment horizontal="center" vertical="center" wrapText="1"/>
      <protection hidden="1"/>
    </xf>
    <xf numFmtId="2" fontId="21" fillId="0" borderId="0" xfId="0" applyNumberFormat="1" applyFont="1" applyFill="1" applyAlignment="1" applyProtection="1">
      <alignment vertical="center" wrapText="1"/>
      <protection hidden="1"/>
    </xf>
    <xf numFmtId="0" fontId="19" fillId="7" borderId="9" xfId="0" applyFont="1" applyFill="1" applyBorder="1" applyAlignment="1" applyProtection="1">
      <alignment horizontal="center" vertical="center" wrapText="1"/>
      <protection hidden="1"/>
    </xf>
    <xf numFmtId="0" fontId="20" fillId="5" borderId="22" xfId="0" applyFont="1" applyFill="1" applyBorder="1" applyAlignment="1" applyProtection="1">
      <alignment horizontal="center" vertical="center" wrapText="1"/>
      <protection hidden="1"/>
    </xf>
    <xf numFmtId="0" fontId="20" fillId="5" borderId="19" xfId="0" applyFont="1" applyFill="1" applyBorder="1" applyAlignment="1" applyProtection="1">
      <alignment horizontal="center" vertical="center" wrapText="1"/>
      <protection hidden="1"/>
    </xf>
    <xf numFmtId="0" fontId="20" fillId="5" borderId="32" xfId="0" applyFont="1" applyFill="1" applyBorder="1" applyAlignment="1" applyProtection="1">
      <alignment horizontal="center" vertical="center" wrapText="1"/>
      <protection hidden="1"/>
    </xf>
    <xf numFmtId="1" fontId="21" fillId="7" borderId="9" xfId="0" applyNumberFormat="1" applyFont="1" applyFill="1" applyBorder="1" applyAlignment="1" applyProtection="1">
      <alignment horizontal="center" vertical="center" wrapText="1"/>
      <protection hidden="1"/>
    </xf>
    <xf numFmtId="0" fontId="19" fillId="0" borderId="0" xfId="0" applyFont="1" applyAlignment="1" applyProtection="1">
      <alignment horizontal="center" vertical="center"/>
      <protection hidden="1"/>
    </xf>
    <xf numFmtId="0" fontId="18" fillId="7" borderId="22" xfId="0" applyFont="1" applyFill="1" applyBorder="1" applyAlignment="1" applyProtection="1">
      <alignment horizontal="center" vertical="center" wrapText="1"/>
      <protection hidden="1"/>
    </xf>
    <xf numFmtId="0" fontId="19" fillId="7" borderId="22" xfId="0" applyFont="1" applyFill="1" applyBorder="1" applyAlignment="1" applyProtection="1">
      <alignment horizontal="center" vertical="center" wrapText="1"/>
      <protection hidden="1"/>
    </xf>
    <xf numFmtId="169" fontId="19" fillId="7" borderId="28" xfId="0" applyNumberFormat="1" applyFont="1" applyFill="1" applyBorder="1" applyAlignment="1" applyProtection="1">
      <alignment horizontal="center" vertical="center" wrapText="1"/>
      <protection hidden="1"/>
    </xf>
    <xf numFmtId="14" fontId="18" fillId="7" borderId="1" xfId="0" applyNumberFormat="1" applyFont="1" applyFill="1" applyBorder="1" applyAlignment="1" applyProtection="1">
      <alignment horizontal="center" vertical="center" wrapText="1"/>
      <protection hidden="1"/>
    </xf>
    <xf numFmtId="0" fontId="19" fillId="21" borderId="70" xfId="0" applyFont="1" applyFill="1" applyBorder="1" applyAlignment="1" applyProtection="1">
      <alignment horizontal="center" vertical="center"/>
      <protection hidden="1"/>
    </xf>
    <xf numFmtId="170" fontId="19" fillId="7" borderId="22" xfId="0" applyNumberFormat="1" applyFont="1" applyFill="1" applyBorder="1" applyAlignment="1" applyProtection="1">
      <alignment horizontal="center" vertical="center" wrapText="1"/>
      <protection hidden="1"/>
    </xf>
    <xf numFmtId="11" fontId="19" fillId="7" borderId="22" xfId="0" applyNumberFormat="1" applyFont="1" applyFill="1" applyBorder="1" applyAlignment="1" applyProtection="1">
      <alignment horizontal="center" vertical="center" wrapText="1"/>
      <protection hidden="1"/>
    </xf>
    <xf numFmtId="167" fontId="19" fillId="30" borderId="9" xfId="0" applyNumberFormat="1" applyFont="1" applyFill="1" applyBorder="1" applyAlignment="1" applyProtection="1">
      <alignment horizontal="center" vertical="center" wrapText="1"/>
      <protection hidden="1"/>
    </xf>
    <xf numFmtId="0" fontId="60" fillId="30" borderId="40" xfId="0" applyFont="1" applyFill="1" applyBorder="1" applyAlignment="1" applyProtection="1">
      <alignment horizontal="center" vertical="center" wrapText="1"/>
      <protection hidden="1"/>
    </xf>
    <xf numFmtId="0" fontId="60" fillId="30" borderId="9" xfId="0" applyFont="1" applyFill="1" applyBorder="1" applyAlignment="1" applyProtection="1">
      <alignment horizontal="center" vertical="center" wrapText="1"/>
      <protection hidden="1"/>
    </xf>
    <xf numFmtId="0" fontId="60" fillId="30" borderId="43" xfId="0" applyFont="1" applyFill="1" applyBorder="1" applyAlignment="1" applyProtection="1">
      <alignment horizontal="center" vertical="center" wrapText="1"/>
      <protection hidden="1"/>
    </xf>
    <xf numFmtId="0" fontId="60" fillId="30" borderId="43" xfId="0" applyFont="1" applyFill="1" applyBorder="1" applyAlignment="1" applyProtection="1">
      <alignment vertical="center" wrapText="1"/>
      <protection hidden="1"/>
    </xf>
    <xf numFmtId="173" fontId="60" fillId="30" borderId="9" xfId="0" applyNumberFormat="1" applyFont="1" applyFill="1" applyBorder="1" applyAlignment="1" applyProtection="1">
      <alignment horizontal="center" vertical="center" wrapText="1"/>
      <protection hidden="1"/>
    </xf>
    <xf numFmtId="4" fontId="60" fillId="30" borderId="9" xfId="0" applyNumberFormat="1" applyFont="1" applyFill="1" applyBorder="1" applyAlignment="1" applyProtection="1">
      <alignment horizontal="center" vertical="center" wrapText="1"/>
      <protection hidden="1"/>
    </xf>
    <xf numFmtId="0" fontId="60" fillId="30" borderId="12" xfId="0" applyFont="1" applyFill="1" applyBorder="1" applyAlignment="1" applyProtection="1">
      <alignment horizontal="center" vertical="center" wrapText="1"/>
      <protection hidden="1"/>
    </xf>
    <xf numFmtId="0" fontId="60" fillId="30" borderId="12" xfId="0" applyFont="1" applyFill="1" applyBorder="1" applyAlignment="1" applyProtection="1">
      <alignment vertical="center" wrapText="1"/>
      <protection hidden="1"/>
    </xf>
    <xf numFmtId="0" fontId="19" fillId="30" borderId="18" xfId="0" applyFont="1" applyFill="1" applyBorder="1" applyAlignment="1" applyProtection="1">
      <alignment horizontal="center" vertical="center" wrapText="1"/>
      <protection hidden="1"/>
    </xf>
    <xf numFmtId="0" fontId="60" fillId="30" borderId="18" xfId="0" applyFont="1" applyFill="1" applyBorder="1" applyAlignment="1" applyProtection="1">
      <alignment horizontal="center" vertical="center" wrapText="1"/>
      <protection hidden="1"/>
    </xf>
    <xf numFmtId="0" fontId="25" fillId="24" borderId="6" xfId="6" applyFont="1" applyBorder="1" applyAlignment="1" applyProtection="1">
      <alignment horizontal="center" vertical="center"/>
      <protection locked="0" hidden="1"/>
    </xf>
    <xf numFmtId="166" fontId="21" fillId="6" borderId="9" xfId="0" applyNumberFormat="1" applyFont="1" applyFill="1" applyBorder="1" applyAlignment="1" applyProtection="1">
      <alignment horizontal="center" vertical="center"/>
      <protection locked="0" hidden="1"/>
    </xf>
    <xf numFmtId="166" fontId="20" fillId="5" borderId="37" xfId="0" applyNumberFormat="1" applyFont="1" applyFill="1" applyBorder="1" applyAlignment="1" applyProtection="1">
      <alignment horizontal="center" vertical="center" wrapText="1"/>
      <protection hidden="1"/>
    </xf>
    <xf numFmtId="0" fontId="25" fillId="24" borderId="8" xfId="6" applyFont="1" applyBorder="1" applyAlignment="1" applyProtection="1">
      <alignment horizontal="center" vertical="center"/>
      <protection locked="0" hidden="1"/>
    </xf>
    <xf numFmtId="166" fontId="21" fillId="6" borderId="18" xfId="0" applyNumberFormat="1" applyFont="1" applyFill="1" applyBorder="1" applyAlignment="1" applyProtection="1">
      <alignment horizontal="center" vertical="center"/>
      <protection locked="0" hidden="1"/>
    </xf>
    <xf numFmtId="166" fontId="21" fillId="7" borderId="18" xfId="0" applyNumberFormat="1" applyFont="1" applyFill="1" applyBorder="1" applyAlignment="1" applyProtection="1">
      <alignment horizontal="center" vertical="center"/>
      <protection hidden="1"/>
    </xf>
    <xf numFmtId="1" fontId="21" fillId="6" borderId="18" xfId="0" applyNumberFormat="1" applyFont="1" applyFill="1" applyBorder="1" applyAlignment="1" applyProtection="1">
      <alignment horizontal="center" vertical="center"/>
      <protection locked="0" hidden="1"/>
    </xf>
    <xf numFmtId="1" fontId="21" fillId="6" borderId="18" xfId="0" applyNumberFormat="1" applyFont="1" applyFill="1" applyBorder="1" applyAlignment="1" applyProtection="1">
      <alignment horizontal="center" vertical="center" wrapText="1"/>
      <protection locked="0" hidden="1"/>
    </xf>
    <xf numFmtId="1" fontId="21" fillId="7" borderId="36" xfId="0" applyNumberFormat="1" applyFont="1" applyFill="1" applyBorder="1" applyAlignment="1" applyProtection="1">
      <alignment horizontal="center" vertical="center" wrapText="1"/>
      <protection hidden="1"/>
    </xf>
    <xf numFmtId="0" fontId="21" fillId="6" borderId="18" xfId="0" applyFont="1" applyFill="1" applyBorder="1" applyAlignment="1" applyProtection="1">
      <alignment horizontal="center" vertical="center"/>
      <protection locked="0" hidden="1"/>
    </xf>
    <xf numFmtId="0" fontId="21" fillId="6" borderId="18" xfId="0" applyFont="1" applyFill="1" applyBorder="1" applyAlignment="1" applyProtection="1">
      <alignment horizontal="center" vertical="center" wrapText="1"/>
      <protection locked="0" hidden="1"/>
    </xf>
    <xf numFmtId="1" fontId="21" fillId="7" borderId="18" xfId="0" applyNumberFormat="1" applyFont="1" applyFill="1" applyBorder="1" applyAlignment="1" applyProtection="1">
      <alignment horizontal="center" vertical="center" wrapText="1"/>
      <protection hidden="1"/>
    </xf>
    <xf numFmtId="0" fontId="21" fillId="6" borderId="36" xfId="0" applyFont="1" applyFill="1" applyBorder="1" applyAlignment="1" applyProtection="1">
      <alignment horizontal="center" vertical="center" wrapText="1"/>
      <protection locked="0" hidden="1"/>
    </xf>
    <xf numFmtId="0" fontId="20" fillId="18" borderId="20" xfId="0" applyFont="1" applyFill="1" applyBorder="1" applyAlignment="1" applyProtection="1">
      <alignment horizontal="center" vertical="center" wrapText="1"/>
      <protection hidden="1"/>
    </xf>
    <xf numFmtId="166" fontId="21" fillId="12" borderId="14" xfId="0" applyNumberFormat="1" applyFont="1" applyFill="1" applyBorder="1" applyAlignment="1" applyProtection="1">
      <alignment horizontal="center" vertical="center" wrapText="1"/>
      <protection hidden="1"/>
    </xf>
    <xf numFmtId="2" fontId="19" fillId="0" borderId="0" xfId="0" applyNumberFormat="1" applyFont="1" applyBorder="1" applyProtection="1">
      <protection hidden="1"/>
    </xf>
    <xf numFmtId="0" fontId="19" fillId="0" borderId="2" xfId="0" applyFont="1" applyFill="1" applyBorder="1" applyProtection="1">
      <protection hidden="1"/>
    </xf>
    <xf numFmtId="0" fontId="19" fillId="0" borderId="3" xfId="0" applyFont="1" applyBorder="1" applyProtection="1">
      <protection hidden="1"/>
    </xf>
    <xf numFmtId="169" fontId="19" fillId="0" borderId="3" xfId="0" applyNumberFormat="1" applyFont="1" applyBorder="1" applyProtection="1">
      <protection hidden="1"/>
    </xf>
    <xf numFmtId="0" fontId="19" fillId="0" borderId="3" xfId="0" applyFont="1" applyFill="1" applyBorder="1" applyProtection="1">
      <protection hidden="1"/>
    </xf>
    <xf numFmtId="0" fontId="19" fillId="0" borderId="4" xfId="0" applyFont="1" applyBorder="1" applyAlignment="1" applyProtection="1">
      <alignment horizontal="center" vertical="center"/>
      <protection hidden="1"/>
    </xf>
    <xf numFmtId="0" fontId="49" fillId="5" borderId="1" xfId="0" applyFont="1" applyFill="1" applyBorder="1" applyAlignment="1" applyProtection="1">
      <alignment horizontal="center" vertical="center" wrapText="1"/>
      <protection hidden="1"/>
    </xf>
    <xf numFmtId="2" fontId="20" fillId="7" borderId="50" xfId="0" applyNumberFormat="1" applyFont="1" applyFill="1" applyBorder="1" applyAlignment="1" applyProtection="1">
      <alignment horizontal="center" vertical="center" wrapText="1"/>
      <protection hidden="1"/>
    </xf>
    <xf numFmtId="2" fontId="20" fillId="7" borderId="64" xfId="0" applyNumberFormat="1" applyFont="1" applyFill="1" applyBorder="1" applyAlignment="1" applyProtection="1">
      <alignment horizontal="center" vertical="center"/>
      <protection hidden="1"/>
    </xf>
    <xf numFmtId="2" fontId="49" fillId="7" borderId="40" xfId="0" applyNumberFormat="1" applyFont="1" applyFill="1" applyBorder="1" applyAlignment="1" applyProtection="1">
      <alignment horizontal="center" vertical="center" wrapText="1"/>
      <protection hidden="1"/>
    </xf>
    <xf numFmtId="2" fontId="21" fillId="12" borderId="34" xfId="0" applyNumberFormat="1" applyFont="1" applyFill="1" applyBorder="1" applyAlignment="1" applyProtection="1">
      <alignment horizontal="center" vertical="center" wrapText="1"/>
      <protection hidden="1"/>
    </xf>
    <xf numFmtId="0" fontId="17" fillId="0" borderId="0" xfId="0" applyFont="1"/>
    <xf numFmtId="0" fontId="17" fillId="0" borderId="0" xfId="0" applyFont="1" applyBorder="1" applyAlignment="1">
      <alignment wrapText="1"/>
    </xf>
    <xf numFmtId="0" fontId="17" fillId="0" borderId="0" xfId="0" applyFont="1" applyBorder="1"/>
    <xf numFmtId="0" fontId="17" fillId="0" borderId="0" xfId="0" applyFont="1" applyBorder="1" applyAlignment="1">
      <alignment horizontal="center" wrapText="1"/>
    </xf>
    <xf numFmtId="0" fontId="17" fillId="0" borderId="0" xfId="0" applyFont="1" applyFill="1" applyBorder="1" applyAlignment="1">
      <alignment horizontal="center"/>
    </xf>
    <xf numFmtId="0" fontId="17" fillId="31" borderId="34" xfId="0" applyFont="1" applyFill="1" applyBorder="1" applyAlignment="1">
      <alignment horizontal="center"/>
    </xf>
    <xf numFmtId="0" fontId="17" fillId="31" borderId="37" xfId="0" applyFont="1" applyFill="1" applyBorder="1" applyAlignment="1">
      <alignment horizontal="center"/>
    </xf>
    <xf numFmtId="164" fontId="17" fillId="31" borderId="32" xfId="0" applyNumberFormat="1" applyFont="1" applyFill="1" applyBorder="1" applyAlignment="1">
      <alignment horizontal="center"/>
    </xf>
    <xf numFmtId="2" fontId="17" fillId="31" borderId="42" xfId="0" applyNumberFormat="1" applyFont="1" applyFill="1" applyBorder="1" applyAlignment="1">
      <alignment horizontal="center"/>
    </xf>
    <xf numFmtId="0" fontId="17" fillId="31" borderId="36" xfId="0" applyFont="1" applyFill="1" applyBorder="1" applyAlignment="1">
      <alignment horizontal="center"/>
    </xf>
    <xf numFmtId="164" fontId="17" fillId="31" borderId="30" xfId="0" applyNumberFormat="1" applyFont="1" applyFill="1" applyBorder="1" applyAlignment="1">
      <alignment horizontal="center"/>
    </xf>
    <xf numFmtId="0" fontId="20" fillId="5" borderId="29" xfId="0" applyFont="1" applyFill="1" applyBorder="1" applyAlignment="1">
      <alignment horizontal="center" vertical="center"/>
    </xf>
    <xf numFmtId="0" fontId="20" fillId="5" borderId="66" xfId="0" applyFont="1" applyFill="1" applyBorder="1" applyAlignment="1">
      <alignment horizontal="center" vertical="center" wrapText="1"/>
    </xf>
    <xf numFmtId="0" fontId="20" fillId="5" borderId="66" xfId="0" applyFont="1" applyFill="1" applyBorder="1" applyAlignment="1">
      <alignment horizontal="center" vertical="center"/>
    </xf>
    <xf numFmtId="0" fontId="20" fillId="5" borderId="71" xfId="0" applyFont="1" applyFill="1" applyBorder="1" applyAlignment="1">
      <alignment horizontal="center" vertical="center"/>
    </xf>
    <xf numFmtId="0" fontId="28" fillId="16" borderId="70" xfId="0" applyFont="1" applyFill="1" applyBorder="1" applyAlignment="1" applyProtection="1">
      <alignment horizontal="center" vertical="center" wrapText="1"/>
      <protection hidden="1"/>
    </xf>
    <xf numFmtId="167" fontId="19" fillId="0" borderId="9" xfId="0" applyNumberFormat="1" applyFont="1" applyBorder="1" applyAlignment="1" applyProtection="1">
      <alignment horizontal="center" vertical="center"/>
      <protection hidden="1"/>
    </xf>
    <xf numFmtId="167" fontId="19" fillId="0" borderId="34" xfId="0" applyNumberFormat="1" applyFont="1" applyBorder="1" applyAlignment="1" applyProtection="1">
      <alignment horizontal="center" vertical="center"/>
      <protection hidden="1"/>
    </xf>
    <xf numFmtId="167" fontId="19" fillId="0" borderId="43" xfId="0" applyNumberFormat="1" applyFont="1" applyFill="1" applyBorder="1" applyAlignment="1" applyProtection="1">
      <alignment horizontal="center" vertical="center"/>
      <protection hidden="1"/>
    </xf>
    <xf numFmtId="167" fontId="28" fillId="7" borderId="41" xfId="0" applyNumberFormat="1" applyFont="1" applyFill="1" applyBorder="1" applyAlignment="1" applyProtection="1">
      <alignment horizontal="center" vertical="center" wrapText="1"/>
      <protection hidden="1"/>
    </xf>
    <xf numFmtId="167" fontId="28" fillId="7" borderId="34" xfId="0" applyNumberFormat="1" applyFont="1" applyFill="1" applyBorder="1" applyAlignment="1" applyProtection="1">
      <alignment horizontal="center" vertical="center" wrapText="1"/>
      <protection hidden="1"/>
    </xf>
    <xf numFmtId="167" fontId="28" fillId="7" borderId="37" xfId="0" applyNumberFormat="1" applyFont="1" applyFill="1" applyBorder="1" applyAlignment="1" applyProtection="1">
      <alignment horizontal="center" vertical="center" wrapText="1"/>
      <protection hidden="1"/>
    </xf>
    <xf numFmtId="0" fontId="20" fillId="7" borderId="1" xfId="0" applyFont="1" applyFill="1" applyBorder="1" applyAlignment="1" applyProtection="1">
      <alignment horizontal="center" vertical="center" wrapText="1"/>
      <protection hidden="1"/>
    </xf>
    <xf numFmtId="0" fontId="49" fillId="0" borderId="0" xfId="0" applyFont="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169" fontId="49" fillId="0" borderId="0" xfId="0" applyNumberFormat="1" applyFont="1" applyFill="1" applyAlignment="1" applyProtection="1">
      <protection hidden="1"/>
    </xf>
    <xf numFmtId="0" fontId="16" fillId="7" borderId="43" xfId="0" applyFont="1" applyFill="1" applyBorder="1" applyAlignment="1" applyProtection="1">
      <alignment horizontal="center" vertical="center" wrapText="1"/>
      <protection hidden="1"/>
    </xf>
    <xf numFmtId="14" fontId="16" fillId="7" borderId="43" xfId="0" applyNumberFormat="1" applyFont="1" applyFill="1" applyBorder="1" applyAlignment="1" applyProtection="1">
      <alignment horizontal="center" vertical="center" wrapText="1"/>
      <protection hidden="1"/>
    </xf>
    <xf numFmtId="166" fontId="21" fillId="6" borderId="30" xfId="0" applyNumberFormat="1" applyFont="1" applyFill="1" applyBorder="1" applyAlignment="1" applyProtection="1">
      <alignment horizontal="center" vertical="center"/>
      <protection locked="0" hidden="1"/>
    </xf>
    <xf numFmtId="2" fontId="19" fillId="0" borderId="0" xfId="0" applyNumberFormat="1" applyFont="1" applyBorder="1" applyAlignment="1" applyProtection="1">
      <alignment horizontal="center"/>
      <protection hidden="1"/>
    </xf>
    <xf numFmtId="1" fontId="31" fillId="6" borderId="45" xfId="0" applyNumberFormat="1" applyFont="1" applyFill="1" applyBorder="1" applyAlignment="1" applyProtection="1">
      <alignment horizontal="center" vertical="center" wrapText="1"/>
      <protection locked="0" hidden="1"/>
    </xf>
    <xf numFmtId="0" fontId="25" fillId="24" borderId="49" xfId="6" applyBorder="1" applyAlignment="1" applyProtection="1">
      <alignment horizontal="center" vertical="center"/>
      <protection locked="0" hidden="1"/>
    </xf>
    <xf numFmtId="0" fontId="16" fillId="20" borderId="40" xfId="0" applyFont="1" applyFill="1" applyBorder="1" applyAlignment="1" applyProtection="1">
      <alignment horizontal="center" vertical="center"/>
      <protection hidden="1"/>
    </xf>
    <xf numFmtId="0" fontId="19" fillId="20" borderId="39" xfId="0" applyFont="1" applyFill="1" applyBorder="1" applyProtection="1">
      <protection hidden="1"/>
    </xf>
    <xf numFmtId="0" fontId="16" fillId="20" borderId="41" xfId="0" applyFont="1" applyFill="1" applyBorder="1" applyAlignment="1" applyProtection="1">
      <alignment horizontal="center" vertical="center"/>
      <protection hidden="1"/>
    </xf>
    <xf numFmtId="0" fontId="28" fillId="16" borderId="32" xfId="0" applyFont="1" applyFill="1" applyBorder="1" applyAlignment="1" applyProtection="1">
      <alignment horizontal="center" vertical="center" wrapText="1"/>
      <protection hidden="1"/>
    </xf>
    <xf numFmtId="0" fontId="28" fillId="16" borderId="42" xfId="0" applyFont="1" applyFill="1" applyBorder="1" applyAlignment="1" applyProtection="1">
      <alignment horizontal="center" vertical="center" wrapText="1"/>
      <protection hidden="1"/>
    </xf>
    <xf numFmtId="167" fontId="19" fillId="0" borderId="43" xfId="0" applyNumberFormat="1" applyFont="1" applyBorder="1" applyAlignment="1" applyProtection="1">
      <alignment horizontal="center" vertical="center"/>
      <protection hidden="1"/>
    </xf>
    <xf numFmtId="167" fontId="19" fillId="0" borderId="43" xfId="0" applyNumberFormat="1" applyFont="1" applyFill="1" applyBorder="1" applyAlignment="1" applyProtection="1">
      <alignment horizontal="center" vertical="center" wrapText="1"/>
      <protection hidden="1"/>
    </xf>
    <xf numFmtId="167" fontId="19" fillId="0" borderId="37" xfId="0" applyNumberFormat="1" applyFont="1" applyBorder="1" applyAlignment="1" applyProtection="1">
      <alignment horizontal="center" vertical="center"/>
      <protection hidden="1"/>
    </xf>
    <xf numFmtId="0" fontId="68" fillId="0" borderId="0" xfId="0" applyFont="1"/>
    <xf numFmtId="0" fontId="68" fillId="0" borderId="0" xfId="0" applyFont="1" applyAlignment="1">
      <alignment horizontal="center"/>
    </xf>
    <xf numFmtId="0" fontId="49" fillId="0" borderId="0" xfId="0" applyFont="1" applyFill="1" applyBorder="1" applyAlignment="1" applyProtection="1">
      <alignment horizontal="center" vertical="center"/>
      <protection hidden="1"/>
    </xf>
    <xf numFmtId="166" fontId="68" fillId="0" borderId="0" xfId="0" applyNumberFormat="1" applyFont="1"/>
    <xf numFmtId="0" fontId="19" fillId="7" borderId="32" xfId="0" applyFont="1" applyFill="1" applyBorder="1" applyAlignment="1" applyProtection="1">
      <alignment horizontal="center" vertical="center" wrapText="1"/>
      <protection hidden="1"/>
    </xf>
    <xf numFmtId="0" fontId="19" fillId="7" borderId="9" xfId="0" applyFont="1" applyFill="1" applyBorder="1" applyAlignment="1" applyProtection="1">
      <alignment horizontal="center" vertical="center" wrapText="1"/>
      <protection hidden="1"/>
    </xf>
    <xf numFmtId="0" fontId="21" fillId="0" borderId="0" xfId="0" applyFont="1" applyFill="1" applyBorder="1" applyAlignment="1" applyProtection="1">
      <alignment vertical="center" wrapText="1"/>
      <protection locked="0" hidden="1"/>
    </xf>
    <xf numFmtId="20" fontId="19" fillId="6" borderId="1" xfId="0" applyNumberFormat="1" applyFont="1" applyFill="1" applyBorder="1" applyAlignment="1" applyProtection="1">
      <alignment horizontal="center" vertical="center" wrapText="1"/>
      <protection locked="0" hidden="1"/>
    </xf>
    <xf numFmtId="10" fontId="25" fillId="24" borderId="1" xfId="11" applyNumberFormat="1" applyFont="1" applyFill="1" applyBorder="1" applyAlignment="1" applyProtection="1">
      <alignment horizontal="center" vertical="center"/>
      <protection locked="0" hidden="1"/>
    </xf>
    <xf numFmtId="10" fontId="19" fillId="7" borderId="37" xfId="0" applyNumberFormat="1" applyFont="1" applyFill="1" applyBorder="1" applyAlignment="1" applyProtection="1">
      <alignment horizontal="center" vertical="center" wrapText="1"/>
      <protection hidden="1"/>
    </xf>
    <xf numFmtId="0" fontId="19" fillId="18" borderId="71" xfId="0" applyFont="1" applyFill="1" applyBorder="1" applyAlignment="1" applyProtection="1">
      <alignment horizontal="center" vertical="center"/>
      <protection hidden="1"/>
    </xf>
    <xf numFmtId="0" fontId="19" fillId="18" borderId="66" xfId="0" applyFont="1" applyFill="1" applyBorder="1" applyAlignment="1" applyProtection="1">
      <alignment horizontal="center" vertical="center" wrapText="1"/>
      <protection hidden="1"/>
    </xf>
    <xf numFmtId="0" fontId="19" fillId="18" borderId="66" xfId="0" applyFont="1" applyFill="1" applyBorder="1" applyAlignment="1" applyProtection="1">
      <alignment horizontal="center" vertical="center"/>
      <protection hidden="1"/>
    </xf>
    <xf numFmtId="0" fontId="19" fillId="18" borderId="72" xfId="0" applyFont="1" applyFill="1" applyBorder="1" applyAlignment="1" applyProtection="1">
      <alignment horizontal="center" vertical="center"/>
      <protection hidden="1"/>
    </xf>
    <xf numFmtId="0" fontId="19" fillId="0" borderId="39" xfId="0" applyFont="1" applyFill="1" applyBorder="1" applyAlignment="1" applyProtection="1">
      <alignment horizontal="center" vertical="center" wrapText="1"/>
      <protection hidden="1"/>
    </xf>
    <xf numFmtId="0" fontId="19" fillId="0" borderId="40" xfId="0" applyFont="1" applyFill="1" applyBorder="1" applyAlignment="1" applyProtection="1">
      <alignment horizontal="center" vertical="center" wrapText="1"/>
      <protection hidden="1"/>
    </xf>
    <xf numFmtId="0" fontId="19" fillId="0" borderId="41" xfId="0" applyFont="1" applyBorder="1" applyAlignment="1" applyProtection="1">
      <alignment horizontal="center" vertical="center" wrapText="1"/>
      <protection hidden="1"/>
    </xf>
    <xf numFmtId="10" fontId="19" fillId="7" borderId="32" xfId="0" applyNumberFormat="1" applyFont="1" applyFill="1" applyBorder="1" applyAlignment="1" applyProtection="1">
      <alignment horizontal="center" vertical="center" wrapText="1"/>
      <protection hidden="1"/>
    </xf>
    <xf numFmtId="2" fontId="19" fillId="7" borderId="34" xfId="0" applyNumberFormat="1" applyFont="1" applyFill="1" applyBorder="1" applyAlignment="1" applyProtection="1">
      <alignment horizontal="center" vertical="center" wrapText="1"/>
      <protection hidden="1"/>
    </xf>
    <xf numFmtId="2" fontId="19" fillId="7" borderId="42" xfId="0" applyNumberFormat="1" applyFont="1" applyFill="1" applyBorder="1" applyAlignment="1" applyProtection="1">
      <alignment horizontal="center" vertical="center" wrapText="1"/>
      <protection hidden="1"/>
    </xf>
    <xf numFmtId="0" fontId="19" fillId="7" borderId="32" xfId="0" applyFont="1" applyFill="1" applyBorder="1" applyAlignment="1" applyProtection="1">
      <alignment horizontal="center" vertical="center" wrapText="1"/>
      <protection hidden="1"/>
    </xf>
    <xf numFmtId="0" fontId="33" fillId="25" borderId="1" xfId="0" applyFont="1" applyFill="1" applyBorder="1" applyAlignment="1" applyProtection="1">
      <alignment horizontal="center" vertical="center"/>
      <protection hidden="1"/>
    </xf>
    <xf numFmtId="0" fontId="68" fillId="18" borderId="1" xfId="0" applyFont="1" applyFill="1" applyBorder="1" applyAlignment="1">
      <alignment horizontal="center"/>
    </xf>
    <xf numFmtId="0" fontId="49" fillId="18" borderId="8" xfId="0" applyFont="1" applyFill="1" applyBorder="1" applyAlignment="1" applyProtection="1">
      <alignment horizontal="center" vertical="center" wrapText="1"/>
      <protection hidden="1"/>
    </xf>
    <xf numFmtId="0" fontId="69" fillId="18" borderId="1" xfId="0" applyFont="1" applyFill="1" applyBorder="1" applyAlignment="1">
      <alignment horizontal="right" vertical="center"/>
    </xf>
    <xf numFmtId="0" fontId="28" fillId="0" borderId="32"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0" fillId="13" borderId="9" xfId="0" applyFont="1" applyFill="1" applyBorder="1" applyAlignment="1">
      <alignment horizontal="center" vertical="center" wrapText="1"/>
    </xf>
    <xf numFmtId="0" fontId="20" fillId="13" borderId="43" xfId="0" applyFont="1" applyFill="1" applyBorder="1" applyAlignment="1">
      <alignment horizontal="center" vertical="center" wrapText="1"/>
    </xf>
    <xf numFmtId="167" fontId="19" fillId="15" borderId="34" xfId="0" applyNumberFormat="1" applyFont="1" applyFill="1" applyBorder="1" applyAlignment="1">
      <alignment horizontal="center" vertical="center" wrapText="1"/>
    </xf>
    <xf numFmtId="167" fontId="19" fillId="15" borderId="37" xfId="0" applyNumberFormat="1" applyFont="1" applyFill="1" applyBorder="1" applyAlignment="1">
      <alignment horizontal="center" vertical="center" wrapText="1"/>
    </xf>
    <xf numFmtId="0" fontId="20" fillId="0" borderId="39" xfId="0" applyFont="1" applyBorder="1" applyAlignment="1">
      <alignment horizontal="center" vertical="center" wrapText="1"/>
    </xf>
    <xf numFmtId="20" fontId="19" fillId="0" borderId="40" xfId="0" applyNumberFormat="1" applyFont="1" applyFill="1" applyBorder="1" applyAlignment="1">
      <alignment horizontal="center" vertical="center" wrapText="1"/>
    </xf>
    <xf numFmtId="0" fontId="20" fillId="0" borderId="40" xfId="0" applyFont="1" applyFill="1" applyBorder="1" applyAlignment="1">
      <alignment horizontal="center" vertical="center" wrapText="1"/>
    </xf>
    <xf numFmtId="2" fontId="19" fillId="27" borderId="41" xfId="9" applyFont="1" applyBorder="1" applyAlignment="1">
      <alignment horizontal="center" vertical="center" wrapText="1"/>
      <protection locked="0"/>
    </xf>
    <xf numFmtId="0" fontId="21" fillId="0" borderId="0" xfId="0" applyFont="1" applyFill="1" applyAlignment="1">
      <alignment horizontal="center" vertical="center" wrapText="1"/>
    </xf>
    <xf numFmtId="0" fontId="20" fillId="0" borderId="34" xfId="0" applyFont="1" applyFill="1" applyBorder="1" applyAlignment="1">
      <alignment horizontal="center" vertical="center" wrapText="1"/>
    </xf>
    <xf numFmtId="0" fontId="50" fillId="0" borderId="0" xfId="0" applyFont="1" applyAlignment="1" applyProtection="1">
      <alignment vertical="center" wrapText="1"/>
      <protection hidden="1"/>
    </xf>
    <xf numFmtId="167" fontId="17" fillId="31" borderId="39" xfId="0" applyNumberFormat="1" applyFont="1" applyFill="1" applyBorder="1" applyAlignment="1">
      <alignment horizontal="center" vertical="center" wrapText="1"/>
    </xf>
    <xf numFmtId="167" fontId="17" fillId="31" borderId="40" xfId="0" applyNumberFormat="1" applyFont="1" applyFill="1" applyBorder="1" applyAlignment="1">
      <alignment horizontal="center" vertical="center" wrapText="1"/>
    </xf>
    <xf numFmtId="2" fontId="20" fillId="31" borderId="40" xfId="0" applyNumberFormat="1" applyFont="1" applyFill="1" applyBorder="1" applyAlignment="1">
      <alignment horizontal="center" vertical="center" wrapText="1"/>
    </xf>
    <xf numFmtId="0" fontId="17" fillId="31" borderId="40" xfId="0" applyFont="1" applyFill="1" applyBorder="1" applyAlignment="1">
      <alignment horizontal="center" vertical="center" wrapText="1"/>
    </xf>
    <xf numFmtId="167" fontId="17" fillId="31" borderId="32" xfId="0" applyNumberFormat="1" applyFont="1" applyFill="1" applyBorder="1" applyAlignment="1">
      <alignment horizontal="center" vertical="center" wrapText="1"/>
    </xf>
    <xf numFmtId="167" fontId="17" fillId="31" borderId="9" xfId="0" applyNumberFormat="1" applyFont="1" applyFill="1" applyBorder="1" applyAlignment="1">
      <alignment horizontal="center" vertical="center" wrapText="1"/>
    </xf>
    <xf numFmtId="2" fontId="20" fillId="31" borderId="9" xfId="0" applyNumberFormat="1" applyFont="1" applyFill="1" applyBorder="1" applyAlignment="1">
      <alignment horizontal="center" vertical="center" wrapText="1"/>
    </xf>
    <xf numFmtId="2" fontId="17" fillId="31" borderId="9" xfId="0" applyNumberFormat="1" applyFont="1" applyFill="1" applyBorder="1" applyAlignment="1">
      <alignment horizontal="center" vertical="center" wrapText="1"/>
    </xf>
    <xf numFmtId="2" fontId="17" fillId="31" borderId="32" xfId="0" applyNumberFormat="1" applyFont="1" applyFill="1" applyBorder="1" applyAlignment="1">
      <alignment horizontal="center" vertical="center" wrapText="1"/>
    </xf>
    <xf numFmtId="9" fontId="17" fillId="31" borderId="9" xfId="11" applyFont="1" applyFill="1" applyBorder="1" applyAlignment="1">
      <alignment horizontal="center" vertical="center" wrapText="1"/>
    </xf>
    <xf numFmtId="9" fontId="17" fillId="31" borderId="34" xfId="11" applyFont="1" applyFill="1" applyBorder="1" applyAlignment="1">
      <alignment horizontal="center" vertical="center" wrapText="1"/>
    </xf>
    <xf numFmtId="0" fontId="17" fillId="31" borderId="9" xfId="0" applyFont="1" applyFill="1" applyBorder="1" applyAlignment="1">
      <alignment horizontal="center" vertical="center" wrapText="1"/>
    </xf>
    <xf numFmtId="0" fontId="17" fillId="31" borderId="34" xfId="0" applyFont="1" applyFill="1" applyBorder="1" applyAlignment="1">
      <alignment horizontal="center" vertical="center" wrapText="1"/>
    </xf>
    <xf numFmtId="9" fontId="17" fillId="31" borderId="34" xfId="0" applyNumberFormat="1" applyFont="1" applyFill="1" applyBorder="1" applyAlignment="1">
      <alignment horizontal="center" vertical="center" wrapText="1"/>
    </xf>
    <xf numFmtId="167" fontId="17" fillId="31" borderId="42" xfId="0" applyNumberFormat="1" applyFont="1" applyFill="1" applyBorder="1" applyAlignment="1">
      <alignment horizontal="center" vertical="center" wrapText="1"/>
    </xf>
    <xf numFmtId="167" fontId="17" fillId="31" borderId="43" xfId="0" applyNumberFormat="1" applyFont="1" applyFill="1" applyBorder="1" applyAlignment="1">
      <alignment horizontal="center" vertical="center" wrapText="1"/>
    </xf>
    <xf numFmtId="2" fontId="20" fillId="31" borderId="43" xfId="0" applyNumberFormat="1" applyFont="1" applyFill="1" applyBorder="1" applyAlignment="1">
      <alignment horizontal="center" vertical="center" wrapText="1"/>
    </xf>
    <xf numFmtId="0" fontId="17" fillId="31" borderId="43" xfId="0" applyFont="1" applyFill="1" applyBorder="1" applyAlignment="1">
      <alignment horizontal="center" vertical="center" wrapText="1"/>
    </xf>
    <xf numFmtId="167" fontId="17" fillId="31" borderId="1" xfId="0" applyNumberFormat="1" applyFont="1" applyFill="1" applyBorder="1" applyAlignment="1">
      <alignment horizontal="center" vertical="center" wrapText="1"/>
    </xf>
    <xf numFmtId="0" fontId="17" fillId="0" borderId="0" xfId="0" applyFont="1" applyAlignment="1">
      <alignment horizontal="center" vertical="center" wrapText="1"/>
    </xf>
    <xf numFmtId="0" fontId="17" fillId="0" borderId="0" xfId="0" applyFont="1" applyBorder="1" applyAlignment="1">
      <alignment horizontal="center" vertical="center" wrapText="1"/>
    </xf>
    <xf numFmtId="0" fontId="20" fillId="31" borderId="19" xfId="0" applyFont="1" applyFill="1" applyBorder="1" applyAlignment="1">
      <alignment horizontal="center" vertical="center" wrapText="1"/>
    </xf>
    <xf numFmtId="0" fontId="20" fillId="31" borderId="22" xfId="0" applyFont="1" applyFill="1" applyBorder="1" applyAlignment="1">
      <alignment horizontal="center" vertical="center" wrapText="1"/>
    </xf>
    <xf numFmtId="0" fontId="20" fillId="31" borderId="20" xfId="0" applyFont="1" applyFill="1" applyBorder="1" applyAlignment="1">
      <alignment horizontal="center" vertical="center" wrapText="1"/>
    </xf>
    <xf numFmtId="167" fontId="17" fillId="31" borderId="30" xfId="0" applyNumberFormat="1" applyFont="1" applyFill="1" applyBorder="1" applyAlignment="1">
      <alignment horizontal="center" vertical="center" wrapText="1"/>
    </xf>
    <xf numFmtId="0" fontId="17" fillId="31" borderId="36" xfId="0" applyFont="1" applyFill="1" applyBorder="1" applyAlignment="1">
      <alignment horizontal="center" vertical="center" wrapText="1"/>
    </xf>
    <xf numFmtId="2" fontId="17" fillId="31" borderId="39" xfId="0" applyNumberFormat="1" applyFont="1" applyFill="1" applyBorder="1" applyAlignment="1">
      <alignment horizontal="center" vertical="center" wrapText="1"/>
    </xf>
    <xf numFmtId="9" fontId="17" fillId="31" borderId="40" xfId="11" applyFont="1" applyFill="1" applyBorder="1" applyAlignment="1">
      <alignment horizontal="center" vertical="center" wrapText="1"/>
    </xf>
    <xf numFmtId="9" fontId="17" fillId="31" borderId="41" xfId="11" applyFont="1" applyFill="1" applyBorder="1" applyAlignment="1">
      <alignment horizontal="center" vertical="center" wrapText="1"/>
    </xf>
    <xf numFmtId="0" fontId="17" fillId="31" borderId="32" xfId="0" applyFont="1" applyFill="1" applyBorder="1" applyAlignment="1">
      <alignment horizontal="center" vertical="center" wrapText="1"/>
    </xf>
    <xf numFmtId="0" fontId="17" fillId="31" borderId="42" xfId="0" applyFont="1" applyFill="1" applyBorder="1" applyAlignment="1">
      <alignment horizontal="center" vertical="center" wrapText="1"/>
    </xf>
    <xf numFmtId="0" fontId="17" fillId="31" borderId="37" xfId="0" applyFont="1" applyFill="1" applyBorder="1" applyAlignment="1">
      <alignment horizontal="center" vertical="center" wrapText="1"/>
    </xf>
    <xf numFmtId="2" fontId="17" fillId="31" borderId="42" xfId="0" applyNumberFormat="1" applyFont="1" applyFill="1" applyBorder="1" applyAlignment="1">
      <alignment horizontal="center" vertical="center" wrapText="1"/>
    </xf>
    <xf numFmtId="9" fontId="17" fillId="31" borderId="43" xfId="11" applyFont="1" applyFill="1" applyBorder="1" applyAlignment="1">
      <alignment horizontal="center" vertical="center" wrapText="1"/>
    </xf>
    <xf numFmtId="9" fontId="17" fillId="31" borderId="37" xfId="0" applyNumberFormat="1" applyFont="1" applyFill="1" applyBorder="1" applyAlignment="1">
      <alignment horizontal="center" vertical="center" wrapText="1"/>
    </xf>
    <xf numFmtId="0" fontId="20" fillId="31" borderId="57" xfId="0" applyFont="1" applyFill="1" applyBorder="1" applyAlignment="1">
      <alignment horizontal="center" vertical="center" wrapText="1"/>
    </xf>
    <xf numFmtId="0" fontId="20" fillId="31" borderId="35" xfId="0" applyFont="1" applyFill="1" applyBorder="1" applyAlignment="1">
      <alignment horizontal="center" vertical="center" wrapText="1"/>
    </xf>
    <xf numFmtId="0" fontId="20" fillId="31" borderId="55" xfId="0" applyFont="1" applyFill="1" applyBorder="1" applyAlignment="1">
      <alignment horizontal="center" vertical="center" wrapText="1"/>
    </xf>
    <xf numFmtId="0" fontId="20" fillId="31" borderId="39" xfId="0" applyFont="1" applyFill="1" applyBorder="1" applyAlignment="1">
      <alignment horizontal="center" vertical="center" wrapText="1"/>
    </xf>
    <xf numFmtId="0" fontId="20" fillId="31" borderId="40" xfId="0" applyFont="1" applyFill="1" applyBorder="1" applyAlignment="1">
      <alignment horizontal="center" vertical="center" wrapText="1"/>
    </xf>
    <xf numFmtId="0" fontId="20" fillId="31" borderId="41" xfId="0" applyFont="1" applyFill="1" applyBorder="1" applyAlignment="1">
      <alignment horizontal="center" vertical="center" wrapText="1"/>
    </xf>
    <xf numFmtId="0" fontId="20" fillId="31" borderId="32" xfId="0" applyFont="1" applyFill="1" applyBorder="1" applyAlignment="1">
      <alignment horizontal="center" vertical="center" wrapText="1"/>
    </xf>
    <xf numFmtId="0" fontId="20" fillId="31" borderId="9" xfId="0" applyFont="1" applyFill="1" applyBorder="1" applyAlignment="1">
      <alignment horizontal="center" vertical="center" wrapText="1"/>
    </xf>
    <xf numFmtId="0" fontId="20" fillId="31" borderId="34" xfId="0" applyFont="1" applyFill="1" applyBorder="1" applyAlignment="1">
      <alignment horizontal="center" vertical="center" wrapText="1"/>
    </xf>
    <xf numFmtId="2" fontId="19" fillId="7" borderId="9" xfId="0" applyNumberFormat="1" applyFont="1" applyFill="1" applyBorder="1" applyAlignment="1" applyProtection="1">
      <alignment horizontal="center" vertical="center"/>
      <protection hidden="1"/>
    </xf>
    <xf numFmtId="2" fontId="19" fillId="7" borderId="43" xfId="0" applyNumberFormat="1" applyFont="1" applyFill="1" applyBorder="1" applyAlignment="1" applyProtection="1">
      <alignment horizontal="center" vertical="center"/>
      <protection hidden="1"/>
    </xf>
    <xf numFmtId="2" fontId="19" fillId="7" borderId="40" xfId="0" applyNumberFormat="1" applyFont="1" applyFill="1" applyBorder="1" applyAlignment="1" applyProtection="1">
      <alignment horizontal="center" vertical="center"/>
      <protection hidden="1"/>
    </xf>
    <xf numFmtId="184" fontId="14" fillId="7" borderId="43" xfId="0" applyNumberFormat="1" applyFont="1" applyFill="1" applyBorder="1" applyAlignment="1" applyProtection="1">
      <alignment horizontal="center" vertical="center" wrapText="1"/>
      <protection hidden="1"/>
    </xf>
    <xf numFmtId="0" fontId="14" fillId="5" borderId="43" xfId="0" applyFont="1" applyFill="1" applyBorder="1" applyAlignment="1" applyProtection="1">
      <alignment horizontal="center" vertical="center" wrapText="1"/>
      <protection hidden="1"/>
    </xf>
    <xf numFmtId="0" fontId="14" fillId="7" borderId="43" xfId="0" applyFont="1" applyFill="1" applyBorder="1" applyAlignment="1" applyProtection="1">
      <alignment horizontal="center" vertical="center" wrapText="1"/>
      <protection hidden="1"/>
    </xf>
    <xf numFmtId="170" fontId="14" fillId="7" borderId="43" xfId="0" applyNumberFormat="1" applyFont="1" applyFill="1" applyBorder="1" applyAlignment="1" applyProtection="1">
      <alignment horizontal="center" vertical="center" wrapText="1"/>
      <protection hidden="1"/>
    </xf>
    <xf numFmtId="1" fontId="14" fillId="7" borderId="43" xfId="0" applyNumberFormat="1" applyFont="1" applyFill="1" applyBorder="1" applyAlignment="1" applyProtection="1">
      <alignment horizontal="center" vertical="center" wrapText="1"/>
      <protection hidden="1"/>
    </xf>
    <xf numFmtId="168" fontId="14" fillId="7" borderId="43" xfId="0" applyNumberFormat="1" applyFont="1" applyFill="1" applyBorder="1" applyAlignment="1" applyProtection="1">
      <alignment horizontal="center" vertical="center" wrapText="1"/>
      <protection hidden="1"/>
    </xf>
    <xf numFmtId="0" fontId="14" fillId="5" borderId="9" xfId="0" applyFont="1" applyFill="1" applyBorder="1" applyAlignment="1" applyProtection="1">
      <alignment horizontal="center" vertical="center" wrapText="1"/>
      <protection hidden="1"/>
    </xf>
    <xf numFmtId="0" fontId="14" fillId="0" borderId="0" xfId="0" applyFont="1" applyAlignment="1" applyProtection="1">
      <alignment vertical="center" wrapText="1"/>
      <protection hidden="1"/>
    </xf>
    <xf numFmtId="0" fontId="14" fillId="7" borderId="9" xfId="0" applyFont="1" applyFill="1" applyBorder="1" applyAlignment="1" applyProtection="1">
      <alignment horizontal="center" vertical="center" wrapText="1"/>
      <protection hidden="1"/>
    </xf>
    <xf numFmtId="168" fontId="14" fillId="7" borderId="9" xfId="0" applyNumberFormat="1" applyFont="1" applyFill="1" applyBorder="1" applyAlignment="1" applyProtection="1">
      <alignment horizontal="center" vertical="center" wrapText="1"/>
      <protection hidden="1"/>
    </xf>
    <xf numFmtId="165" fontId="14" fillId="7" borderId="9" xfId="0" applyNumberFormat="1" applyFont="1" applyFill="1" applyBorder="1" applyAlignment="1" applyProtection="1">
      <alignment horizontal="center" vertical="center" wrapText="1"/>
      <protection hidden="1"/>
    </xf>
    <xf numFmtId="2" fontId="14" fillId="7" borderId="9" xfId="0" applyNumberFormat="1" applyFont="1" applyFill="1" applyBorder="1" applyAlignment="1" applyProtection="1">
      <alignment horizontal="center" vertical="center" wrapText="1"/>
      <protection hidden="1"/>
    </xf>
    <xf numFmtId="14" fontId="14" fillId="5" borderId="9" xfId="0" applyNumberFormat="1" applyFont="1" applyFill="1" applyBorder="1" applyAlignment="1" applyProtection="1">
      <alignment horizontal="center" vertical="center" wrapText="1"/>
      <protection hidden="1"/>
    </xf>
    <xf numFmtId="165" fontId="14" fillId="5" borderId="9" xfId="0" applyNumberFormat="1" applyFont="1" applyFill="1" applyBorder="1" applyAlignment="1" applyProtection="1">
      <alignment horizontal="center" vertical="center" wrapText="1"/>
      <protection hidden="1"/>
    </xf>
    <xf numFmtId="1" fontId="14" fillId="7" borderId="9" xfId="0" applyNumberFormat="1" applyFont="1" applyFill="1" applyBorder="1" applyAlignment="1" applyProtection="1">
      <alignment horizontal="center" vertical="center" wrapText="1"/>
      <protection hidden="1"/>
    </xf>
    <xf numFmtId="164" fontId="14" fillId="7" borderId="9" xfId="0" applyNumberFormat="1" applyFont="1" applyFill="1" applyBorder="1" applyAlignment="1" applyProtection="1">
      <alignment horizontal="center" vertical="center" wrapText="1"/>
      <protection hidden="1"/>
    </xf>
    <xf numFmtId="170" fontId="14" fillId="7" borderId="9" xfId="0" applyNumberFormat="1" applyFont="1" applyFill="1" applyBorder="1" applyAlignment="1" applyProtection="1">
      <alignment horizontal="center" vertical="center" wrapText="1"/>
      <protection hidden="1"/>
    </xf>
    <xf numFmtId="166" fontId="14" fillId="7" borderId="9" xfId="0" applyNumberFormat="1" applyFont="1" applyFill="1" applyBorder="1" applyAlignment="1" applyProtection="1">
      <alignment horizontal="center" vertical="center" wrapText="1"/>
      <protection hidden="1"/>
    </xf>
    <xf numFmtId="184" fontId="14" fillId="7" borderId="9" xfId="0" applyNumberFormat="1" applyFont="1" applyFill="1" applyBorder="1" applyAlignment="1" applyProtection="1">
      <alignment horizontal="center" vertical="center" wrapText="1"/>
      <protection hidden="1"/>
    </xf>
    <xf numFmtId="181" fontId="14" fillId="0" borderId="0" xfId="0" applyNumberFormat="1" applyFont="1" applyAlignment="1" applyProtection="1">
      <alignment vertical="center" wrapText="1"/>
      <protection hidden="1"/>
    </xf>
    <xf numFmtId="0" fontId="14" fillId="7" borderId="40" xfId="0" applyFont="1" applyFill="1" applyBorder="1" applyAlignment="1" applyProtection="1">
      <alignment horizontal="center" vertical="center" wrapText="1"/>
      <protection hidden="1"/>
    </xf>
    <xf numFmtId="0" fontId="14" fillId="5" borderId="40" xfId="0" applyFont="1" applyFill="1" applyBorder="1" applyAlignment="1" applyProtection="1">
      <alignment horizontal="center" vertical="center" wrapText="1"/>
      <protection hidden="1"/>
    </xf>
    <xf numFmtId="168" fontId="14" fillId="7" borderId="40" xfId="0" applyNumberFormat="1" applyFont="1" applyFill="1" applyBorder="1" applyAlignment="1" applyProtection="1">
      <alignment horizontal="center" vertical="center" wrapText="1"/>
      <protection hidden="1"/>
    </xf>
    <xf numFmtId="0" fontId="14" fillId="5" borderId="31" xfId="0" applyFont="1" applyFill="1" applyBorder="1" applyAlignment="1" applyProtection="1">
      <alignment horizontal="center" vertical="center" wrapText="1"/>
      <protection hidden="1"/>
    </xf>
    <xf numFmtId="2" fontId="14" fillId="7" borderId="43" xfId="0" applyNumberFormat="1" applyFont="1" applyFill="1" applyBorder="1" applyAlignment="1" applyProtection="1">
      <alignment horizontal="center" vertical="center" wrapText="1"/>
      <protection hidden="1"/>
    </xf>
    <xf numFmtId="0" fontId="14" fillId="0" borderId="0" xfId="0" applyFont="1" applyBorder="1" applyAlignment="1" applyProtection="1">
      <alignment vertical="center" wrapText="1"/>
      <protection hidden="1"/>
    </xf>
    <xf numFmtId="20" fontId="12" fillId="6" borderId="1" xfId="0" applyNumberFormat="1" applyFont="1" applyFill="1" applyBorder="1" applyAlignment="1" applyProtection="1">
      <alignment horizontal="center" vertical="center" wrapText="1"/>
      <protection locked="0" hidden="1"/>
    </xf>
    <xf numFmtId="2" fontId="21" fillId="7" borderId="40" xfId="0" applyNumberFormat="1" applyFont="1" applyFill="1" applyBorder="1" applyAlignment="1" applyProtection="1">
      <alignment horizontal="center" vertical="center" wrapText="1"/>
      <protection hidden="1"/>
    </xf>
    <xf numFmtId="2" fontId="21" fillId="12" borderId="9" xfId="0" applyNumberFormat="1" applyFont="1" applyFill="1" applyBorder="1" applyAlignment="1" applyProtection="1">
      <alignment horizontal="center" vertical="center" wrapText="1"/>
      <protection hidden="1"/>
    </xf>
    <xf numFmtId="0" fontId="49" fillId="2" borderId="42" xfId="0" applyFont="1" applyFill="1" applyBorder="1" applyAlignment="1" applyProtection="1">
      <alignment horizontal="center" vertical="center" wrapText="1"/>
      <protection hidden="1"/>
    </xf>
    <xf numFmtId="2" fontId="49" fillId="2" borderId="43" xfId="0" applyNumberFormat="1" applyFont="1" applyFill="1" applyBorder="1" applyAlignment="1" applyProtection="1">
      <alignment horizontal="center" vertical="center" wrapText="1"/>
      <protection hidden="1"/>
    </xf>
    <xf numFmtId="0" fontId="49" fillId="2" borderId="43" xfId="0" applyFont="1" applyFill="1" applyBorder="1" applyAlignment="1" applyProtection="1">
      <alignment horizontal="center" vertical="center" wrapText="1"/>
      <protection hidden="1"/>
    </xf>
    <xf numFmtId="0" fontId="49" fillId="2" borderId="37" xfId="0" applyFont="1" applyFill="1" applyBorder="1" applyAlignment="1" applyProtection="1">
      <alignment horizontal="center" vertical="center" wrapText="1"/>
      <protection hidden="1"/>
    </xf>
    <xf numFmtId="0" fontId="49" fillId="2" borderId="38" xfId="0" applyFont="1" applyFill="1" applyBorder="1" applyAlignment="1" applyProtection="1">
      <alignment horizontal="center" vertical="center" wrapText="1"/>
      <protection hidden="1"/>
    </xf>
    <xf numFmtId="0" fontId="28" fillId="18" borderId="32" xfId="0" applyFont="1" applyFill="1" applyBorder="1" applyAlignment="1" applyProtection="1">
      <alignment horizontal="center" vertical="center" wrapText="1"/>
      <protection hidden="1"/>
    </xf>
    <xf numFmtId="0" fontId="28" fillId="18" borderId="9" xfId="0" applyFont="1" applyFill="1" applyBorder="1" applyAlignment="1" applyProtection="1">
      <alignment horizontal="center" vertical="center" wrapText="1"/>
      <protection hidden="1"/>
    </xf>
    <xf numFmtId="0" fontId="28" fillId="18" borderId="34" xfId="0" applyFont="1" applyFill="1" applyBorder="1" applyAlignment="1" applyProtection="1">
      <alignment horizontal="center" vertical="center" wrapText="1"/>
      <protection hidden="1"/>
    </xf>
    <xf numFmtId="0" fontId="49" fillId="0" borderId="0" xfId="0" applyFont="1" applyAlignment="1" applyProtection="1">
      <alignment horizontal="center" vertical="center"/>
      <protection hidden="1"/>
    </xf>
    <xf numFmtId="167" fontId="19" fillId="6" borderId="9" xfId="0" applyNumberFormat="1" applyFont="1" applyFill="1" applyBorder="1" applyAlignment="1" applyProtection="1">
      <alignment horizontal="center" vertical="center" wrapText="1"/>
      <protection locked="0"/>
    </xf>
    <xf numFmtId="167" fontId="19" fillId="6" borderId="34" xfId="0" applyNumberFormat="1" applyFont="1" applyFill="1" applyBorder="1" applyAlignment="1" applyProtection="1">
      <alignment horizontal="center" vertical="center" wrapText="1"/>
      <protection locked="0"/>
    </xf>
    <xf numFmtId="49" fontId="8" fillId="30" borderId="1" xfId="0" applyNumberFormat="1" applyFont="1" applyFill="1" applyBorder="1" applyAlignment="1" applyProtection="1">
      <alignment horizontal="center" vertical="center"/>
      <protection locked="0" hidden="1"/>
    </xf>
    <xf numFmtId="0" fontId="8" fillId="0" borderId="0" xfId="0" applyFont="1" applyAlignment="1" applyProtection="1">
      <alignment vertical="center" wrapText="1"/>
      <protection hidden="1"/>
    </xf>
    <xf numFmtId="0" fontId="20" fillId="0" borderId="0" xfId="0" applyFont="1" applyFill="1" applyBorder="1" applyAlignment="1" applyProtection="1">
      <alignment horizontal="center" vertical="center" wrapText="1"/>
      <protection hidden="1"/>
    </xf>
    <xf numFmtId="0" fontId="19" fillId="7" borderId="9" xfId="0" applyFont="1" applyFill="1" applyBorder="1" applyAlignment="1" applyProtection="1">
      <alignment horizontal="center" vertical="center" wrapText="1"/>
      <protection hidden="1"/>
    </xf>
    <xf numFmtId="0" fontId="19" fillId="6" borderId="39" xfId="0" applyFont="1" applyFill="1" applyBorder="1" applyAlignment="1" applyProtection="1">
      <alignment horizontal="center" vertical="center"/>
      <protection hidden="1"/>
    </xf>
    <xf numFmtId="0" fontId="19" fillId="6" borderId="40" xfId="0" applyFont="1" applyFill="1" applyBorder="1" applyAlignment="1" applyProtection="1">
      <alignment horizontal="center" vertical="center"/>
      <protection hidden="1"/>
    </xf>
    <xf numFmtId="167" fontId="19" fillId="6" borderId="40" xfId="0" applyNumberFormat="1" applyFont="1" applyFill="1" applyBorder="1" applyAlignment="1" applyProtection="1">
      <alignment horizontal="center" vertical="center"/>
      <protection hidden="1"/>
    </xf>
    <xf numFmtId="0" fontId="19" fillId="6" borderId="72" xfId="0" applyFont="1" applyFill="1" applyBorder="1" applyAlignment="1" applyProtection="1">
      <alignment horizontal="center" vertical="center"/>
      <protection hidden="1"/>
    </xf>
    <xf numFmtId="0" fontId="19" fillId="6" borderId="32" xfId="0" applyFont="1" applyFill="1" applyBorder="1" applyAlignment="1" applyProtection="1">
      <alignment horizontal="center" vertical="center"/>
      <protection hidden="1"/>
    </xf>
    <xf numFmtId="0" fontId="19" fillId="6" borderId="18" xfId="0" applyFont="1" applyFill="1" applyBorder="1" applyAlignment="1" applyProtection="1">
      <alignment horizontal="center" vertical="center"/>
      <protection hidden="1"/>
    </xf>
    <xf numFmtId="167" fontId="19" fillId="6" borderId="18" xfId="0" applyNumberFormat="1" applyFont="1" applyFill="1" applyBorder="1" applyAlignment="1" applyProtection="1">
      <alignment horizontal="center" vertical="center"/>
      <protection hidden="1"/>
    </xf>
    <xf numFmtId="0" fontId="19" fillId="6" borderId="34" xfId="0" applyFont="1" applyFill="1" applyBorder="1" applyAlignment="1" applyProtection="1">
      <alignment horizontal="center" vertical="center"/>
      <protection hidden="1"/>
    </xf>
    <xf numFmtId="167" fontId="19" fillId="6" borderId="42" xfId="0" applyNumberFormat="1" applyFont="1" applyFill="1" applyBorder="1" applyAlignment="1" applyProtection="1">
      <alignment horizontal="center" vertical="center"/>
      <protection hidden="1"/>
    </xf>
    <xf numFmtId="0" fontId="19" fillId="6" borderId="52" xfId="0" applyFont="1" applyFill="1" applyBorder="1" applyAlignment="1" applyProtection="1">
      <alignment horizontal="center" vertical="center"/>
      <protection hidden="1"/>
    </xf>
    <xf numFmtId="167" fontId="19" fillId="6" borderId="52" xfId="0" applyNumberFormat="1" applyFont="1" applyFill="1" applyBorder="1" applyAlignment="1" applyProtection="1">
      <alignment horizontal="center" vertical="center"/>
      <protection hidden="1"/>
    </xf>
    <xf numFmtId="0" fontId="19" fillId="6" borderId="37" xfId="0" applyFont="1" applyFill="1" applyBorder="1" applyAlignment="1" applyProtection="1">
      <alignment horizontal="center" vertical="center"/>
      <protection hidden="1"/>
    </xf>
    <xf numFmtId="0" fontId="19" fillId="6" borderId="41" xfId="0" applyFont="1" applyFill="1" applyBorder="1" applyAlignment="1" applyProtection="1">
      <alignment horizontal="center" vertical="center"/>
      <protection hidden="1"/>
    </xf>
    <xf numFmtId="167" fontId="19" fillId="6" borderId="32" xfId="0" applyNumberFormat="1" applyFont="1" applyFill="1" applyBorder="1" applyAlignment="1" applyProtection="1">
      <alignment horizontal="center" vertical="center"/>
      <protection hidden="1"/>
    </xf>
    <xf numFmtId="167" fontId="19" fillId="6" borderId="9" xfId="0" applyNumberFormat="1" applyFont="1" applyFill="1" applyBorder="1" applyAlignment="1" applyProtection="1">
      <alignment horizontal="center" vertical="center"/>
      <protection hidden="1"/>
    </xf>
    <xf numFmtId="167" fontId="19" fillId="6" borderId="43" xfId="0" applyNumberFormat="1" applyFont="1" applyFill="1" applyBorder="1" applyAlignment="1" applyProtection="1">
      <alignment horizontal="center" vertical="center"/>
      <protection hidden="1"/>
    </xf>
    <xf numFmtId="166" fontId="19" fillId="6" borderId="40" xfId="0" applyNumberFormat="1" applyFont="1" applyFill="1" applyBorder="1" applyAlignment="1" applyProtection="1">
      <alignment horizontal="center" vertical="center"/>
      <protection hidden="1"/>
    </xf>
    <xf numFmtId="166" fontId="19" fillId="6" borderId="41" xfId="0" applyNumberFormat="1" applyFont="1" applyFill="1" applyBorder="1" applyAlignment="1" applyProtection="1">
      <alignment horizontal="center" vertical="center"/>
      <protection hidden="1"/>
    </xf>
    <xf numFmtId="0" fontId="19" fillId="6" borderId="9" xfId="0" applyFont="1" applyFill="1" applyBorder="1" applyAlignment="1" applyProtection="1">
      <alignment horizontal="center" vertical="center"/>
      <protection hidden="1"/>
    </xf>
    <xf numFmtId="166" fontId="19" fillId="6" borderId="9" xfId="0" applyNumberFormat="1" applyFont="1" applyFill="1" applyBorder="1" applyAlignment="1" applyProtection="1">
      <alignment horizontal="center" vertical="center"/>
      <protection hidden="1"/>
    </xf>
    <xf numFmtId="166" fontId="19" fillId="6" borderId="42" xfId="0" applyNumberFormat="1" applyFont="1" applyFill="1" applyBorder="1" applyAlignment="1" applyProtection="1">
      <alignment horizontal="center" vertical="center"/>
      <protection hidden="1"/>
    </xf>
    <xf numFmtId="0" fontId="19" fillId="6" borderId="43" xfId="0" applyFont="1" applyFill="1" applyBorder="1" applyAlignment="1" applyProtection="1">
      <alignment horizontal="center" vertical="center"/>
      <protection hidden="1"/>
    </xf>
    <xf numFmtId="166" fontId="19" fillId="6" borderId="43" xfId="0" applyNumberFormat="1" applyFont="1" applyFill="1" applyBorder="1" applyAlignment="1" applyProtection="1">
      <alignment horizontal="center" vertical="center"/>
      <protection hidden="1"/>
    </xf>
    <xf numFmtId="169" fontId="19" fillId="6" borderId="9" xfId="0" applyNumberFormat="1" applyFont="1" applyFill="1" applyBorder="1" applyAlignment="1" applyProtection="1">
      <alignment horizontal="center" vertical="center" wrapText="1"/>
      <protection hidden="1"/>
    </xf>
    <xf numFmtId="0" fontId="60" fillId="6" borderId="11" xfId="0" applyFont="1" applyFill="1" applyBorder="1" applyAlignment="1" applyProtection="1">
      <alignment horizontal="center" vertical="center" wrapText="1"/>
      <protection hidden="1"/>
    </xf>
    <xf numFmtId="0" fontId="60" fillId="6" borderId="54" xfId="0" applyFont="1" applyFill="1" applyBorder="1" applyAlignment="1" applyProtection="1">
      <alignment horizontal="center" vertical="center" wrapText="1"/>
      <protection hidden="1"/>
    </xf>
    <xf numFmtId="167" fontId="60" fillId="6" borderId="54" xfId="0" applyNumberFormat="1" applyFont="1" applyFill="1" applyBorder="1" applyAlignment="1" applyProtection="1">
      <alignment horizontal="center" vertical="center" wrapText="1"/>
      <protection hidden="1"/>
    </xf>
    <xf numFmtId="0" fontId="60" fillId="6" borderId="34" xfId="0" applyFont="1" applyFill="1" applyBorder="1" applyAlignment="1" applyProtection="1">
      <alignment horizontal="center" vertical="center" wrapText="1"/>
      <protection hidden="1"/>
    </xf>
    <xf numFmtId="0" fontId="60" fillId="6" borderId="37" xfId="0" applyFont="1" applyFill="1" applyBorder="1" applyAlignment="1" applyProtection="1">
      <alignment horizontal="center" vertical="center" wrapText="1"/>
      <protection hidden="1"/>
    </xf>
    <xf numFmtId="2" fontId="19" fillId="6" borderId="9" xfId="0" applyNumberFormat="1" applyFont="1" applyFill="1" applyBorder="1" applyAlignment="1" applyProtection="1">
      <alignment horizontal="center" vertical="center"/>
      <protection hidden="1"/>
    </xf>
    <xf numFmtId="0" fontId="19" fillId="0" borderId="5" xfId="0" applyFont="1" applyBorder="1" applyAlignment="1" applyProtection="1">
      <protection hidden="1"/>
    </xf>
    <xf numFmtId="3" fontId="49" fillId="32" borderId="70" xfId="0" applyNumberFormat="1" applyFont="1" applyFill="1" applyBorder="1" applyAlignment="1">
      <alignment vertical="center" wrapText="1"/>
    </xf>
    <xf numFmtId="3" fontId="49" fillId="32" borderId="69" xfId="0" applyNumberFormat="1" applyFont="1" applyFill="1" applyBorder="1" applyAlignment="1">
      <alignment horizontal="center" vertical="center" wrapText="1"/>
    </xf>
    <xf numFmtId="3" fontId="49" fillId="32" borderId="49" xfId="0" applyNumberFormat="1" applyFont="1" applyFill="1" applyBorder="1" applyAlignment="1">
      <alignment horizontal="center" wrapText="1"/>
    </xf>
    <xf numFmtId="0" fontId="20" fillId="5" borderId="22" xfId="0" applyFont="1" applyFill="1" applyBorder="1" applyAlignment="1" applyProtection="1">
      <alignment horizontal="center" vertical="center" wrapText="1"/>
      <protection hidden="1"/>
    </xf>
    <xf numFmtId="0" fontId="20" fillId="5" borderId="20" xfId="0" applyFont="1" applyFill="1" applyBorder="1" applyAlignment="1" applyProtection="1">
      <alignment horizontal="center" vertical="center" wrapText="1"/>
      <protection hidden="1"/>
    </xf>
    <xf numFmtId="167" fontId="21" fillId="7" borderId="40" xfId="0" applyNumberFormat="1" applyFont="1" applyFill="1" applyBorder="1" applyAlignment="1" applyProtection="1">
      <alignment horizontal="center" vertical="center" wrapText="1"/>
      <protection hidden="1"/>
    </xf>
    <xf numFmtId="167" fontId="21" fillId="7" borderId="9" xfId="0" applyNumberFormat="1" applyFont="1" applyFill="1" applyBorder="1" applyAlignment="1" applyProtection="1">
      <alignment horizontal="center" vertical="center" wrapText="1"/>
      <protection hidden="1"/>
    </xf>
    <xf numFmtId="167" fontId="21" fillId="7" borderId="43" xfId="0" applyNumberFormat="1" applyFont="1" applyFill="1" applyBorder="1" applyAlignment="1" applyProtection="1">
      <alignment horizontal="center" vertical="center" wrapText="1"/>
      <protection hidden="1"/>
    </xf>
    <xf numFmtId="0" fontId="20" fillId="5" borderId="21" xfId="0" applyFont="1" applyFill="1" applyBorder="1" applyAlignment="1" applyProtection="1">
      <alignment horizontal="center" vertical="center" wrapText="1"/>
      <protection hidden="1"/>
    </xf>
    <xf numFmtId="0" fontId="20" fillId="5" borderId="39" xfId="0" applyFont="1" applyFill="1" applyBorder="1" applyAlignment="1" applyProtection="1">
      <alignment horizontal="center" vertical="center" wrapText="1"/>
      <protection hidden="1"/>
    </xf>
    <xf numFmtId="0" fontId="7" fillId="7" borderId="40" xfId="0" applyFont="1" applyFill="1" applyBorder="1" applyAlignment="1" applyProtection="1">
      <alignment horizontal="center" vertical="center" wrapText="1"/>
      <protection hidden="1"/>
    </xf>
    <xf numFmtId="0" fontId="7" fillId="7" borderId="9" xfId="0" applyFont="1" applyFill="1" applyBorder="1" applyAlignment="1" applyProtection="1">
      <alignment horizontal="center" vertical="center" wrapText="1"/>
      <protection hidden="1"/>
    </xf>
    <xf numFmtId="0" fontId="7" fillId="7" borderId="43" xfId="0" applyFont="1" applyFill="1" applyBorder="1" applyAlignment="1" applyProtection="1">
      <alignment horizontal="center" vertical="center" wrapText="1"/>
      <protection hidden="1"/>
    </xf>
    <xf numFmtId="1" fontId="7" fillId="7" borderId="40" xfId="0" applyNumberFormat="1" applyFont="1" applyFill="1" applyBorder="1" applyAlignment="1" applyProtection="1">
      <alignment vertical="center" wrapText="1"/>
      <protection hidden="1"/>
    </xf>
    <xf numFmtId="1" fontId="7" fillId="7" borderId="9" xfId="0" applyNumberFormat="1" applyFont="1" applyFill="1" applyBorder="1" applyAlignment="1" applyProtection="1">
      <alignment vertical="center" wrapText="1"/>
      <protection hidden="1"/>
    </xf>
    <xf numFmtId="167" fontId="19" fillId="7" borderId="40" xfId="0" applyNumberFormat="1" applyFont="1" applyFill="1" applyBorder="1" applyAlignment="1" applyProtection="1">
      <alignment horizontal="center" vertical="center"/>
      <protection hidden="1"/>
    </xf>
    <xf numFmtId="167" fontId="19" fillId="7" borderId="9" xfId="0" applyNumberFormat="1" applyFont="1" applyFill="1" applyBorder="1" applyAlignment="1" applyProtection="1">
      <alignment horizontal="center" vertical="center"/>
      <protection hidden="1"/>
    </xf>
    <xf numFmtId="167" fontId="19" fillId="7" borderId="43" xfId="0" applyNumberFormat="1" applyFont="1" applyFill="1" applyBorder="1" applyAlignment="1" applyProtection="1">
      <alignment horizontal="center" vertical="center"/>
      <protection hidden="1"/>
    </xf>
    <xf numFmtId="0" fontId="19" fillId="6" borderId="9" xfId="0" applyFont="1" applyFill="1" applyBorder="1" applyAlignment="1" applyProtection="1">
      <alignment horizontal="center" vertical="center" wrapText="1"/>
      <protection hidden="1"/>
    </xf>
    <xf numFmtId="167" fontId="7" fillId="6" borderId="39" xfId="0" applyNumberFormat="1" applyFont="1" applyFill="1" applyBorder="1" applyAlignment="1" applyProtection="1">
      <alignment horizontal="center" vertical="center"/>
      <protection hidden="1"/>
    </xf>
    <xf numFmtId="0" fontId="7" fillId="6" borderId="40" xfId="0" applyFont="1" applyFill="1" applyBorder="1" applyAlignment="1" applyProtection="1">
      <alignment horizontal="center" vertical="center"/>
      <protection hidden="1"/>
    </xf>
    <xf numFmtId="0" fontId="7" fillId="6" borderId="31" xfId="0" applyFont="1" applyFill="1" applyBorder="1" applyAlignment="1" applyProtection="1">
      <alignment horizontal="center" vertical="center"/>
      <protection hidden="1"/>
    </xf>
    <xf numFmtId="0" fontId="7" fillId="6" borderId="32" xfId="0" applyFont="1" applyFill="1" applyBorder="1" applyAlignment="1" applyProtection="1">
      <alignment horizontal="center" vertical="center"/>
      <protection hidden="1"/>
    </xf>
    <xf numFmtId="0" fontId="7" fillId="6" borderId="9" xfId="0" applyFont="1" applyFill="1" applyBorder="1" applyAlignment="1" applyProtection="1">
      <alignment horizontal="center" vertical="center"/>
      <protection hidden="1"/>
    </xf>
    <xf numFmtId="0" fontId="7" fillId="6" borderId="11" xfId="0" applyFont="1" applyFill="1" applyBorder="1" applyAlignment="1" applyProtection="1">
      <alignment horizontal="center" vertical="center"/>
      <protection hidden="1"/>
    </xf>
    <xf numFmtId="0" fontId="7" fillId="6" borderId="42" xfId="0" applyFont="1" applyFill="1" applyBorder="1" applyAlignment="1" applyProtection="1">
      <alignment horizontal="center" vertical="center"/>
      <protection hidden="1"/>
    </xf>
    <xf numFmtId="0" fontId="7" fillId="6" borderId="43" xfId="0" applyFont="1" applyFill="1" applyBorder="1" applyAlignment="1" applyProtection="1">
      <alignment horizontal="center" vertical="center"/>
      <protection hidden="1"/>
    </xf>
    <xf numFmtId="0" fontId="7" fillId="6" borderId="54" xfId="0" applyFont="1" applyFill="1" applyBorder="1" applyAlignment="1" applyProtection="1">
      <alignment horizontal="center" vertical="center"/>
      <protection hidden="1"/>
    </xf>
    <xf numFmtId="0" fontId="7" fillId="6" borderId="39" xfId="0" applyFont="1" applyFill="1" applyBorder="1" applyAlignment="1" applyProtection="1">
      <alignment horizontal="center" vertical="center"/>
      <protection hidden="1"/>
    </xf>
    <xf numFmtId="173" fontId="7" fillId="6" borderId="40" xfId="0" applyNumberFormat="1" applyFont="1" applyFill="1" applyBorder="1" applyAlignment="1" applyProtection="1">
      <alignment horizontal="center" vertical="center" wrapText="1"/>
      <protection hidden="1"/>
    </xf>
    <xf numFmtId="173" fontId="7" fillId="6" borderId="31" xfId="0" applyNumberFormat="1" applyFont="1" applyFill="1" applyBorder="1" applyAlignment="1" applyProtection="1">
      <alignment horizontal="center" vertical="center" wrapText="1"/>
      <protection hidden="1"/>
    </xf>
    <xf numFmtId="173" fontId="7" fillId="6" borderId="9" xfId="0" applyNumberFormat="1" applyFont="1" applyFill="1" applyBorder="1" applyAlignment="1" applyProtection="1">
      <alignment horizontal="center" vertical="center" wrapText="1"/>
      <protection hidden="1"/>
    </xf>
    <xf numFmtId="173" fontId="7" fillId="6" borderId="11" xfId="0" applyNumberFormat="1" applyFont="1" applyFill="1" applyBorder="1" applyAlignment="1" applyProtection="1">
      <alignment horizontal="center" vertical="center" wrapText="1"/>
      <protection hidden="1"/>
    </xf>
    <xf numFmtId="173" fontId="7" fillId="6" borderId="43" xfId="0" applyNumberFormat="1" applyFont="1" applyFill="1" applyBorder="1" applyAlignment="1" applyProtection="1">
      <alignment horizontal="center" vertical="center" wrapText="1"/>
      <protection hidden="1"/>
    </xf>
    <xf numFmtId="173" fontId="7" fillId="6" borderId="54" xfId="0" applyNumberFormat="1" applyFont="1" applyFill="1" applyBorder="1" applyAlignment="1" applyProtection="1">
      <alignment horizontal="center" vertical="center" wrapText="1"/>
      <protection hidden="1"/>
    </xf>
    <xf numFmtId="166" fontId="7" fillId="6" borderId="39" xfId="0" applyNumberFormat="1" applyFont="1" applyFill="1" applyBorder="1" applyAlignment="1" applyProtection="1">
      <alignment horizontal="center" vertical="center"/>
      <protection hidden="1"/>
    </xf>
    <xf numFmtId="4" fontId="7" fillId="6" borderId="40" xfId="0" applyNumberFormat="1" applyFont="1" applyFill="1" applyBorder="1" applyAlignment="1" applyProtection="1">
      <alignment horizontal="center" vertical="center" wrapText="1"/>
      <protection hidden="1"/>
    </xf>
    <xf numFmtId="174" fontId="7" fillId="6" borderId="31" xfId="0" applyNumberFormat="1" applyFont="1" applyFill="1" applyBorder="1" applyAlignment="1" applyProtection="1">
      <alignment horizontal="center" vertical="center" wrapText="1"/>
      <protection hidden="1"/>
    </xf>
    <xf numFmtId="166" fontId="7" fillId="6" borderId="32" xfId="0" applyNumberFormat="1" applyFont="1" applyFill="1" applyBorder="1" applyAlignment="1" applyProtection="1">
      <alignment horizontal="center" vertical="center"/>
      <protection hidden="1"/>
    </xf>
    <xf numFmtId="4" fontId="7" fillId="6" borderId="9" xfId="0" applyNumberFormat="1" applyFont="1" applyFill="1" applyBorder="1" applyAlignment="1" applyProtection="1">
      <alignment horizontal="center" vertical="center" wrapText="1"/>
      <protection hidden="1"/>
    </xf>
    <xf numFmtId="166" fontId="7" fillId="6" borderId="42" xfId="0" applyNumberFormat="1" applyFont="1" applyFill="1" applyBorder="1" applyAlignment="1" applyProtection="1">
      <alignment horizontal="center" vertical="center"/>
      <protection hidden="1"/>
    </xf>
    <xf numFmtId="4" fontId="7" fillId="6" borderId="43" xfId="0" applyNumberFormat="1" applyFont="1" applyFill="1" applyBorder="1" applyAlignment="1" applyProtection="1">
      <alignment horizontal="center" vertical="center" wrapText="1"/>
      <protection hidden="1"/>
    </xf>
    <xf numFmtId="167" fontId="49" fillId="6" borderId="39" xfId="0" applyNumberFormat="1" applyFont="1" applyFill="1" applyBorder="1" applyAlignment="1">
      <alignment horizontal="center" vertical="center"/>
    </xf>
    <xf numFmtId="0" fontId="49" fillId="6" borderId="40" xfId="0" applyFont="1" applyFill="1" applyBorder="1" applyAlignment="1">
      <alignment horizontal="center" vertical="center"/>
    </xf>
    <xf numFmtId="167" fontId="49" fillId="6" borderId="40" xfId="0" applyNumberFormat="1" applyFont="1" applyFill="1" applyBorder="1" applyAlignment="1">
      <alignment horizontal="center" vertical="center"/>
    </xf>
    <xf numFmtId="0" fontId="49" fillId="6" borderId="41" xfId="0" applyFont="1" applyFill="1" applyBorder="1" applyAlignment="1">
      <alignment horizontal="center" vertical="center" wrapText="1"/>
    </xf>
    <xf numFmtId="0" fontId="49" fillId="6" borderId="32" xfId="0" applyFont="1" applyFill="1" applyBorder="1" applyAlignment="1">
      <alignment horizontal="center" vertical="center"/>
    </xf>
    <xf numFmtId="0" fontId="49" fillId="6" borderId="9" xfId="0" applyFont="1" applyFill="1" applyBorder="1" applyAlignment="1">
      <alignment horizontal="center" vertical="center"/>
    </xf>
    <xf numFmtId="167" fontId="49" fillId="6" borderId="9" xfId="0" applyNumberFormat="1" applyFont="1" applyFill="1" applyBorder="1" applyAlignment="1">
      <alignment horizontal="center" vertical="center"/>
    </xf>
    <xf numFmtId="0" fontId="63" fillId="6" borderId="34" xfId="0" applyFont="1" applyFill="1" applyBorder="1" applyAlignment="1">
      <alignment horizontal="center" vertical="center" wrapText="1"/>
    </xf>
    <xf numFmtId="0" fontId="49" fillId="6" borderId="42" xfId="0" applyFont="1" applyFill="1" applyBorder="1" applyAlignment="1">
      <alignment horizontal="center" vertical="center"/>
    </xf>
    <xf numFmtId="0" fontId="49" fillId="6" borderId="52" xfId="0" applyFont="1" applyFill="1" applyBorder="1" applyAlignment="1">
      <alignment horizontal="center" vertical="center"/>
    </xf>
    <xf numFmtId="0" fontId="49" fillId="6" borderId="43" xfId="0" applyFont="1" applyFill="1" applyBorder="1" applyAlignment="1">
      <alignment horizontal="center" vertical="center"/>
    </xf>
    <xf numFmtId="0" fontId="63" fillId="6" borderId="37" xfId="0" applyFont="1" applyFill="1" applyBorder="1" applyAlignment="1">
      <alignment horizontal="center" vertical="center" wrapText="1"/>
    </xf>
    <xf numFmtId="0" fontId="49" fillId="6" borderId="39" xfId="0" applyFont="1" applyFill="1" applyBorder="1" applyAlignment="1">
      <alignment horizontal="center" vertical="center"/>
    </xf>
    <xf numFmtId="167" fontId="49" fillId="6" borderId="30" xfId="0" applyNumberFormat="1" applyFont="1" applyFill="1" applyBorder="1" applyAlignment="1">
      <alignment horizontal="center" vertical="center"/>
    </xf>
    <xf numFmtId="0" fontId="49" fillId="6" borderId="18" xfId="0" applyFont="1" applyFill="1" applyBorder="1" applyAlignment="1">
      <alignment horizontal="center" vertical="center"/>
    </xf>
    <xf numFmtId="2" fontId="49" fillId="6" borderId="18" xfId="0" applyNumberFormat="1" applyFont="1" applyFill="1" applyBorder="1" applyAlignment="1">
      <alignment horizontal="center" vertical="center"/>
    </xf>
    <xf numFmtId="0" fontId="49" fillId="6" borderId="36" xfId="0" applyFont="1" applyFill="1" applyBorder="1" applyAlignment="1">
      <alignment horizontal="center" vertical="center" wrapText="1"/>
    </xf>
    <xf numFmtId="166" fontId="49" fillId="6" borderId="9" xfId="0" applyNumberFormat="1" applyFont="1" applyFill="1" applyBorder="1" applyAlignment="1">
      <alignment horizontal="center" vertical="center"/>
    </xf>
    <xf numFmtId="2" fontId="49" fillId="6" borderId="43" xfId="0" applyNumberFormat="1" applyFont="1" applyFill="1" applyBorder="1" applyAlignment="1">
      <alignment horizontal="center" vertical="center"/>
    </xf>
    <xf numFmtId="167" fontId="7" fillId="6" borderId="40" xfId="0" applyNumberFormat="1" applyFont="1" applyFill="1" applyBorder="1" applyAlignment="1" applyProtection="1">
      <alignment horizontal="center" vertical="center"/>
      <protection hidden="1"/>
    </xf>
    <xf numFmtId="167" fontId="7" fillId="6" borderId="31" xfId="0" applyNumberFormat="1" applyFont="1" applyFill="1" applyBorder="1" applyAlignment="1" applyProtection="1">
      <alignment horizontal="center" vertical="center" wrapText="1"/>
      <protection hidden="1"/>
    </xf>
    <xf numFmtId="167" fontId="7" fillId="6" borderId="9" xfId="0" applyNumberFormat="1" applyFont="1" applyFill="1" applyBorder="1" applyAlignment="1" applyProtection="1">
      <alignment horizontal="center" vertical="center"/>
      <protection hidden="1"/>
    </xf>
    <xf numFmtId="167" fontId="7" fillId="6" borderId="11" xfId="0" applyNumberFormat="1" applyFont="1" applyFill="1" applyBorder="1" applyAlignment="1" applyProtection="1">
      <alignment horizontal="center" vertical="center" wrapText="1"/>
      <protection hidden="1"/>
    </xf>
    <xf numFmtId="167" fontId="7" fillId="6" borderId="42" xfId="0" applyNumberFormat="1" applyFont="1" applyFill="1" applyBorder="1" applyAlignment="1" applyProtection="1">
      <alignment horizontal="center" vertical="center"/>
      <protection hidden="1"/>
    </xf>
    <xf numFmtId="167" fontId="7" fillId="6" borderId="43" xfId="0" applyNumberFormat="1" applyFont="1" applyFill="1" applyBorder="1" applyAlignment="1" applyProtection="1">
      <alignment horizontal="center" vertical="center"/>
      <protection hidden="1"/>
    </xf>
    <xf numFmtId="0" fontId="7" fillId="6" borderId="41" xfId="0" applyFont="1" applyFill="1" applyBorder="1" applyAlignment="1" applyProtection="1">
      <alignment horizontal="center" vertical="center" wrapText="1"/>
      <protection hidden="1"/>
    </xf>
    <xf numFmtId="0" fontId="7" fillId="6" borderId="31" xfId="0" applyFont="1" applyFill="1" applyBorder="1" applyAlignment="1" applyProtection="1">
      <alignment horizontal="center" vertical="center" wrapText="1"/>
      <protection hidden="1"/>
    </xf>
    <xf numFmtId="2" fontId="7" fillId="6" borderId="9" xfId="0" applyNumberFormat="1" applyFont="1" applyFill="1" applyBorder="1" applyAlignment="1" applyProtection="1">
      <alignment horizontal="center" vertical="center"/>
      <protection hidden="1"/>
    </xf>
    <xf numFmtId="167" fontId="7" fillId="6" borderId="41" xfId="0" applyNumberFormat="1" applyFont="1" applyFill="1" applyBorder="1" applyAlignment="1" applyProtection="1">
      <alignment horizontal="center" vertical="center" wrapText="1"/>
      <protection hidden="1"/>
    </xf>
    <xf numFmtId="167" fontId="7" fillId="6" borderId="32" xfId="0" applyNumberFormat="1" applyFont="1" applyFill="1" applyBorder="1" applyAlignment="1" applyProtection="1">
      <alignment horizontal="center" vertical="center"/>
      <protection hidden="1"/>
    </xf>
    <xf numFmtId="167" fontId="7" fillId="6" borderId="34" xfId="0" applyNumberFormat="1" applyFont="1" applyFill="1" applyBorder="1" applyAlignment="1" applyProtection="1">
      <alignment horizontal="center" vertical="center" wrapText="1"/>
      <protection hidden="1"/>
    </xf>
    <xf numFmtId="167" fontId="7" fillId="6" borderId="37" xfId="0" applyNumberFormat="1" applyFont="1" applyFill="1" applyBorder="1" applyAlignment="1" applyProtection="1">
      <alignment horizontal="center" vertical="center" wrapText="1"/>
      <protection hidden="1"/>
    </xf>
    <xf numFmtId="0" fontId="7" fillId="6" borderId="34" xfId="0" applyFont="1" applyFill="1" applyBorder="1" applyAlignment="1" applyProtection="1">
      <alignment horizontal="center" vertical="center" wrapText="1"/>
      <protection hidden="1"/>
    </xf>
    <xf numFmtId="0" fontId="7" fillId="6" borderId="37" xfId="0" applyFont="1" applyFill="1" applyBorder="1" applyAlignment="1" applyProtection="1">
      <alignment horizontal="center" vertical="center" wrapText="1"/>
      <protection hidden="1"/>
    </xf>
    <xf numFmtId="166" fontId="7" fillId="6" borderId="30" xfId="0" applyNumberFormat="1" applyFont="1" applyFill="1" applyBorder="1" applyAlignment="1" applyProtection="1">
      <alignment horizontal="center" vertical="center"/>
      <protection hidden="1"/>
    </xf>
    <xf numFmtId="0" fontId="7" fillId="6" borderId="18" xfId="0" applyFont="1" applyFill="1" applyBorder="1" applyAlignment="1" applyProtection="1">
      <alignment horizontal="center" vertical="center"/>
      <protection hidden="1"/>
    </xf>
    <xf numFmtId="0" fontId="7" fillId="6" borderId="27" xfId="0" applyFont="1" applyFill="1" applyBorder="1" applyAlignment="1" applyProtection="1">
      <alignment horizontal="center" vertical="center" wrapText="1"/>
      <protection hidden="1"/>
    </xf>
    <xf numFmtId="166" fontId="7" fillId="6" borderId="9" xfId="0" applyNumberFormat="1" applyFont="1" applyFill="1" applyBorder="1" applyAlignment="1" applyProtection="1">
      <alignment horizontal="center" vertical="center"/>
      <protection hidden="1"/>
    </xf>
    <xf numFmtId="169" fontId="7" fillId="6" borderId="40" xfId="0" applyNumberFormat="1" applyFont="1" applyFill="1" applyBorder="1" applyAlignment="1" applyProtection="1">
      <alignment horizontal="center" vertical="center" wrapText="1"/>
      <protection hidden="1"/>
    </xf>
    <xf numFmtId="169" fontId="7" fillId="6" borderId="9" xfId="0" applyNumberFormat="1" applyFont="1" applyFill="1" applyBorder="1" applyAlignment="1" applyProtection="1">
      <alignment horizontal="center" vertical="center" wrapText="1"/>
      <protection hidden="1"/>
    </xf>
    <xf numFmtId="169" fontId="7" fillId="6" borderId="43" xfId="0" applyNumberFormat="1" applyFont="1" applyFill="1" applyBorder="1" applyAlignment="1" applyProtection="1">
      <alignment horizontal="center" vertical="center" wrapText="1"/>
      <protection hidden="1"/>
    </xf>
    <xf numFmtId="0" fontId="7" fillId="6" borderId="40" xfId="0" applyFont="1" applyFill="1" applyBorder="1" applyAlignment="1" applyProtection="1">
      <alignment horizontal="center" vertical="center" wrapText="1"/>
      <protection hidden="1"/>
    </xf>
    <xf numFmtId="0" fontId="7" fillId="6" borderId="9" xfId="0" applyFont="1" applyFill="1" applyBorder="1" applyAlignment="1" applyProtection="1">
      <alignment horizontal="center" vertical="center" wrapText="1"/>
      <protection hidden="1"/>
    </xf>
    <xf numFmtId="0" fontId="7" fillId="6" borderId="43" xfId="0" applyFont="1" applyFill="1" applyBorder="1" applyAlignment="1" applyProtection="1">
      <alignment horizontal="center" vertical="center" wrapText="1"/>
      <protection hidden="1"/>
    </xf>
    <xf numFmtId="0" fontId="49" fillId="7" borderId="39" xfId="0" applyFont="1" applyFill="1" applyBorder="1" applyAlignment="1">
      <alignment horizontal="center" vertical="center" wrapText="1"/>
    </xf>
    <xf numFmtId="0" fontId="63" fillId="7" borderId="40" xfId="0" applyFont="1" applyFill="1" applyBorder="1" applyAlignment="1">
      <alignment horizontal="center" vertical="center" wrapText="1"/>
    </xf>
    <xf numFmtId="0" fontId="63" fillId="7" borderId="41" xfId="0" applyFont="1" applyFill="1" applyBorder="1" applyAlignment="1">
      <alignment horizontal="center" vertical="center" wrapText="1"/>
    </xf>
    <xf numFmtId="167" fontId="49" fillId="7" borderId="32" xfId="0" applyNumberFormat="1" applyFont="1" applyFill="1" applyBorder="1" applyAlignment="1">
      <alignment horizontal="center" vertical="center" wrapText="1"/>
    </xf>
    <xf numFmtId="0" fontId="63" fillId="7" borderId="9" xfId="0" applyFont="1" applyFill="1" applyBorder="1" applyAlignment="1">
      <alignment horizontal="center" vertical="center" wrapText="1"/>
    </xf>
    <xf numFmtId="0" fontId="63" fillId="7" borderId="34" xfId="0" applyFont="1" applyFill="1" applyBorder="1" applyAlignment="1">
      <alignment horizontal="center" vertical="center" wrapText="1"/>
    </xf>
    <xf numFmtId="0" fontId="49" fillId="7" borderId="42" xfId="0" applyFont="1" applyFill="1" applyBorder="1" applyAlignment="1">
      <alignment horizontal="center" vertical="center"/>
    </xf>
    <xf numFmtId="0" fontId="63" fillId="7" borderId="43" xfId="0" applyFont="1" applyFill="1" applyBorder="1" applyAlignment="1">
      <alignment vertical="center" wrapText="1"/>
    </xf>
    <xf numFmtId="0" fontId="63" fillId="7" borderId="37" xfId="0" applyFont="1" applyFill="1" applyBorder="1" applyAlignment="1">
      <alignment vertical="center" wrapText="1"/>
    </xf>
    <xf numFmtId="3" fontId="19" fillId="7" borderId="39" xfId="0" applyNumberFormat="1" applyFont="1" applyFill="1" applyBorder="1" applyAlignment="1" applyProtection="1">
      <alignment horizontal="center" vertical="center" wrapText="1"/>
      <protection hidden="1"/>
    </xf>
    <xf numFmtId="3" fontId="19" fillId="7" borderId="40" xfId="0" applyNumberFormat="1" applyFont="1" applyFill="1" applyBorder="1" applyAlignment="1" applyProtection="1">
      <alignment horizontal="center" vertical="center" wrapText="1"/>
      <protection hidden="1"/>
    </xf>
    <xf numFmtId="3" fontId="19" fillId="7" borderId="32" xfId="0" applyNumberFormat="1" applyFont="1" applyFill="1" applyBorder="1" applyAlignment="1" applyProtection="1">
      <alignment horizontal="center" vertical="center" wrapText="1"/>
      <protection hidden="1"/>
    </xf>
    <xf numFmtId="3" fontId="19" fillId="7" borderId="18" xfId="0" applyNumberFormat="1" applyFont="1" applyFill="1" applyBorder="1" applyAlignment="1" applyProtection="1">
      <alignment horizontal="center" vertical="center" wrapText="1"/>
      <protection hidden="1"/>
    </xf>
    <xf numFmtId="3" fontId="19" fillId="7" borderId="42" xfId="0" applyNumberFormat="1" applyFont="1" applyFill="1" applyBorder="1" applyAlignment="1" applyProtection="1">
      <alignment horizontal="center" vertical="center" wrapText="1"/>
      <protection hidden="1"/>
    </xf>
    <xf numFmtId="3" fontId="19" fillId="7" borderId="43" xfId="0" applyNumberFormat="1" applyFont="1" applyFill="1" applyBorder="1" applyAlignment="1" applyProtection="1">
      <alignment horizontal="center" vertical="center" wrapText="1"/>
      <protection hidden="1"/>
    </xf>
    <xf numFmtId="170" fontId="19" fillId="7" borderId="40" xfId="0" applyNumberFormat="1" applyFont="1" applyFill="1" applyBorder="1" applyAlignment="1" applyProtection="1">
      <alignment horizontal="center" vertical="center" wrapText="1"/>
      <protection hidden="1"/>
    </xf>
    <xf numFmtId="165" fontId="19" fillId="7" borderId="41" xfId="0" applyNumberFormat="1" applyFont="1" applyFill="1" applyBorder="1" applyAlignment="1" applyProtection="1">
      <alignment horizontal="center" vertical="center" wrapText="1"/>
      <protection hidden="1"/>
    </xf>
    <xf numFmtId="165" fontId="19" fillId="7" borderId="18" xfId="0" applyNumberFormat="1" applyFont="1" applyFill="1" applyBorder="1" applyAlignment="1" applyProtection="1">
      <alignment horizontal="center" vertical="center" wrapText="1"/>
      <protection hidden="1"/>
    </xf>
    <xf numFmtId="165" fontId="19" fillId="7" borderId="36" xfId="0" applyNumberFormat="1" applyFont="1" applyFill="1" applyBorder="1" applyAlignment="1" applyProtection="1">
      <alignment horizontal="center" vertical="center" wrapText="1"/>
      <protection hidden="1"/>
    </xf>
    <xf numFmtId="165" fontId="19" fillId="7" borderId="52" xfId="0" applyNumberFormat="1" applyFont="1" applyFill="1" applyBorder="1" applyAlignment="1" applyProtection="1">
      <alignment horizontal="center" vertical="center" wrapText="1"/>
      <protection hidden="1"/>
    </xf>
    <xf numFmtId="165" fontId="19" fillId="7" borderId="77" xfId="0" applyNumberFormat="1" applyFont="1" applyFill="1" applyBorder="1" applyAlignment="1" applyProtection="1">
      <alignment horizontal="center" vertical="center" wrapText="1"/>
      <protection hidden="1"/>
    </xf>
    <xf numFmtId="2" fontId="19" fillId="6" borderId="40" xfId="0" applyNumberFormat="1" applyFont="1" applyFill="1" applyBorder="1" applyAlignment="1" applyProtection="1">
      <alignment horizontal="center" vertical="center" wrapText="1"/>
      <protection hidden="1"/>
    </xf>
    <xf numFmtId="2" fontId="19" fillId="6" borderId="9" xfId="0" applyNumberFormat="1" applyFont="1" applyFill="1" applyBorder="1" applyAlignment="1" applyProtection="1">
      <alignment horizontal="center" vertical="center" wrapText="1"/>
      <protection hidden="1"/>
    </xf>
    <xf numFmtId="2" fontId="19" fillId="6" borderId="43" xfId="0" applyNumberFormat="1" applyFont="1" applyFill="1" applyBorder="1" applyAlignment="1" applyProtection="1">
      <alignment horizontal="center" vertical="center" wrapText="1"/>
      <protection hidden="1"/>
    </xf>
    <xf numFmtId="166" fontId="19" fillId="6" borderId="40" xfId="0" applyNumberFormat="1" applyFont="1" applyFill="1" applyBorder="1" applyAlignment="1" applyProtection="1">
      <alignment horizontal="center" vertical="center" wrapText="1"/>
      <protection hidden="1"/>
    </xf>
    <xf numFmtId="165" fontId="19" fillId="6" borderId="40" xfId="0" applyNumberFormat="1" applyFont="1" applyFill="1" applyBorder="1" applyAlignment="1" applyProtection="1">
      <alignment horizontal="center" vertical="center" wrapText="1"/>
      <protection hidden="1"/>
    </xf>
    <xf numFmtId="166" fontId="19" fillId="6" borderId="9" xfId="0" applyNumberFormat="1" applyFont="1" applyFill="1" applyBorder="1" applyAlignment="1" applyProtection="1">
      <alignment horizontal="center" vertical="center" wrapText="1"/>
      <protection hidden="1"/>
    </xf>
    <xf numFmtId="165" fontId="19" fillId="6" borderId="9" xfId="0" applyNumberFormat="1" applyFont="1" applyFill="1" applyBorder="1" applyAlignment="1" applyProtection="1">
      <alignment horizontal="center" vertical="center" wrapText="1"/>
      <protection hidden="1"/>
    </xf>
    <xf numFmtId="166" fontId="19" fillId="6" borderId="43" xfId="0" applyNumberFormat="1" applyFont="1" applyFill="1" applyBorder="1" applyAlignment="1" applyProtection="1">
      <alignment horizontal="center" vertical="center" wrapText="1"/>
      <protection hidden="1"/>
    </xf>
    <xf numFmtId="165" fontId="19" fillId="6" borderId="43" xfId="0" applyNumberFormat="1" applyFont="1" applyFill="1" applyBorder="1" applyAlignment="1" applyProtection="1">
      <alignment horizontal="center" vertical="center" wrapText="1"/>
      <protection hidden="1"/>
    </xf>
    <xf numFmtId="169" fontId="19" fillId="6" borderId="40" xfId="0" applyNumberFormat="1" applyFont="1" applyFill="1" applyBorder="1" applyAlignment="1" applyProtection="1">
      <alignment horizontal="center" vertical="center"/>
      <protection hidden="1"/>
    </xf>
    <xf numFmtId="14" fontId="19" fillId="6" borderId="41" xfId="0" applyNumberFormat="1" applyFont="1" applyFill="1" applyBorder="1" applyAlignment="1" applyProtection="1">
      <alignment horizontal="center" vertical="center"/>
      <protection hidden="1"/>
    </xf>
    <xf numFmtId="169" fontId="19" fillId="6" borderId="9" xfId="0" applyNumberFormat="1" applyFont="1" applyFill="1" applyBorder="1" applyAlignment="1" applyProtection="1">
      <alignment horizontal="center" vertical="center"/>
      <protection hidden="1"/>
    </xf>
    <xf numFmtId="14" fontId="19" fillId="6" borderId="34" xfId="0" applyNumberFormat="1" applyFont="1" applyFill="1" applyBorder="1" applyAlignment="1" applyProtection="1">
      <alignment horizontal="center" vertical="center"/>
      <protection hidden="1"/>
    </xf>
    <xf numFmtId="169" fontId="19" fillId="6" borderId="43" xfId="0" applyNumberFormat="1" applyFont="1" applyFill="1" applyBorder="1" applyAlignment="1" applyProtection="1">
      <alignment horizontal="center" vertical="center"/>
      <protection hidden="1"/>
    </xf>
    <xf numFmtId="14" fontId="19" fillId="6" borderId="37" xfId="0" applyNumberFormat="1" applyFont="1" applyFill="1" applyBorder="1" applyAlignment="1" applyProtection="1">
      <alignment horizontal="center" vertical="center"/>
      <protection hidden="1"/>
    </xf>
    <xf numFmtId="169" fontId="19" fillId="6" borderId="9" xfId="0" applyNumberFormat="1" applyFont="1" applyFill="1" applyBorder="1" applyAlignment="1" applyProtection="1">
      <alignment horizontal="center" vertical="center" wrapText="1"/>
      <protection locked="0" hidden="1"/>
    </xf>
    <xf numFmtId="0" fontId="9" fillId="6" borderId="9" xfId="0" applyFont="1" applyFill="1" applyBorder="1" applyAlignment="1" applyProtection="1">
      <alignment horizontal="center" vertical="center" wrapText="1"/>
      <protection locked="0" hidden="1"/>
    </xf>
    <xf numFmtId="0" fontId="9" fillId="6" borderId="34" xfId="0" applyFont="1" applyFill="1" applyBorder="1" applyAlignment="1" applyProtection="1">
      <alignment horizontal="center" vertical="center" wrapText="1"/>
      <protection locked="0" hidden="1"/>
    </xf>
    <xf numFmtId="1" fontId="11" fillId="6" borderId="9" xfId="0" applyNumberFormat="1" applyFont="1" applyFill="1" applyBorder="1" applyAlignment="1" applyProtection="1">
      <alignment horizontal="center" vertical="center" wrapText="1"/>
      <protection locked="0" hidden="1"/>
    </xf>
    <xf numFmtId="49" fontId="8" fillId="6" borderId="9" xfId="0" applyNumberFormat="1" applyFont="1" applyFill="1" applyBorder="1" applyAlignment="1" applyProtection="1">
      <alignment horizontal="center" vertical="center" wrapText="1"/>
      <protection locked="0" hidden="1"/>
    </xf>
    <xf numFmtId="2" fontId="19" fillId="6" borderId="67" xfId="0" applyNumberFormat="1" applyFont="1" applyFill="1" applyBorder="1" applyAlignment="1" applyProtection="1">
      <alignment horizontal="center" vertical="center" wrapText="1"/>
      <protection locked="0" hidden="1"/>
    </xf>
    <xf numFmtId="2" fontId="19" fillId="6" borderId="65" xfId="0" applyNumberFormat="1" applyFont="1" applyFill="1" applyBorder="1" applyAlignment="1" applyProtection="1">
      <alignment horizontal="center" vertical="center" wrapText="1"/>
      <protection locked="0" hidden="1"/>
    </xf>
    <xf numFmtId="2" fontId="19" fillId="6" borderId="68" xfId="0" applyNumberFormat="1" applyFont="1" applyFill="1" applyBorder="1" applyAlignment="1" applyProtection="1">
      <alignment horizontal="center" vertical="center" wrapText="1"/>
      <protection locked="0" hidden="1"/>
    </xf>
    <xf numFmtId="167" fontId="17" fillId="6" borderId="40" xfId="0" applyNumberFormat="1" applyFont="1" applyFill="1" applyBorder="1" applyAlignment="1" applyProtection="1">
      <alignment horizontal="center" vertical="center"/>
      <protection hidden="1"/>
    </xf>
    <xf numFmtId="2" fontId="19" fillId="6" borderId="43" xfId="0" applyNumberFormat="1" applyFont="1" applyFill="1" applyBorder="1" applyAlignment="1" applyProtection="1">
      <alignment horizontal="center" vertical="center"/>
      <protection hidden="1"/>
    </xf>
    <xf numFmtId="2" fontId="19" fillId="6" borderId="40" xfId="0" applyNumberFormat="1" applyFont="1" applyFill="1" applyBorder="1" applyAlignment="1" applyProtection="1">
      <alignment horizontal="center" vertical="center"/>
      <protection hidden="1"/>
    </xf>
    <xf numFmtId="14" fontId="17" fillId="6" borderId="40" xfId="0" applyNumberFormat="1" applyFont="1" applyFill="1" applyBorder="1" applyAlignment="1" applyProtection="1">
      <alignment horizontal="center" vertical="center"/>
      <protection hidden="1"/>
    </xf>
    <xf numFmtId="165" fontId="19" fillId="6" borderId="40" xfId="0" applyNumberFormat="1" applyFont="1" applyFill="1" applyBorder="1" applyAlignment="1" applyProtection="1">
      <alignment horizontal="center" vertical="center"/>
      <protection hidden="1"/>
    </xf>
    <xf numFmtId="2" fontId="19" fillId="6" borderId="41" xfId="0" applyNumberFormat="1" applyFont="1" applyFill="1" applyBorder="1" applyAlignment="1" applyProtection="1">
      <alignment horizontal="center" vertical="center"/>
      <protection hidden="1"/>
    </xf>
    <xf numFmtId="14" fontId="17" fillId="6" borderId="43" xfId="0" applyNumberFormat="1" applyFont="1" applyFill="1" applyBorder="1" applyAlignment="1" applyProtection="1">
      <alignment horizontal="center" vertical="center"/>
      <protection hidden="1"/>
    </xf>
    <xf numFmtId="164" fontId="19" fillId="6" borderId="43" xfId="0" applyNumberFormat="1" applyFont="1" applyFill="1" applyBorder="1" applyAlignment="1" applyProtection="1">
      <alignment horizontal="center" vertical="center"/>
      <protection hidden="1"/>
    </xf>
    <xf numFmtId="2" fontId="19" fillId="6" borderId="37" xfId="0" applyNumberFormat="1" applyFont="1" applyFill="1" applyBorder="1" applyAlignment="1" applyProtection="1">
      <alignment horizontal="center" vertical="center"/>
      <protection hidden="1"/>
    </xf>
    <xf numFmtId="165" fontId="19" fillId="6" borderId="41" xfId="0" applyNumberFormat="1" applyFont="1" applyFill="1" applyBorder="1" applyAlignment="1" applyProtection="1">
      <alignment horizontal="center" vertical="center"/>
      <protection hidden="1"/>
    </xf>
    <xf numFmtId="165" fontId="19" fillId="6" borderId="34" xfId="0" applyNumberFormat="1" applyFont="1" applyFill="1" applyBorder="1" applyAlignment="1" applyProtection="1">
      <alignment horizontal="center" vertical="center"/>
      <protection hidden="1"/>
    </xf>
    <xf numFmtId="165" fontId="19" fillId="6" borderId="37" xfId="0" applyNumberFormat="1" applyFont="1" applyFill="1" applyBorder="1" applyAlignment="1" applyProtection="1">
      <alignment horizontal="center" vertical="center"/>
      <protection hidden="1"/>
    </xf>
    <xf numFmtId="0" fontId="20" fillId="18" borderId="22" xfId="0" applyFont="1" applyFill="1" applyBorder="1" applyAlignment="1" applyProtection="1">
      <alignment horizontal="center" vertical="center" wrapText="1"/>
      <protection hidden="1"/>
    </xf>
    <xf numFmtId="169" fontId="20" fillId="18" borderId="22" xfId="0" applyNumberFormat="1" applyFont="1" applyFill="1" applyBorder="1" applyAlignment="1" applyProtection="1">
      <alignment horizontal="center" vertical="center" wrapText="1"/>
      <protection hidden="1"/>
    </xf>
    <xf numFmtId="0" fontId="20" fillId="18" borderId="28" xfId="0" applyFont="1" applyFill="1" applyBorder="1" applyAlignment="1" applyProtection="1">
      <alignment horizontal="center" vertical="center" wrapText="1"/>
      <protection hidden="1"/>
    </xf>
    <xf numFmtId="0" fontId="20" fillId="5" borderId="56" xfId="0" applyFont="1" applyFill="1" applyBorder="1" applyAlignment="1" applyProtection="1">
      <alignment vertical="center" wrapText="1"/>
      <protection hidden="1"/>
    </xf>
    <xf numFmtId="14" fontId="14" fillId="5" borderId="43" xfId="0" applyNumberFormat="1" applyFont="1" applyFill="1" applyBorder="1" applyAlignment="1" applyProtection="1">
      <alignment horizontal="center" vertical="center" wrapText="1"/>
      <protection hidden="1"/>
    </xf>
    <xf numFmtId="165" fontId="14" fillId="7" borderId="43" xfId="0" applyNumberFormat="1" applyFont="1" applyFill="1" applyBorder="1" applyAlignment="1" applyProtection="1">
      <alignment horizontal="center" vertical="center" wrapText="1"/>
      <protection hidden="1"/>
    </xf>
    <xf numFmtId="0" fontId="20" fillId="5" borderId="39" xfId="0" applyFont="1" applyFill="1" applyBorder="1" applyAlignment="1" applyProtection="1">
      <alignment vertical="center" wrapText="1"/>
      <protection hidden="1"/>
    </xf>
    <xf numFmtId="167" fontId="14" fillId="7" borderId="40" xfId="0" applyNumberFormat="1" applyFont="1" applyFill="1" applyBorder="1" applyAlignment="1" applyProtection="1">
      <alignment horizontal="center" vertical="center" wrapText="1"/>
      <protection hidden="1"/>
    </xf>
    <xf numFmtId="14" fontId="38" fillId="5" borderId="40" xfId="0" applyNumberFormat="1" applyFont="1" applyFill="1" applyBorder="1" applyAlignment="1" applyProtection="1">
      <alignment horizontal="center" vertical="center" wrapText="1"/>
      <protection hidden="1"/>
    </xf>
    <xf numFmtId="165" fontId="14" fillId="7" borderId="40" xfId="0" applyNumberFormat="1" applyFont="1" applyFill="1" applyBorder="1" applyAlignment="1" applyProtection="1">
      <alignment horizontal="center" vertical="center" wrapText="1"/>
      <protection hidden="1"/>
    </xf>
    <xf numFmtId="10" fontId="14" fillId="5" borderId="41" xfId="11" applyNumberFormat="1" applyFont="1" applyFill="1" applyBorder="1" applyAlignment="1" applyProtection="1">
      <alignment horizontal="center" vertical="center" wrapText="1"/>
      <protection hidden="1"/>
    </xf>
    <xf numFmtId="0" fontId="20" fillId="5" borderId="42" xfId="0" applyFont="1" applyFill="1" applyBorder="1" applyAlignment="1" applyProtection="1">
      <alignment vertical="center" wrapText="1"/>
      <protection hidden="1"/>
    </xf>
    <xf numFmtId="10" fontId="14" fillId="5" borderId="37" xfId="11" applyNumberFormat="1" applyFont="1" applyFill="1" applyBorder="1" applyAlignment="1" applyProtection="1">
      <alignment horizontal="center" vertical="center" wrapText="1"/>
      <protection hidden="1"/>
    </xf>
    <xf numFmtId="2" fontId="20" fillId="5" borderId="16" xfId="0" applyNumberFormat="1" applyFont="1" applyFill="1" applyBorder="1" applyAlignment="1" applyProtection="1">
      <alignment horizontal="center" vertical="center" wrapText="1"/>
      <protection hidden="1"/>
    </xf>
    <xf numFmtId="0" fontId="20" fillId="5" borderId="47" xfId="0" applyFont="1" applyFill="1" applyBorder="1" applyAlignment="1" applyProtection="1">
      <alignment vertical="center" wrapText="1"/>
      <protection hidden="1"/>
    </xf>
    <xf numFmtId="0" fontId="20" fillId="0" borderId="32" xfId="0" applyFont="1" applyFill="1" applyBorder="1" applyAlignment="1" applyProtection="1">
      <alignment horizontal="left" vertical="center" wrapText="1"/>
      <protection hidden="1"/>
    </xf>
    <xf numFmtId="0" fontId="20" fillId="0" borderId="34" xfId="0" applyFont="1" applyFill="1" applyBorder="1" applyAlignment="1" applyProtection="1">
      <alignment horizontal="left" vertical="center" wrapText="1"/>
      <protection hidden="1"/>
    </xf>
    <xf numFmtId="0" fontId="20" fillId="2" borderId="16" xfId="0" applyFont="1" applyFill="1" applyBorder="1" applyAlignment="1" applyProtection="1">
      <alignment horizontal="left" vertical="center" wrapText="1"/>
      <protection hidden="1"/>
    </xf>
    <xf numFmtId="166" fontId="20" fillId="5" borderId="67" xfId="0" applyNumberFormat="1" applyFont="1" applyFill="1" applyBorder="1" applyAlignment="1" applyProtection="1">
      <alignment horizontal="center" vertical="center" wrapText="1"/>
      <protection hidden="1"/>
    </xf>
    <xf numFmtId="0" fontId="14" fillId="5" borderId="65" xfId="0" applyFont="1" applyFill="1" applyBorder="1" applyAlignment="1" applyProtection="1">
      <alignment horizontal="center" vertical="center" wrapText="1"/>
      <protection hidden="1"/>
    </xf>
    <xf numFmtId="0" fontId="14" fillId="5" borderId="68" xfId="0" applyFont="1" applyFill="1" applyBorder="1" applyAlignment="1" applyProtection="1">
      <alignment horizontal="center" vertical="center" wrapText="1"/>
      <protection hidden="1"/>
    </xf>
    <xf numFmtId="166" fontId="20" fillId="5" borderId="39" xfId="0" applyNumberFormat="1" applyFont="1" applyFill="1" applyBorder="1" applyAlignment="1" applyProtection="1">
      <alignment horizontal="center" vertical="center" wrapText="1"/>
      <protection hidden="1"/>
    </xf>
    <xf numFmtId="14" fontId="14" fillId="5" borderId="40" xfId="0" applyNumberFormat="1" applyFont="1" applyFill="1" applyBorder="1" applyAlignment="1" applyProtection="1">
      <alignment horizontal="center" vertical="center" wrapText="1"/>
      <protection hidden="1"/>
    </xf>
    <xf numFmtId="170" fontId="14" fillId="7" borderId="40" xfId="0" applyNumberFormat="1" applyFont="1" applyFill="1" applyBorder="1" applyAlignment="1" applyProtection="1">
      <alignment horizontal="center" vertical="center" wrapText="1"/>
      <protection hidden="1"/>
    </xf>
    <xf numFmtId="0" fontId="14" fillId="5" borderId="32" xfId="0" applyFont="1" applyFill="1" applyBorder="1" applyAlignment="1" applyProtection="1">
      <alignment horizontal="center" vertical="center" wrapText="1"/>
      <protection hidden="1"/>
    </xf>
    <xf numFmtId="10" fontId="14" fillId="5" borderId="34" xfId="11" applyNumberFormat="1" applyFont="1" applyFill="1" applyBorder="1" applyAlignment="1" applyProtection="1">
      <alignment horizontal="center" vertical="center" wrapText="1"/>
      <protection hidden="1"/>
    </xf>
    <xf numFmtId="0" fontId="14" fillId="5" borderId="42" xfId="0" applyFont="1" applyFill="1" applyBorder="1" applyAlignment="1" applyProtection="1">
      <alignment horizontal="center" vertical="center" wrapText="1"/>
      <protection hidden="1"/>
    </xf>
    <xf numFmtId="166" fontId="14" fillId="7" borderId="43" xfId="0" applyNumberFormat="1" applyFont="1" applyFill="1" applyBorder="1" applyAlignment="1" applyProtection="1">
      <alignment horizontal="center" vertical="center" wrapText="1"/>
      <protection hidden="1"/>
    </xf>
    <xf numFmtId="0" fontId="21" fillId="0" borderId="16" xfId="0" applyFont="1" applyBorder="1" applyAlignment="1" applyProtection="1">
      <alignment vertical="center" wrapText="1"/>
      <protection hidden="1"/>
    </xf>
    <xf numFmtId="166" fontId="20" fillId="5" borderId="19" xfId="0" applyNumberFormat="1" applyFont="1" applyFill="1" applyBorder="1" applyAlignment="1" applyProtection="1">
      <alignment horizontal="center" vertical="center" wrapText="1"/>
      <protection hidden="1"/>
    </xf>
    <xf numFmtId="166" fontId="14" fillId="7" borderId="22" xfId="0" applyNumberFormat="1" applyFont="1" applyFill="1" applyBorder="1" applyAlignment="1" applyProtection="1">
      <alignment horizontal="center" vertical="center" wrapText="1"/>
      <protection hidden="1"/>
    </xf>
    <xf numFmtId="14" fontId="14" fillId="5" borderId="20" xfId="0" applyNumberFormat="1" applyFont="1" applyFill="1" applyBorder="1" applyAlignment="1" applyProtection="1">
      <alignment horizontal="center" vertical="center" wrapText="1"/>
      <protection hidden="1"/>
    </xf>
    <xf numFmtId="0" fontId="21" fillId="0" borderId="15" xfId="0" applyFont="1" applyBorder="1" applyAlignment="1" applyProtection="1">
      <alignment vertical="center" wrapText="1"/>
      <protection hidden="1"/>
    </xf>
    <xf numFmtId="165" fontId="14" fillId="7" borderId="39" xfId="0" applyNumberFormat="1" applyFont="1" applyFill="1" applyBorder="1" applyAlignment="1" applyProtection="1">
      <alignment horizontal="center" vertical="center" wrapText="1"/>
      <protection hidden="1"/>
    </xf>
    <xf numFmtId="165" fontId="14" fillId="5" borderId="40" xfId="0" applyNumberFormat="1" applyFont="1" applyFill="1" applyBorder="1" applyAlignment="1" applyProtection="1">
      <alignment horizontal="center" vertical="center" wrapText="1"/>
      <protection hidden="1"/>
    </xf>
    <xf numFmtId="1" fontId="14" fillId="7" borderId="40" xfId="0" applyNumberFormat="1" applyFont="1" applyFill="1" applyBorder="1" applyAlignment="1" applyProtection="1">
      <alignment horizontal="center" vertical="center" wrapText="1"/>
      <protection hidden="1"/>
    </xf>
    <xf numFmtId="164" fontId="14" fillId="7" borderId="40" xfId="0" applyNumberFormat="1" applyFont="1" applyFill="1" applyBorder="1" applyAlignment="1" applyProtection="1">
      <alignment horizontal="center" vertical="center" wrapText="1"/>
      <protection hidden="1"/>
    </xf>
    <xf numFmtId="167" fontId="14" fillId="7" borderId="32" xfId="0" applyNumberFormat="1" applyFont="1" applyFill="1" applyBorder="1" applyAlignment="1" applyProtection="1">
      <alignment horizontal="center" vertical="center" wrapText="1"/>
      <protection hidden="1"/>
    </xf>
    <xf numFmtId="165" fontId="14" fillId="7" borderId="42" xfId="0" applyNumberFormat="1" applyFont="1" applyFill="1" applyBorder="1" applyAlignment="1" applyProtection="1">
      <alignment horizontal="center" vertical="center" wrapText="1"/>
      <protection hidden="1"/>
    </xf>
    <xf numFmtId="165" fontId="14" fillId="5" borderId="43" xfId="0" applyNumberFormat="1" applyFont="1" applyFill="1" applyBorder="1" applyAlignment="1" applyProtection="1">
      <alignment horizontal="center" vertical="center" wrapText="1"/>
      <protection hidden="1"/>
    </xf>
    <xf numFmtId="167" fontId="14" fillId="7" borderId="43" xfId="0" applyNumberFormat="1" applyFont="1" applyFill="1" applyBorder="1" applyAlignment="1" applyProtection="1">
      <alignment horizontal="center" vertical="center" wrapText="1"/>
      <protection hidden="1"/>
    </xf>
    <xf numFmtId="0" fontId="14" fillId="5" borderId="32" xfId="0" applyFont="1" applyFill="1" applyBorder="1" applyAlignment="1" applyProtection="1">
      <alignment vertical="center" wrapText="1"/>
      <protection hidden="1"/>
    </xf>
    <xf numFmtId="11" fontId="20" fillId="5" borderId="71" xfId="0" applyNumberFormat="1" applyFont="1" applyFill="1" applyBorder="1" applyAlignment="1" applyProtection="1">
      <alignment horizontal="center" vertical="center" wrapText="1"/>
      <protection hidden="1"/>
    </xf>
    <xf numFmtId="183" fontId="14" fillId="7" borderId="66" xfId="0" applyNumberFormat="1" applyFont="1" applyFill="1" applyBorder="1" applyAlignment="1" applyProtection="1">
      <alignment horizontal="center" vertical="center" wrapText="1"/>
      <protection hidden="1"/>
    </xf>
    <xf numFmtId="0" fontId="14" fillId="5" borderId="72" xfId="0" applyFont="1" applyFill="1" applyBorder="1" applyAlignment="1" applyProtection="1">
      <alignment horizontal="center" vertical="center" wrapText="1"/>
      <protection hidden="1"/>
    </xf>
    <xf numFmtId="184" fontId="14" fillId="7" borderId="40" xfId="0" applyNumberFormat="1" applyFont="1" applyFill="1" applyBorder="1" applyAlignment="1" applyProtection="1">
      <alignment horizontal="center" vertical="center" wrapText="1"/>
      <protection hidden="1"/>
    </xf>
    <xf numFmtId="1" fontId="31" fillId="15" borderId="44" xfId="0" applyNumberFormat="1" applyFont="1" applyFill="1" applyBorder="1" applyAlignment="1" applyProtection="1">
      <alignment horizontal="center" vertical="center" wrapText="1"/>
      <protection hidden="1"/>
    </xf>
    <xf numFmtId="0" fontId="21" fillId="19" borderId="52" xfId="0" applyFont="1" applyFill="1" applyBorder="1" applyAlignment="1" applyProtection="1">
      <alignment horizontal="center" vertical="center"/>
      <protection hidden="1"/>
    </xf>
    <xf numFmtId="2" fontId="31" fillId="19" borderId="52" xfId="0" applyNumberFormat="1" applyFont="1" applyFill="1" applyBorder="1" applyAlignment="1" applyProtection="1">
      <alignment horizontal="center" vertical="center" wrapText="1"/>
      <protection hidden="1"/>
    </xf>
    <xf numFmtId="1" fontId="31" fillId="15" borderId="52" xfId="0" applyNumberFormat="1" applyFont="1" applyFill="1" applyBorder="1" applyAlignment="1" applyProtection="1">
      <alignment horizontal="center" vertical="center" wrapText="1"/>
      <protection hidden="1"/>
    </xf>
    <xf numFmtId="2" fontId="31" fillId="15" borderId="52" xfId="0" applyNumberFormat="1" applyFont="1" applyFill="1" applyBorder="1" applyAlignment="1" applyProtection="1">
      <alignment horizontal="center" vertical="center" wrapText="1"/>
      <protection hidden="1"/>
    </xf>
    <xf numFmtId="167" fontId="31" fillId="19" borderId="52" xfId="0" applyNumberFormat="1" applyFont="1" applyFill="1" applyBorder="1" applyAlignment="1" applyProtection="1">
      <alignment horizontal="center" vertical="center" wrapText="1"/>
      <protection hidden="1"/>
    </xf>
    <xf numFmtId="1" fontId="21" fillId="19" borderId="52" xfId="0" applyNumberFormat="1" applyFont="1" applyFill="1" applyBorder="1" applyAlignment="1" applyProtection="1">
      <alignment horizontal="center" vertical="center"/>
      <protection hidden="1"/>
    </xf>
    <xf numFmtId="0" fontId="24" fillId="21" borderId="22" xfId="0" applyFont="1" applyFill="1" applyBorder="1" applyAlignment="1" applyProtection="1">
      <alignment horizontal="center" vertical="center"/>
      <protection hidden="1"/>
    </xf>
    <xf numFmtId="0" fontId="6" fillId="7" borderId="40" xfId="0" applyFont="1" applyFill="1" applyBorder="1" applyAlignment="1" applyProtection="1">
      <alignment horizontal="center" vertical="center" wrapText="1"/>
      <protection hidden="1"/>
    </xf>
    <xf numFmtId="0" fontId="6" fillId="7" borderId="32" xfId="0" applyFont="1" applyFill="1" applyBorder="1" applyAlignment="1" applyProtection="1">
      <alignment horizontal="center" vertical="center" wrapText="1"/>
      <protection hidden="1"/>
    </xf>
    <xf numFmtId="0" fontId="6" fillId="7" borderId="42" xfId="0" applyFont="1" applyFill="1" applyBorder="1" applyAlignment="1" applyProtection="1">
      <alignment horizontal="center" vertical="center" wrapText="1"/>
      <protection hidden="1"/>
    </xf>
    <xf numFmtId="0" fontId="6" fillId="7" borderId="39" xfId="0" applyFont="1" applyFill="1" applyBorder="1" applyAlignment="1" applyProtection="1">
      <alignment horizontal="center" vertical="center" wrapText="1"/>
      <protection hidden="1"/>
    </xf>
    <xf numFmtId="0" fontId="49" fillId="2" borderId="0" xfId="0" applyFont="1" applyFill="1" applyBorder="1" applyAlignment="1" applyProtection="1">
      <alignment vertical="center" wrapText="1"/>
      <protection hidden="1"/>
    </xf>
    <xf numFmtId="165" fontId="6" fillId="0" borderId="0" xfId="0" applyNumberFormat="1" applyFont="1" applyAlignment="1" applyProtection="1">
      <alignment horizontal="center" vertical="center" wrapText="1"/>
      <protection hidden="1"/>
    </xf>
    <xf numFmtId="9" fontId="6" fillId="0" borderId="0" xfId="11" applyFont="1" applyAlignment="1" applyProtection="1">
      <alignment horizontal="center" vertical="center" wrapText="1"/>
      <protection hidden="1"/>
    </xf>
    <xf numFmtId="189" fontId="6" fillId="0" borderId="0" xfId="11" applyNumberFormat="1" applyFont="1" applyAlignment="1" applyProtection="1">
      <alignment horizontal="center" vertical="center" wrapText="1"/>
      <protection hidden="1"/>
    </xf>
    <xf numFmtId="0" fontId="20" fillId="5" borderId="22" xfId="0" applyFont="1" applyFill="1" applyBorder="1" applyAlignment="1" applyProtection="1">
      <alignment horizontal="center" vertical="center" wrapText="1"/>
      <protection hidden="1"/>
    </xf>
    <xf numFmtId="0" fontId="20" fillId="5" borderId="19" xfId="0" applyFont="1" applyFill="1" applyBorder="1" applyAlignment="1" applyProtection="1">
      <alignment horizontal="center" vertical="center" wrapText="1"/>
      <protection hidden="1"/>
    </xf>
    <xf numFmtId="0" fontId="20" fillId="5" borderId="20" xfId="0" applyFont="1" applyFill="1" applyBorder="1" applyAlignment="1" applyProtection="1">
      <alignment horizontal="center" vertical="center" wrapText="1"/>
      <protection hidden="1"/>
    </xf>
    <xf numFmtId="0" fontId="20" fillId="5" borderId="42" xfId="0" applyFont="1" applyFill="1" applyBorder="1" applyAlignment="1" applyProtection="1">
      <alignment horizontal="center" vertical="center" wrapText="1"/>
      <protection hidden="1"/>
    </xf>
    <xf numFmtId="0" fontId="20" fillId="16" borderId="6" xfId="0" applyFont="1" applyFill="1" applyBorder="1" applyAlignment="1" applyProtection="1">
      <alignment horizontal="center" vertical="center" wrapText="1"/>
      <protection hidden="1"/>
    </xf>
    <xf numFmtId="0" fontId="20" fillId="16" borderId="21" xfId="0" applyFont="1" applyFill="1" applyBorder="1" applyAlignment="1" applyProtection="1">
      <alignment horizontal="center" vertical="center" wrapText="1"/>
      <protection hidden="1"/>
    </xf>
    <xf numFmtId="0" fontId="21" fillId="19" borderId="43" xfId="0" applyFont="1" applyFill="1" applyBorder="1" applyAlignment="1" applyProtection="1">
      <alignment horizontal="center" vertical="center" wrapText="1"/>
      <protection hidden="1"/>
    </xf>
    <xf numFmtId="0" fontId="20" fillId="5" borderId="39" xfId="0" applyFont="1" applyFill="1" applyBorder="1" applyAlignment="1" applyProtection="1">
      <alignment horizontal="left" vertical="center" wrapText="1"/>
      <protection hidden="1"/>
    </xf>
    <xf numFmtId="0" fontId="20" fillId="5" borderId="32" xfId="0" applyFont="1" applyFill="1" applyBorder="1" applyAlignment="1" applyProtection="1">
      <alignment horizontal="left" vertical="center" wrapText="1"/>
      <protection hidden="1"/>
    </xf>
    <xf numFmtId="0" fontId="20" fillId="5" borderId="42" xfId="0" applyFont="1" applyFill="1" applyBorder="1" applyAlignment="1" applyProtection="1">
      <alignment horizontal="left" vertical="center" wrapText="1"/>
      <protection hidden="1"/>
    </xf>
    <xf numFmtId="167" fontId="21" fillId="7" borderId="40" xfId="0" applyNumberFormat="1" applyFont="1" applyFill="1" applyBorder="1" applyAlignment="1" applyProtection="1">
      <alignment horizontal="center" vertical="center" wrapText="1"/>
      <protection hidden="1"/>
    </xf>
    <xf numFmtId="167" fontId="21" fillId="7" borderId="9" xfId="0" applyNumberFormat="1" applyFont="1" applyFill="1" applyBorder="1" applyAlignment="1" applyProtection="1">
      <alignment horizontal="center" vertical="center" wrapText="1"/>
      <protection hidden="1"/>
    </xf>
    <xf numFmtId="167" fontId="21" fillId="7" borderId="43" xfId="0" applyNumberFormat="1" applyFont="1" applyFill="1" applyBorder="1" applyAlignment="1" applyProtection="1">
      <alignment horizontal="center" vertical="center" wrapText="1"/>
      <protection hidden="1"/>
    </xf>
    <xf numFmtId="1" fontId="21" fillId="7" borderId="9" xfId="0" applyNumberFormat="1" applyFont="1" applyFill="1" applyBorder="1" applyAlignment="1" applyProtection="1">
      <alignment horizontal="center" vertical="center" wrapText="1"/>
      <protection hidden="1"/>
    </xf>
    <xf numFmtId="0" fontId="20" fillId="16" borderId="8" xfId="0" applyFont="1" applyFill="1" applyBorder="1" applyAlignment="1" applyProtection="1">
      <alignment horizontal="center" vertical="center" wrapText="1"/>
      <protection hidden="1"/>
    </xf>
    <xf numFmtId="0" fontId="21" fillId="12" borderId="14" xfId="0" applyFont="1" applyFill="1" applyBorder="1" applyAlignment="1" applyProtection="1">
      <alignment horizontal="center" vertical="center" wrapText="1"/>
      <protection hidden="1"/>
    </xf>
    <xf numFmtId="14" fontId="21" fillId="19" borderId="22" xfId="0" applyNumberFormat="1" applyFont="1" applyFill="1" applyBorder="1" applyAlignment="1" applyProtection="1">
      <alignment horizontal="center" vertical="center" wrapText="1"/>
      <protection hidden="1"/>
    </xf>
    <xf numFmtId="0" fontId="21" fillId="2" borderId="6" xfId="0" applyFont="1" applyFill="1" applyBorder="1" applyAlignment="1" applyProtection="1">
      <alignment horizontal="center" vertical="center" wrapText="1"/>
      <protection hidden="1"/>
    </xf>
    <xf numFmtId="0" fontId="20" fillId="16" borderId="78" xfId="0" applyFont="1" applyFill="1" applyBorder="1" applyAlignment="1" applyProtection="1">
      <alignment horizontal="center" vertical="center" wrapText="1"/>
      <protection hidden="1"/>
    </xf>
    <xf numFmtId="0" fontId="21" fillId="5" borderId="23" xfId="0" applyFont="1" applyFill="1" applyBorder="1" applyAlignment="1" applyProtection="1">
      <alignment horizontal="left" vertical="center" wrapText="1"/>
      <protection hidden="1"/>
    </xf>
    <xf numFmtId="0" fontId="20" fillId="5" borderId="32" xfId="0" applyFont="1" applyFill="1" applyBorder="1" applyAlignment="1" applyProtection="1">
      <alignment horizontal="center" vertical="center" wrapText="1"/>
      <protection hidden="1"/>
    </xf>
    <xf numFmtId="0" fontId="21" fillId="2" borderId="0" xfId="0" applyFont="1" applyFill="1" applyBorder="1" applyAlignment="1" applyProtection="1">
      <alignment horizontal="center" vertical="center" wrapText="1"/>
      <protection hidden="1"/>
    </xf>
    <xf numFmtId="0" fontId="20" fillId="5" borderId="21" xfId="0" applyFont="1" applyFill="1" applyBorder="1" applyAlignment="1" applyProtection="1">
      <alignment horizontal="center" vertical="center" wrapText="1"/>
      <protection hidden="1"/>
    </xf>
    <xf numFmtId="0" fontId="27" fillId="2"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2" fontId="6" fillId="0" borderId="0" xfId="0" applyNumberFormat="1" applyFont="1" applyAlignment="1" applyProtection="1">
      <alignment horizontal="center" vertical="center" wrapText="1"/>
      <protection hidden="1"/>
    </xf>
    <xf numFmtId="0" fontId="5" fillId="0" borderId="0" xfId="0" applyFont="1" applyFill="1" applyBorder="1" applyAlignment="1">
      <alignment vertical="center"/>
    </xf>
    <xf numFmtId="167" fontId="14" fillId="0" borderId="0" xfId="0" applyNumberFormat="1" applyFont="1" applyBorder="1" applyAlignment="1" applyProtection="1">
      <alignment vertical="center" wrapText="1"/>
      <protection hidden="1"/>
    </xf>
    <xf numFmtId="2" fontId="50" fillId="0" borderId="0" xfId="0" applyNumberFormat="1" applyFont="1" applyAlignment="1" applyProtection="1">
      <alignment horizontal="center" vertical="center" wrapText="1"/>
      <protection hidden="1"/>
    </xf>
    <xf numFmtId="2" fontId="50" fillId="0" borderId="0" xfId="0" applyNumberFormat="1" applyFont="1" applyFill="1" applyAlignment="1" applyProtection="1">
      <alignment horizontal="center" vertical="center" wrapText="1"/>
      <protection hidden="1"/>
    </xf>
    <xf numFmtId="2" fontId="21" fillId="7" borderId="31" xfId="0" applyNumberFormat="1" applyFont="1" applyFill="1" applyBorder="1" applyAlignment="1" applyProtection="1">
      <alignment horizontal="center" vertical="center" wrapText="1"/>
      <protection hidden="1"/>
    </xf>
    <xf numFmtId="190" fontId="21" fillId="7" borderId="11" xfId="0" applyNumberFormat="1" applyFont="1" applyFill="1" applyBorder="1" applyAlignment="1" applyProtection="1">
      <alignment horizontal="center" vertical="center" wrapText="1"/>
      <protection hidden="1"/>
    </xf>
    <xf numFmtId="165" fontId="21" fillId="7" borderId="54" xfId="0" applyNumberFormat="1" applyFont="1" applyFill="1" applyBorder="1" applyAlignment="1" applyProtection="1">
      <alignment horizontal="center" vertical="center"/>
      <protection hidden="1"/>
    </xf>
    <xf numFmtId="0" fontId="21" fillId="0" borderId="66" xfId="0" applyFont="1" applyBorder="1" applyAlignment="1" applyProtection="1">
      <alignment vertical="center" wrapText="1"/>
      <protection hidden="1"/>
    </xf>
    <xf numFmtId="14" fontId="21" fillId="5" borderId="72" xfId="0" applyNumberFormat="1" applyFont="1" applyFill="1" applyBorder="1" applyAlignment="1" applyProtection="1">
      <alignment horizontal="center" vertical="center" wrapText="1"/>
      <protection hidden="1"/>
    </xf>
    <xf numFmtId="0" fontId="20" fillId="5" borderId="47" xfId="0" applyFont="1" applyFill="1" applyBorder="1" applyAlignment="1" applyProtection="1">
      <alignment horizontal="center" vertical="center" wrapText="1"/>
      <protection hidden="1"/>
    </xf>
    <xf numFmtId="167" fontId="21" fillId="5" borderId="40" xfId="0" applyNumberFormat="1" applyFont="1" applyFill="1" applyBorder="1" applyAlignment="1" applyProtection="1">
      <alignment horizontal="center" vertical="center" wrapText="1"/>
      <protection hidden="1"/>
    </xf>
    <xf numFmtId="1" fontId="21" fillId="5" borderId="40" xfId="0" applyNumberFormat="1" applyFont="1" applyFill="1" applyBorder="1" applyAlignment="1" applyProtection="1">
      <alignment horizontal="center" vertical="center" wrapText="1"/>
      <protection hidden="1"/>
    </xf>
    <xf numFmtId="166" fontId="21" fillId="5" borderId="40" xfId="0" applyNumberFormat="1" applyFont="1" applyFill="1" applyBorder="1" applyAlignment="1" applyProtection="1">
      <alignment horizontal="center" vertical="center" wrapText="1"/>
      <protection hidden="1"/>
    </xf>
    <xf numFmtId="0" fontId="21" fillId="2" borderId="70" xfId="0" applyFont="1" applyFill="1" applyBorder="1" applyAlignment="1" applyProtection="1">
      <alignment vertical="center" wrapText="1"/>
      <protection hidden="1"/>
    </xf>
    <xf numFmtId="168" fontId="21" fillId="5" borderId="2" xfId="0" applyNumberFormat="1" applyFont="1" applyFill="1" applyBorder="1" applyAlignment="1" applyProtection="1">
      <alignment horizontal="center" vertical="center" wrapText="1"/>
      <protection hidden="1"/>
    </xf>
    <xf numFmtId="166" fontId="21" fillId="5" borderId="10" xfId="0" applyNumberFormat="1" applyFont="1" applyFill="1" applyBorder="1" applyAlignment="1" applyProtection="1">
      <alignment horizontal="center" vertical="center"/>
      <protection hidden="1"/>
    </xf>
    <xf numFmtId="166" fontId="21" fillId="5" borderId="4" xfId="0" applyNumberFormat="1" applyFont="1" applyFill="1" applyBorder="1" applyAlignment="1" applyProtection="1">
      <alignment horizontal="center" vertical="center"/>
      <protection hidden="1"/>
    </xf>
    <xf numFmtId="2" fontId="21" fillId="5" borderId="19" xfId="0" applyNumberFormat="1" applyFont="1" applyFill="1" applyBorder="1" applyAlignment="1" applyProtection="1">
      <alignment horizontal="center" vertical="center"/>
      <protection hidden="1"/>
    </xf>
    <xf numFmtId="2" fontId="21" fillId="5" borderId="20" xfId="0" applyNumberFormat="1" applyFont="1" applyFill="1" applyBorder="1" applyAlignment="1" applyProtection="1">
      <alignment horizontal="center" vertical="center"/>
      <protection hidden="1"/>
    </xf>
    <xf numFmtId="0" fontId="21" fillId="5" borderId="37" xfId="0" applyFont="1" applyFill="1" applyBorder="1" applyAlignment="1" applyProtection="1">
      <alignment horizontal="center" vertical="center"/>
      <protection hidden="1"/>
    </xf>
    <xf numFmtId="0" fontId="49" fillId="7" borderId="1" xfId="0" applyFont="1" applyFill="1" applyBorder="1" applyAlignment="1" applyProtection="1">
      <alignment horizontal="center" vertical="center" wrapText="1"/>
      <protection hidden="1"/>
    </xf>
    <xf numFmtId="2" fontId="20" fillId="7" borderId="71" xfId="0" applyNumberFormat="1" applyFont="1" applyFill="1" applyBorder="1" applyAlignment="1" applyProtection="1">
      <alignment horizontal="center" vertical="center" wrapText="1"/>
      <protection hidden="1"/>
    </xf>
    <xf numFmtId="2" fontId="20" fillId="7" borderId="72" xfId="0" applyNumberFormat="1" applyFont="1" applyFill="1" applyBorder="1" applyAlignment="1" applyProtection="1">
      <alignment horizontal="center" vertical="center"/>
      <protection hidden="1"/>
    </xf>
    <xf numFmtId="2" fontId="5" fillId="0" borderId="0" xfId="0" applyNumberFormat="1" applyFont="1" applyFill="1" applyAlignment="1" applyProtection="1">
      <alignment horizontal="center" vertical="center" wrapText="1"/>
      <protection hidden="1"/>
    </xf>
    <xf numFmtId="166" fontId="20" fillId="5" borderId="71" xfId="0" applyNumberFormat="1" applyFont="1" applyFill="1" applyBorder="1" applyAlignment="1" applyProtection="1">
      <alignment horizontal="center" vertical="center" wrapText="1"/>
      <protection hidden="1"/>
    </xf>
    <xf numFmtId="166" fontId="14" fillId="7" borderId="66" xfId="0" applyNumberFormat="1" applyFont="1" applyFill="1" applyBorder="1" applyAlignment="1" applyProtection="1">
      <alignment horizontal="center" vertical="center" wrapText="1"/>
      <protection hidden="1"/>
    </xf>
    <xf numFmtId="14" fontId="14" fillId="5" borderId="72" xfId="0" applyNumberFormat="1" applyFont="1" applyFill="1" applyBorder="1" applyAlignment="1" applyProtection="1">
      <alignment horizontal="center" vertical="center" wrapText="1"/>
      <protection hidden="1"/>
    </xf>
    <xf numFmtId="10" fontId="14" fillId="5" borderId="9" xfId="11" applyNumberFormat="1" applyFont="1" applyFill="1" applyBorder="1" applyAlignment="1" applyProtection="1">
      <alignment horizontal="center" vertical="center" wrapText="1"/>
      <protection hidden="1"/>
    </xf>
    <xf numFmtId="166" fontId="20" fillId="5" borderId="50" xfId="0" applyNumberFormat="1" applyFont="1" applyFill="1" applyBorder="1" applyAlignment="1" applyProtection="1">
      <alignment horizontal="center" vertical="center" wrapText="1"/>
      <protection hidden="1"/>
    </xf>
    <xf numFmtId="166" fontId="14" fillId="7" borderId="15" xfId="0" applyNumberFormat="1" applyFont="1" applyFill="1" applyBorder="1" applyAlignment="1" applyProtection="1">
      <alignment horizontal="center" vertical="center" wrapText="1"/>
      <protection hidden="1"/>
    </xf>
    <xf numFmtId="14" fontId="14" fillId="5" borderId="64" xfId="0" applyNumberFormat="1" applyFont="1" applyFill="1" applyBorder="1" applyAlignment="1" applyProtection="1">
      <alignment horizontal="center" vertical="center" wrapText="1"/>
      <protection hidden="1"/>
    </xf>
    <xf numFmtId="11" fontId="20" fillId="5" borderId="50" xfId="0" applyNumberFormat="1" applyFont="1" applyFill="1" applyBorder="1" applyAlignment="1" applyProtection="1">
      <alignment horizontal="center" vertical="center" wrapText="1"/>
      <protection hidden="1"/>
    </xf>
    <xf numFmtId="183" fontId="14" fillId="7" borderId="15" xfId="0" applyNumberFormat="1" applyFont="1" applyFill="1" applyBorder="1" applyAlignment="1" applyProtection="1">
      <alignment horizontal="center" vertical="center" wrapText="1"/>
      <protection hidden="1"/>
    </xf>
    <xf numFmtId="0" fontId="14" fillId="5" borderId="64" xfId="0" applyFont="1" applyFill="1" applyBorder="1" applyAlignment="1" applyProtection="1">
      <alignment horizontal="center" vertical="center" wrapText="1"/>
      <protection hidden="1"/>
    </xf>
    <xf numFmtId="9" fontId="14" fillId="5" borderId="49" xfId="11" applyFont="1" applyFill="1" applyBorder="1" applyAlignment="1" applyProtection="1">
      <alignment horizontal="center" vertical="center" wrapText="1"/>
      <protection hidden="1"/>
    </xf>
    <xf numFmtId="0" fontId="20" fillId="5" borderId="9" xfId="0" applyFont="1" applyFill="1" applyBorder="1" applyAlignment="1" applyProtection="1">
      <alignment horizontal="left" vertical="center" wrapText="1"/>
      <protection hidden="1"/>
    </xf>
    <xf numFmtId="14" fontId="14" fillId="5" borderId="11" xfId="0" applyNumberFormat="1" applyFont="1" applyFill="1" applyBorder="1" applyAlignment="1" applyProtection="1">
      <alignment horizontal="center" vertical="center" wrapText="1"/>
      <protection hidden="1"/>
    </xf>
    <xf numFmtId="14" fontId="14" fillId="5" borderId="54" xfId="0" applyNumberFormat="1" applyFont="1" applyFill="1" applyBorder="1" applyAlignment="1" applyProtection="1">
      <alignment horizontal="center" vertical="center" wrapText="1"/>
      <protection hidden="1"/>
    </xf>
    <xf numFmtId="0" fontId="14" fillId="7" borderId="39" xfId="0" applyFont="1" applyFill="1" applyBorder="1" applyAlignment="1" applyProtection="1">
      <alignment horizontal="center" vertical="center" wrapText="1"/>
      <protection hidden="1"/>
    </xf>
    <xf numFmtId="1" fontId="14" fillId="7" borderId="32" xfId="0" applyNumberFormat="1" applyFont="1" applyFill="1" applyBorder="1" applyAlignment="1" applyProtection="1">
      <alignment horizontal="center" vertical="center" wrapText="1"/>
      <protection hidden="1"/>
    </xf>
    <xf numFmtId="2" fontId="14" fillId="7" borderId="32" xfId="0" applyNumberFormat="1" applyFont="1" applyFill="1" applyBorder="1" applyAlignment="1" applyProtection="1">
      <alignment horizontal="center" vertical="center" wrapText="1"/>
      <protection hidden="1"/>
    </xf>
    <xf numFmtId="0" fontId="14" fillId="7" borderId="42" xfId="0" applyFont="1" applyFill="1" applyBorder="1" applyAlignment="1" applyProtection="1">
      <alignment horizontal="center" vertical="center" wrapText="1"/>
      <protection hidden="1"/>
    </xf>
    <xf numFmtId="14" fontId="14" fillId="5" borderId="31" xfId="0" applyNumberFormat="1" applyFont="1" applyFill="1" applyBorder="1" applyAlignment="1" applyProtection="1">
      <alignment horizontal="center" vertical="center" wrapText="1"/>
      <protection hidden="1"/>
    </xf>
    <xf numFmtId="0" fontId="14" fillId="7" borderId="32" xfId="0" applyFont="1" applyFill="1" applyBorder="1" applyAlignment="1" applyProtection="1">
      <alignment horizontal="center" vertical="center" wrapText="1"/>
      <protection hidden="1"/>
    </xf>
    <xf numFmtId="0" fontId="5" fillId="7" borderId="39" xfId="0" applyFont="1" applyFill="1" applyBorder="1" applyAlignment="1" applyProtection="1">
      <alignment horizontal="center" vertical="center" wrapText="1"/>
      <protection hidden="1"/>
    </xf>
    <xf numFmtId="0" fontId="5" fillId="7" borderId="32" xfId="0" applyFont="1" applyFill="1" applyBorder="1" applyAlignment="1" applyProtection="1">
      <alignment horizontal="center" vertical="center" wrapText="1"/>
      <protection hidden="1"/>
    </xf>
    <xf numFmtId="0" fontId="5" fillId="7" borderId="42" xfId="0" applyFont="1" applyFill="1" applyBorder="1" applyAlignment="1" applyProtection="1">
      <alignment horizontal="center" vertical="center" wrapText="1"/>
      <protection hidden="1"/>
    </xf>
    <xf numFmtId="0" fontId="5" fillId="7" borderId="19" xfId="0" applyFont="1" applyFill="1" applyBorder="1" applyAlignment="1" applyProtection="1">
      <alignment horizontal="center" vertical="center"/>
      <protection hidden="1"/>
    </xf>
    <xf numFmtId="0" fontId="5" fillId="7" borderId="47" xfId="0" applyFont="1" applyFill="1" applyBorder="1" applyAlignment="1" applyProtection="1">
      <alignment horizontal="center" vertical="center" wrapText="1"/>
      <protection hidden="1"/>
    </xf>
    <xf numFmtId="0" fontId="5" fillId="7" borderId="14" xfId="0" applyFont="1" applyFill="1" applyBorder="1" applyAlignment="1" applyProtection="1">
      <alignment horizontal="center" vertical="center" wrapText="1"/>
      <protection hidden="1"/>
    </xf>
    <xf numFmtId="0" fontId="5" fillId="7" borderId="56" xfId="0" applyFont="1" applyFill="1" applyBorder="1" applyAlignment="1" applyProtection="1">
      <alignment horizontal="center" vertical="center" wrapText="1"/>
      <protection hidden="1"/>
    </xf>
    <xf numFmtId="0" fontId="5" fillId="7" borderId="40" xfId="0" applyFont="1" applyFill="1" applyBorder="1" applyAlignment="1" applyProtection="1">
      <alignment horizontal="center" vertical="center" wrapText="1"/>
      <protection hidden="1"/>
    </xf>
    <xf numFmtId="0" fontId="4" fillId="7" borderId="40" xfId="0" applyFont="1" applyFill="1" applyBorder="1" applyAlignment="1" applyProtection="1">
      <alignment horizontal="center" vertical="center" wrapText="1"/>
      <protection hidden="1"/>
    </xf>
    <xf numFmtId="0" fontId="4" fillId="7" borderId="32" xfId="0" applyFont="1" applyFill="1" applyBorder="1" applyAlignment="1" applyProtection="1">
      <alignment horizontal="center" vertical="center" wrapText="1"/>
      <protection hidden="1"/>
    </xf>
    <xf numFmtId="14" fontId="4" fillId="7" borderId="9" xfId="0" applyNumberFormat="1" applyFont="1" applyFill="1" applyBorder="1" applyAlignment="1" applyProtection="1">
      <alignment horizontal="center" vertical="center" wrapText="1"/>
      <protection hidden="1"/>
    </xf>
    <xf numFmtId="0" fontId="4" fillId="7" borderId="9" xfId="0" applyFont="1" applyFill="1" applyBorder="1" applyAlignment="1" applyProtection="1">
      <alignment horizontal="center" vertical="center" wrapText="1"/>
      <protection hidden="1"/>
    </xf>
    <xf numFmtId="167" fontId="21" fillId="7" borderId="40" xfId="0" applyNumberFormat="1" applyFont="1" applyFill="1" applyBorder="1" applyAlignment="1" applyProtection="1">
      <alignment horizontal="center" vertical="center" wrapText="1"/>
      <protection hidden="1"/>
    </xf>
    <xf numFmtId="0" fontId="20" fillId="5" borderId="42" xfId="0" applyFont="1" applyFill="1" applyBorder="1" applyAlignment="1" applyProtection="1">
      <alignment horizontal="center" vertical="center" wrapText="1"/>
      <protection hidden="1"/>
    </xf>
    <xf numFmtId="166" fontId="60" fillId="6" borderId="54" xfId="0" applyNumberFormat="1" applyFont="1" applyFill="1" applyBorder="1" applyAlignment="1" applyProtection="1">
      <alignment horizontal="center" vertical="center" wrapText="1"/>
      <protection hidden="1"/>
    </xf>
    <xf numFmtId="0" fontId="19" fillId="6" borderId="40" xfId="0" applyFont="1" applyFill="1" applyBorder="1" applyAlignment="1" applyProtection="1">
      <alignment horizontal="center" vertical="center" wrapText="1"/>
      <protection hidden="1"/>
    </xf>
    <xf numFmtId="0" fontId="19" fillId="6" borderId="43" xfId="0" applyFont="1" applyFill="1" applyBorder="1" applyAlignment="1" applyProtection="1">
      <alignment horizontal="center" vertical="center" wrapText="1"/>
      <protection hidden="1"/>
    </xf>
    <xf numFmtId="164" fontId="19" fillId="7" borderId="40" xfId="0" applyNumberFormat="1" applyFont="1" applyFill="1" applyBorder="1" applyAlignment="1" applyProtection="1">
      <alignment horizontal="center" vertical="center" wrapText="1"/>
      <protection hidden="1"/>
    </xf>
    <xf numFmtId="164" fontId="19" fillId="7" borderId="9" xfId="0" applyNumberFormat="1" applyFont="1" applyFill="1" applyBorder="1" applyAlignment="1" applyProtection="1">
      <alignment horizontal="center" vertical="center" wrapText="1"/>
      <protection hidden="1"/>
    </xf>
    <xf numFmtId="164" fontId="19" fillId="7" borderId="43" xfId="0" applyNumberFormat="1" applyFont="1" applyFill="1" applyBorder="1" applyAlignment="1" applyProtection="1">
      <alignment horizontal="center" vertical="center" wrapText="1"/>
      <protection hidden="1"/>
    </xf>
    <xf numFmtId="164" fontId="19" fillId="7" borderId="41" xfId="0" applyNumberFormat="1" applyFont="1" applyFill="1" applyBorder="1" applyAlignment="1" applyProtection="1">
      <alignment horizontal="center" vertical="center" wrapText="1"/>
      <protection hidden="1"/>
    </xf>
    <xf numFmtId="164" fontId="19" fillId="7" borderId="34" xfId="0" applyNumberFormat="1" applyFont="1" applyFill="1" applyBorder="1" applyAlignment="1" applyProtection="1">
      <alignment horizontal="center" vertical="center" wrapText="1"/>
      <protection hidden="1"/>
    </xf>
    <xf numFmtId="164" fontId="19" fillId="7" borderId="37" xfId="0" applyNumberFormat="1" applyFont="1" applyFill="1" applyBorder="1" applyAlignment="1" applyProtection="1">
      <alignment horizontal="center" vertical="center" wrapText="1"/>
      <protection hidden="1"/>
    </xf>
    <xf numFmtId="0" fontId="2" fillId="7" borderId="40" xfId="0" applyFont="1" applyFill="1" applyBorder="1" applyAlignment="1" applyProtection="1">
      <alignment horizontal="center" vertical="center" wrapText="1"/>
      <protection hidden="1"/>
    </xf>
    <xf numFmtId="169" fontId="19" fillId="7" borderId="40" xfId="0" applyNumberFormat="1" applyFont="1" applyFill="1" applyBorder="1" applyAlignment="1" applyProtection="1">
      <alignment horizontal="center" vertical="center" wrapText="1"/>
      <protection hidden="1"/>
    </xf>
    <xf numFmtId="14" fontId="2" fillId="7" borderId="40" xfId="0" applyNumberFormat="1" applyFont="1" applyFill="1" applyBorder="1" applyAlignment="1" applyProtection="1">
      <alignment horizontal="center" vertical="center" wrapText="1"/>
      <protection hidden="1"/>
    </xf>
    <xf numFmtId="0" fontId="2" fillId="7" borderId="32" xfId="0" applyFont="1" applyFill="1" applyBorder="1" applyAlignment="1" applyProtection="1">
      <alignment horizontal="center" vertical="center" wrapText="1"/>
      <protection hidden="1"/>
    </xf>
    <xf numFmtId="0" fontId="2" fillId="7" borderId="9" xfId="0" applyFont="1" applyFill="1" applyBorder="1" applyAlignment="1" applyProtection="1">
      <alignment horizontal="center" vertical="center" wrapText="1"/>
      <protection hidden="1"/>
    </xf>
    <xf numFmtId="0" fontId="2" fillId="7" borderId="43" xfId="0" applyFont="1" applyFill="1" applyBorder="1" applyAlignment="1" applyProtection="1">
      <alignment horizontal="center" vertical="center" wrapText="1"/>
      <protection hidden="1"/>
    </xf>
    <xf numFmtId="167" fontId="21" fillId="7" borderId="41" xfId="0" applyNumberFormat="1" applyFont="1" applyFill="1" applyBorder="1" applyAlignment="1" applyProtection="1">
      <alignment horizontal="center" vertical="center" wrapText="1"/>
      <protection hidden="1"/>
    </xf>
    <xf numFmtId="0" fontId="2" fillId="6" borderId="40" xfId="0" quotePrefix="1" applyFont="1" applyFill="1" applyBorder="1" applyAlignment="1" applyProtection="1">
      <alignment horizontal="center" vertical="center"/>
      <protection hidden="1"/>
    </xf>
    <xf numFmtId="0" fontId="2" fillId="6" borderId="43" xfId="0" quotePrefix="1" applyFont="1" applyFill="1" applyBorder="1" applyAlignment="1" applyProtection="1">
      <alignment horizontal="center" vertical="center"/>
      <protection hidden="1"/>
    </xf>
    <xf numFmtId="2" fontId="20" fillId="5" borderId="42" xfId="0" applyNumberFormat="1" applyFont="1" applyFill="1" applyBorder="1" applyAlignment="1" applyProtection="1">
      <alignment horizontal="center" vertical="center"/>
      <protection hidden="1"/>
    </xf>
    <xf numFmtId="0" fontId="1" fillId="6" borderId="9" xfId="0" applyFont="1" applyFill="1" applyBorder="1" applyAlignment="1" applyProtection="1">
      <alignment horizontal="center" vertical="center" wrapText="1"/>
      <protection locked="0" hidden="1"/>
    </xf>
    <xf numFmtId="0" fontId="50" fillId="2" borderId="9" xfId="0" applyFont="1" applyFill="1" applyBorder="1" applyAlignment="1" applyProtection="1">
      <alignment horizontal="center" vertical="center" wrapText="1"/>
      <protection hidden="1"/>
    </xf>
    <xf numFmtId="14" fontId="49" fillId="19" borderId="22" xfId="0" applyNumberFormat="1" applyFont="1" applyFill="1" applyBorder="1" applyAlignment="1" applyProtection="1">
      <alignment horizontal="center" vertical="center" wrapText="1"/>
      <protection hidden="1"/>
    </xf>
    <xf numFmtId="167" fontId="50" fillId="0" borderId="32" xfId="0" applyNumberFormat="1" applyFont="1" applyFill="1" applyBorder="1" applyAlignment="1" applyProtection="1">
      <alignment horizontal="center" vertical="center" wrapText="1"/>
      <protection hidden="1"/>
    </xf>
    <xf numFmtId="0" fontId="50" fillId="0" borderId="9" xfId="0" applyFont="1" applyFill="1" applyBorder="1" applyAlignment="1" applyProtection="1">
      <alignment horizontal="center" vertical="center" wrapText="1"/>
      <protection hidden="1"/>
    </xf>
    <xf numFmtId="0" fontId="50" fillId="0" borderId="34" xfId="0" applyFont="1" applyFill="1" applyBorder="1" applyAlignment="1" applyProtection="1">
      <alignment horizontal="center" vertical="center" wrapText="1"/>
      <protection hidden="1"/>
    </xf>
    <xf numFmtId="0" fontId="50" fillId="0" borderId="32" xfId="0" applyFont="1" applyFill="1" applyBorder="1" applyAlignment="1" applyProtection="1">
      <alignment horizontal="center" vertical="center" wrapText="1"/>
      <protection hidden="1"/>
    </xf>
    <xf numFmtId="0" fontId="50" fillId="2" borderId="34" xfId="0" applyFont="1" applyFill="1" applyBorder="1" applyAlignment="1" applyProtection="1">
      <alignment horizontal="center" vertical="center" wrapText="1"/>
      <protection hidden="1"/>
    </xf>
    <xf numFmtId="167" fontId="50" fillId="2" borderId="9" xfId="0" applyNumberFormat="1" applyFont="1" applyFill="1" applyBorder="1" applyAlignment="1" applyProtection="1">
      <alignment horizontal="center" vertical="center" wrapText="1"/>
      <protection hidden="1"/>
    </xf>
    <xf numFmtId="166" fontId="50" fillId="2" borderId="8" xfId="0" applyNumberFormat="1" applyFont="1" applyFill="1" applyBorder="1" applyAlignment="1" applyProtection="1">
      <alignment horizontal="center" vertical="center" wrapText="1"/>
      <protection hidden="1"/>
    </xf>
    <xf numFmtId="2" fontId="74" fillId="0" borderId="1" xfId="0" applyNumberFormat="1" applyFont="1" applyFill="1" applyBorder="1" applyAlignment="1">
      <alignment horizontal="center"/>
    </xf>
    <xf numFmtId="0" fontId="76" fillId="0" borderId="0" xfId="0" applyFont="1" applyProtection="1">
      <protection hidden="1"/>
    </xf>
    <xf numFmtId="0" fontId="76" fillId="0" borderId="0" xfId="0" applyFont="1" applyAlignment="1" applyProtection="1">
      <alignment horizontal="center"/>
      <protection hidden="1"/>
    </xf>
    <xf numFmtId="0" fontId="28" fillId="0" borderId="0" xfId="0" applyFont="1" applyAlignment="1" applyProtection="1">
      <alignment horizontal="right"/>
      <protection hidden="1"/>
    </xf>
    <xf numFmtId="0" fontId="28" fillId="0" borderId="0" xfId="0" applyFont="1" applyAlignment="1" applyProtection="1">
      <alignment horizontal="right" vertical="center" wrapText="1"/>
      <protection hidden="1"/>
    </xf>
    <xf numFmtId="0" fontId="77" fillId="0" borderId="0" xfId="0" applyFont="1" applyBorder="1" applyAlignment="1" applyProtection="1">
      <alignment vertical="center" wrapText="1"/>
      <protection hidden="1"/>
    </xf>
    <xf numFmtId="0" fontId="76" fillId="0" borderId="0" xfId="0" applyFont="1" applyAlignment="1" applyProtection="1">
      <alignment horizontal="center" vertical="center" wrapText="1"/>
      <protection hidden="1"/>
    </xf>
    <xf numFmtId="0" fontId="77" fillId="0" borderId="0" xfId="0" applyFont="1" applyBorder="1" applyAlignment="1" applyProtection="1">
      <alignment horizontal="left" vertical="center" wrapText="1"/>
      <protection hidden="1"/>
    </xf>
    <xf numFmtId="0" fontId="28" fillId="0" borderId="0" xfId="0" applyFont="1" applyBorder="1" applyAlignment="1" applyProtection="1">
      <alignment horizontal="left" vertical="center" wrapText="1"/>
      <protection hidden="1"/>
    </xf>
    <xf numFmtId="0" fontId="49" fillId="2" borderId="0" xfId="0" applyFont="1" applyFill="1" applyBorder="1" applyAlignment="1" applyProtection="1">
      <alignment horizontal="left" vertical="center" wrapText="1"/>
      <protection hidden="1"/>
    </xf>
    <xf numFmtId="0" fontId="76" fillId="0" borderId="0" xfId="0" applyFont="1" applyBorder="1" applyAlignment="1" applyProtection="1">
      <alignment horizontal="left" vertical="center" wrapText="1"/>
      <protection hidden="1"/>
    </xf>
    <xf numFmtId="0" fontId="76" fillId="0" borderId="0" xfId="0" applyFont="1" applyBorder="1" applyAlignment="1" applyProtection="1">
      <alignment horizontal="left" vertical="center" wrapText="1"/>
      <protection hidden="1"/>
    </xf>
    <xf numFmtId="0" fontId="76" fillId="0" borderId="0" xfId="0" applyFont="1" applyBorder="1" applyAlignment="1" applyProtection="1">
      <alignment vertical="center" wrapText="1"/>
      <protection hidden="1"/>
    </xf>
    <xf numFmtId="0" fontId="76" fillId="0" borderId="0" xfId="0" applyFont="1" applyBorder="1" applyProtection="1">
      <protection hidden="1"/>
    </xf>
    <xf numFmtId="0" fontId="49" fillId="0" borderId="0" xfId="0" applyFont="1" applyProtection="1">
      <protection hidden="1"/>
    </xf>
    <xf numFmtId="0" fontId="49" fillId="0" borderId="0" xfId="0" applyFont="1" applyBorder="1" applyProtection="1">
      <protection hidden="1"/>
    </xf>
    <xf numFmtId="0" fontId="49" fillId="0" borderId="0" xfId="0" applyFont="1" applyAlignment="1" applyProtection="1">
      <alignment horizontal="left" vertical="center" wrapText="1"/>
      <protection hidden="1"/>
    </xf>
    <xf numFmtId="177" fontId="49" fillId="0" borderId="0" xfId="0" applyNumberFormat="1" applyFont="1" applyFill="1" applyAlignment="1" applyProtection="1">
      <alignment horizontal="left" vertical="center" wrapText="1"/>
      <protection hidden="1"/>
    </xf>
    <xf numFmtId="0" fontId="49" fillId="0" borderId="0" xfId="0" applyFont="1" applyAlignment="1" applyProtection="1">
      <alignment vertical="center" wrapText="1"/>
      <protection hidden="1"/>
    </xf>
    <xf numFmtId="0" fontId="76" fillId="0" borderId="0" xfId="0" applyFont="1" applyBorder="1" applyAlignment="1" applyProtection="1">
      <protection hidden="1"/>
    </xf>
    <xf numFmtId="0" fontId="49" fillId="0" borderId="0" xfId="0" applyFont="1" applyBorder="1" applyAlignment="1" applyProtection="1">
      <protection hidden="1"/>
    </xf>
    <xf numFmtId="0" fontId="76" fillId="0" borderId="0" xfId="0" applyFont="1" applyAlignment="1" applyProtection="1">
      <alignment horizontal="left" vertical="center" wrapText="1"/>
      <protection hidden="1"/>
    </xf>
    <xf numFmtId="0" fontId="49" fillId="2" borderId="0" xfId="0" applyFont="1" applyFill="1" applyAlignment="1" applyProtection="1">
      <alignment vertical="center" wrapText="1"/>
      <protection hidden="1"/>
    </xf>
    <xf numFmtId="0" fontId="28" fillId="0" borderId="0" xfId="0" applyFont="1" applyAlignment="1" applyProtection="1">
      <alignment vertical="center"/>
      <protection hidden="1"/>
    </xf>
    <xf numFmtId="0" fontId="49" fillId="0" borderId="0" xfId="0" applyFont="1" applyAlignment="1" applyProtection="1">
      <alignment horizontal="justify" vertical="justify" wrapText="1"/>
      <protection hidden="1"/>
    </xf>
    <xf numFmtId="0" fontId="76" fillId="0" borderId="0" xfId="0" applyFont="1" applyAlignment="1" applyProtection="1">
      <alignment vertical="justify" wrapText="1"/>
      <protection hidden="1"/>
    </xf>
    <xf numFmtId="1" fontId="28" fillId="0" borderId="0" xfId="0" applyNumberFormat="1" applyFont="1" applyAlignment="1" applyProtection="1">
      <alignment horizontal="right" vertical="center" wrapText="1"/>
      <protection hidden="1"/>
    </xf>
    <xf numFmtId="1" fontId="28" fillId="0" borderId="0" xfId="0" applyNumberFormat="1" applyFont="1" applyAlignment="1" applyProtection="1">
      <alignment horizontal="center"/>
      <protection hidden="1"/>
    </xf>
    <xf numFmtId="0" fontId="79" fillId="0" borderId="0" xfId="0" applyFont="1" applyAlignment="1" applyProtection="1">
      <alignment horizontal="left" vertical="center" wrapText="1"/>
      <protection hidden="1"/>
    </xf>
    <xf numFmtId="0" fontId="79" fillId="0" borderId="0" xfId="0" applyFont="1" applyAlignment="1" applyProtection="1">
      <alignment horizontal="justify" vertical="justify" wrapText="1"/>
      <protection hidden="1"/>
    </xf>
    <xf numFmtId="0" fontId="79" fillId="0" borderId="0" xfId="0" applyFont="1" applyProtection="1">
      <protection hidden="1"/>
    </xf>
    <xf numFmtId="0" fontId="80" fillId="0" borderId="0" xfId="0" applyFont="1" applyAlignment="1" applyProtection="1">
      <alignment horizontal="justify" vertical="center"/>
      <protection hidden="1"/>
    </xf>
    <xf numFmtId="0" fontId="81" fillId="0" borderId="0" xfId="0" applyFont="1" applyAlignment="1" applyProtection="1">
      <alignment horizontal="center"/>
      <protection hidden="1"/>
    </xf>
    <xf numFmtId="0" fontId="69" fillId="0" borderId="0" xfId="0" applyFont="1" applyBorder="1" applyAlignment="1" applyProtection="1">
      <alignment horizontal="center" vertical="center" wrapText="1"/>
      <protection hidden="1"/>
    </xf>
    <xf numFmtId="0" fontId="28" fillId="0" borderId="0" xfId="0" applyFont="1" applyBorder="1" applyAlignment="1" applyProtection="1">
      <alignment horizontal="justify" vertical="center" wrapText="1"/>
      <protection hidden="1"/>
    </xf>
    <xf numFmtId="0" fontId="76" fillId="0" borderId="0" xfId="0" applyFont="1" applyAlignment="1" applyProtection="1">
      <alignment horizontal="justify" vertical="center" wrapText="1"/>
      <protection hidden="1"/>
    </xf>
    <xf numFmtId="0" fontId="28" fillId="0" borderId="0" xfId="0" applyFont="1" applyAlignment="1" applyProtection="1">
      <alignment horizontal="justify" vertical="center" wrapText="1"/>
      <protection hidden="1"/>
    </xf>
    <xf numFmtId="1" fontId="28" fillId="0" borderId="0" xfId="0" applyNumberFormat="1" applyFont="1" applyAlignment="1" applyProtection="1">
      <alignment horizontal="justify" vertical="center" wrapText="1"/>
      <protection hidden="1"/>
    </xf>
    <xf numFmtId="0" fontId="79" fillId="0" borderId="0" xfId="0" applyFont="1" applyAlignment="1" applyProtection="1">
      <alignment horizontal="justify" vertical="center"/>
      <protection hidden="1"/>
    </xf>
    <xf numFmtId="0" fontId="49" fillId="0" borderId="0" xfId="0" applyFont="1" applyAlignment="1" applyProtection="1">
      <alignment horizontal="justify" vertical="center" wrapText="1"/>
      <protection hidden="1"/>
    </xf>
    <xf numFmtId="188" fontId="49" fillId="0" borderId="0" xfId="0" applyNumberFormat="1" applyFont="1" applyFill="1" applyAlignment="1" applyProtection="1">
      <alignment horizontal="left" vertical="center" wrapText="1"/>
      <protection hidden="1"/>
    </xf>
    <xf numFmtId="0" fontId="49" fillId="0" borderId="0" xfId="0" applyFont="1" applyFill="1" applyAlignment="1" applyProtection="1">
      <alignment vertical="center" wrapText="1"/>
      <protection hidden="1"/>
    </xf>
    <xf numFmtId="0" fontId="79" fillId="0" borderId="0" xfId="0" applyFont="1" applyAlignment="1" applyProtection="1">
      <alignment horizontal="left"/>
      <protection hidden="1"/>
    </xf>
    <xf numFmtId="0" fontId="77" fillId="0" borderId="0" xfId="0" applyFont="1" applyAlignment="1" applyProtection="1">
      <alignment horizontal="left" vertical="center"/>
      <protection hidden="1"/>
    </xf>
    <xf numFmtId="0" fontId="76" fillId="0" borderId="0" xfId="0" applyFont="1" applyAlignment="1" applyProtection="1">
      <alignment horizontal="justify" vertical="justify" wrapText="1"/>
      <protection hidden="1"/>
    </xf>
    <xf numFmtId="0" fontId="49" fillId="0" borderId="0" xfId="0" applyFont="1" applyFill="1" applyAlignment="1" applyProtection="1">
      <alignment horizontal="left" vertical="justify" wrapText="1"/>
      <protection hidden="1"/>
    </xf>
    <xf numFmtId="0" fontId="49" fillId="0" borderId="0" xfId="0" applyFont="1" applyFill="1" applyAlignment="1" applyProtection="1">
      <alignment horizontal="left" vertical="center" wrapText="1"/>
      <protection hidden="1"/>
    </xf>
    <xf numFmtId="0" fontId="49" fillId="0" borderId="0" xfId="0" applyFont="1" applyFill="1" applyAlignment="1" applyProtection="1">
      <alignment horizontal="justify" vertical="justify" wrapText="1"/>
      <protection hidden="1"/>
    </xf>
    <xf numFmtId="0" fontId="49" fillId="0" borderId="0" xfId="0" applyFont="1" applyFill="1" applyProtection="1">
      <protection hidden="1"/>
    </xf>
    <xf numFmtId="0" fontId="76" fillId="0" borderId="0" xfId="0" applyFont="1" applyFill="1" applyProtection="1">
      <protection hidden="1"/>
    </xf>
    <xf numFmtId="0" fontId="28" fillId="0" borderId="1" xfId="0" applyFont="1" applyFill="1" applyBorder="1" applyAlignment="1" applyProtection="1">
      <alignment horizontal="center" vertical="center"/>
      <protection hidden="1"/>
    </xf>
    <xf numFmtId="0" fontId="28" fillId="0" borderId="1" xfId="0" applyFont="1" applyFill="1" applyBorder="1" applyAlignment="1" applyProtection="1">
      <alignment horizontal="center" vertical="center" wrapText="1"/>
      <protection hidden="1"/>
    </xf>
    <xf numFmtId="0" fontId="49" fillId="0" borderId="0" xfId="0" applyFont="1" applyFill="1" applyAlignment="1" applyProtection="1">
      <alignment horizontal="center" vertical="center"/>
      <protection hidden="1"/>
    </xf>
    <xf numFmtId="2" fontId="82" fillId="27" borderId="0" xfId="9" applyFont="1" applyBorder="1" applyAlignment="1">
      <alignment horizontal="center" vertical="center" wrapText="1"/>
      <protection locked="0"/>
    </xf>
    <xf numFmtId="185" fontId="49" fillId="0" borderId="44" xfId="0" applyNumberFormat="1" applyFont="1" applyFill="1" applyBorder="1" applyAlignment="1" applyProtection="1">
      <alignment horizontal="center" vertical="center" wrapText="1"/>
      <protection hidden="1"/>
    </xf>
    <xf numFmtId="185" fontId="49" fillId="0" borderId="52" xfId="0" applyNumberFormat="1" applyFont="1" applyFill="1" applyBorder="1" applyAlignment="1" applyProtection="1">
      <alignment horizontal="center" vertical="center" wrapText="1"/>
      <protection hidden="1"/>
    </xf>
    <xf numFmtId="186" fontId="49" fillId="0" borderId="52" xfId="0" applyNumberFormat="1" applyFont="1" applyFill="1" applyBorder="1" applyAlignment="1" applyProtection="1">
      <alignment horizontal="center" vertical="center" wrapText="1"/>
      <protection hidden="1"/>
    </xf>
    <xf numFmtId="186" fontId="49" fillId="0" borderId="77" xfId="0" applyNumberFormat="1" applyFont="1" applyFill="1" applyBorder="1" applyAlignment="1" applyProtection="1">
      <alignment horizontal="center" vertical="center" wrapText="1"/>
      <protection hidden="1"/>
    </xf>
    <xf numFmtId="0" fontId="49" fillId="0" borderId="0" xfId="0" applyFont="1" applyAlignment="1" applyProtection="1">
      <alignment horizontal="right" vertical="top" wrapText="1"/>
      <protection hidden="1"/>
    </xf>
    <xf numFmtId="0" fontId="49" fillId="0" borderId="0" xfId="0" applyFont="1" applyFill="1" applyAlignment="1" applyProtection="1">
      <alignment horizontal="left" wrapText="1"/>
      <protection hidden="1"/>
    </xf>
    <xf numFmtId="0" fontId="83" fillId="0" borderId="0" xfId="0" applyFont="1" applyProtection="1">
      <protection hidden="1"/>
    </xf>
    <xf numFmtId="0" fontId="28" fillId="0" borderId="0" xfId="0" applyFont="1" applyAlignment="1" applyProtection="1">
      <alignment horizontal="left" vertical="center"/>
      <protection hidden="1"/>
    </xf>
    <xf numFmtId="0" fontId="77" fillId="0" borderId="0" xfId="0" applyFont="1" applyBorder="1" applyAlignment="1" applyProtection="1">
      <alignment horizontal="center" vertical="center" wrapText="1"/>
      <protection hidden="1"/>
    </xf>
    <xf numFmtId="0" fontId="30" fillId="0" borderId="6" xfId="0" applyFont="1" applyBorder="1" applyAlignment="1" applyProtection="1">
      <alignment horizontal="center" vertical="center" wrapText="1"/>
      <protection hidden="1"/>
    </xf>
    <xf numFmtId="0" fontId="84" fillId="0" borderId="0" xfId="0" applyFont="1" applyProtection="1">
      <protection hidden="1"/>
    </xf>
    <xf numFmtId="0" fontId="82" fillId="0" borderId="43" xfId="0" applyFont="1" applyFill="1" applyBorder="1" applyAlignment="1" applyProtection="1">
      <alignment horizontal="center" vertical="center" wrapText="1"/>
      <protection hidden="1"/>
    </xf>
    <xf numFmtId="0" fontId="82" fillId="0" borderId="43" xfId="0" applyFont="1" applyFill="1" applyBorder="1" applyAlignment="1" applyProtection="1">
      <alignment horizontal="center" vertical="center" wrapText="1"/>
      <protection hidden="1"/>
    </xf>
    <xf numFmtId="2" fontId="76" fillId="27" borderId="0" xfId="9" applyFont="1" applyBorder="1" applyAlignment="1">
      <alignment horizontal="center" vertical="center"/>
      <protection locked="0"/>
    </xf>
    <xf numFmtId="0" fontId="76" fillId="0" borderId="0" xfId="0" applyFont="1" applyBorder="1" applyAlignment="1" applyProtection="1">
      <alignment horizontal="center" vertical="center" wrapText="1"/>
      <protection hidden="1"/>
    </xf>
    <xf numFmtId="0" fontId="76" fillId="2" borderId="0" xfId="0" applyFont="1" applyFill="1" applyBorder="1" applyProtection="1">
      <protection hidden="1"/>
    </xf>
    <xf numFmtId="0" fontId="83" fillId="2" borderId="0" xfId="0" applyFont="1" applyFill="1" applyBorder="1" applyProtection="1">
      <protection hidden="1"/>
    </xf>
    <xf numFmtId="0" fontId="69" fillId="0" borderId="0" xfId="0" applyFont="1" applyAlignment="1" applyProtection="1">
      <alignment horizontal="left" vertical="center"/>
      <protection hidden="1"/>
    </xf>
    <xf numFmtId="0" fontId="83" fillId="0" borderId="0" xfId="0" applyFont="1" applyAlignment="1" applyProtection="1">
      <alignment horizontal="justify" vertical="justify" wrapText="1"/>
      <protection hidden="1"/>
    </xf>
    <xf numFmtId="0" fontId="30" fillId="0" borderId="2" xfId="0" applyFont="1" applyBorder="1" applyAlignment="1" applyProtection="1">
      <alignment horizontal="centerContinuous" vertical="center" wrapText="1"/>
      <protection hidden="1"/>
    </xf>
    <xf numFmtId="0" fontId="30" fillId="0" borderId="70" xfId="0" applyFont="1" applyFill="1" applyBorder="1" applyAlignment="1" applyProtection="1">
      <alignment horizontal="centerContinuous" vertical="center" wrapText="1"/>
      <protection hidden="1"/>
    </xf>
    <xf numFmtId="0" fontId="30" fillId="0" borderId="1" xfId="0" applyFont="1" applyFill="1" applyBorder="1" applyAlignment="1" applyProtection="1">
      <alignment horizontal="center" vertical="center"/>
      <protection hidden="1"/>
    </xf>
    <xf numFmtId="0" fontId="30" fillId="0" borderId="1" xfId="0" applyFont="1" applyFill="1" applyBorder="1" applyAlignment="1" applyProtection="1">
      <alignment horizontal="center" vertical="center" wrapText="1"/>
      <protection hidden="1"/>
    </xf>
    <xf numFmtId="0" fontId="82" fillId="0" borderId="70" xfId="0" applyFont="1" applyFill="1" applyBorder="1" applyAlignment="1" applyProtection="1">
      <alignment horizontal="center" vertical="center" wrapText="1"/>
      <protection hidden="1"/>
    </xf>
    <xf numFmtId="179" fontId="82" fillId="2" borderId="70" xfId="0" applyNumberFormat="1" applyFont="1" applyFill="1" applyBorder="1" applyAlignment="1" applyProtection="1">
      <alignment horizontal="center" vertical="center" wrapText="1"/>
      <protection hidden="1"/>
    </xf>
    <xf numFmtId="0" fontId="82" fillId="0" borderId="70" xfId="0" applyFont="1" applyBorder="1" applyAlignment="1" applyProtection="1">
      <alignment horizontal="center" vertical="center" wrapText="1"/>
      <protection hidden="1"/>
    </xf>
    <xf numFmtId="167" fontId="82" fillId="0" borderId="1" xfId="0" applyNumberFormat="1" applyFont="1" applyFill="1" applyBorder="1" applyAlignment="1" applyProtection="1">
      <alignment horizontal="centerContinuous" vertical="center" wrapText="1"/>
      <protection hidden="1"/>
    </xf>
    <xf numFmtId="167" fontId="82" fillId="0" borderId="1" xfId="0" applyNumberFormat="1" applyFont="1" applyFill="1" applyBorder="1" applyAlignment="1" applyProtection="1">
      <alignment horizontal="center" vertical="center" wrapText="1"/>
      <protection hidden="1"/>
    </xf>
    <xf numFmtId="0" fontId="82" fillId="0" borderId="1" xfId="0" applyFont="1" applyFill="1" applyBorder="1" applyAlignment="1" applyProtection="1">
      <alignment horizontal="center" vertical="center" wrapText="1"/>
      <protection hidden="1"/>
    </xf>
    <xf numFmtId="180" fontId="82" fillId="0" borderId="70" xfId="0" applyNumberFormat="1" applyFont="1" applyFill="1" applyBorder="1" applyAlignment="1" applyProtection="1">
      <alignment horizontal="center" vertical="center" wrapText="1"/>
      <protection hidden="1"/>
    </xf>
    <xf numFmtId="0" fontId="82" fillId="2" borderId="1" xfId="0" applyFont="1" applyFill="1" applyBorder="1" applyAlignment="1" applyProtection="1">
      <alignment horizontal="center" vertical="center" wrapText="1"/>
      <protection hidden="1"/>
    </xf>
    <xf numFmtId="2" fontId="82" fillId="0" borderId="1" xfId="0" applyNumberFormat="1" applyFont="1" applyFill="1" applyBorder="1" applyAlignment="1" applyProtection="1">
      <alignment horizontal="centerContinuous" vertical="center" wrapText="1"/>
      <protection hidden="1"/>
    </xf>
    <xf numFmtId="2" fontId="82" fillId="0" borderId="1" xfId="0" applyNumberFormat="1" applyFont="1" applyFill="1" applyBorder="1" applyAlignment="1" applyProtection="1">
      <alignment horizontal="center" vertical="center" wrapText="1"/>
      <protection hidden="1"/>
    </xf>
    <xf numFmtId="165" fontId="82" fillId="0" borderId="1" xfId="0" applyNumberFormat="1" applyFont="1" applyFill="1" applyBorder="1" applyAlignment="1" applyProtection="1">
      <alignment horizontal="center" vertical="center" wrapText="1"/>
      <protection hidden="1"/>
    </xf>
    <xf numFmtId="165" fontId="82" fillId="0" borderId="1" xfId="0" applyNumberFormat="1" applyFont="1" applyFill="1" applyBorder="1" applyAlignment="1" applyProtection="1">
      <alignment horizontal="centerContinuous" vertical="center" wrapText="1"/>
      <protection hidden="1"/>
    </xf>
    <xf numFmtId="166" fontId="82" fillId="0" borderId="1" xfId="0" applyNumberFormat="1" applyFont="1" applyFill="1" applyBorder="1" applyAlignment="1" applyProtection="1">
      <alignment horizontal="center" vertical="center" wrapText="1"/>
      <protection hidden="1"/>
    </xf>
    <xf numFmtId="166" fontId="82" fillId="0" borderId="1" xfId="0" applyNumberFormat="1" applyFont="1" applyFill="1" applyBorder="1" applyAlignment="1" applyProtection="1">
      <alignment horizontal="centerContinuous" vertical="center" wrapText="1"/>
      <protection hidden="1"/>
    </xf>
    <xf numFmtId="172" fontId="82" fillId="0" borderId="0" xfId="0" applyNumberFormat="1" applyFont="1" applyFill="1" applyBorder="1" applyAlignment="1" applyProtection="1">
      <alignment horizontal="centerContinuous" vertical="center" wrapText="1"/>
      <protection hidden="1"/>
    </xf>
    <xf numFmtId="0" fontId="82" fillId="0" borderId="0" xfId="0" applyFont="1" applyFill="1" applyBorder="1" applyAlignment="1" applyProtection="1">
      <alignment horizontal="centerContinuous" vertical="center" wrapText="1"/>
      <protection hidden="1"/>
    </xf>
    <xf numFmtId="1" fontId="82" fillId="0" borderId="0" xfId="0" applyNumberFormat="1" applyFont="1" applyFill="1" applyBorder="1" applyAlignment="1" applyProtection="1">
      <alignment horizontal="center" vertical="center" wrapText="1"/>
      <protection hidden="1"/>
    </xf>
    <xf numFmtId="0" fontId="82" fillId="0" borderId="0" xfId="0" applyFont="1" applyFill="1" applyBorder="1" applyAlignment="1" applyProtection="1">
      <alignment horizontal="center" vertical="center" wrapText="1"/>
      <protection hidden="1"/>
    </xf>
    <xf numFmtId="165" fontId="82" fillId="2" borderId="0" xfId="0" applyNumberFormat="1" applyFont="1" applyFill="1" applyBorder="1" applyAlignment="1" applyProtection="1">
      <alignment horizontal="center" vertical="center" wrapText="1"/>
      <protection hidden="1"/>
    </xf>
    <xf numFmtId="167" fontId="82" fillId="0" borderId="0" xfId="0" applyNumberFormat="1" applyFont="1" applyFill="1" applyBorder="1" applyAlignment="1" applyProtection="1">
      <alignment horizontal="centerContinuous" vertical="center" wrapText="1"/>
      <protection hidden="1"/>
    </xf>
    <xf numFmtId="0" fontId="82" fillId="0" borderId="0" xfId="0" applyFont="1" applyFill="1" applyProtection="1">
      <protection hidden="1"/>
    </xf>
    <xf numFmtId="0" fontId="30" fillId="0" borderId="2" xfId="0" applyFont="1" applyFill="1" applyBorder="1" applyAlignment="1" applyProtection="1">
      <alignment horizontal="centerContinuous" vertical="center" wrapText="1"/>
      <protection hidden="1"/>
    </xf>
    <xf numFmtId="0" fontId="30" fillId="0" borderId="4" xfId="0" applyFont="1" applyFill="1" applyBorder="1" applyAlignment="1" applyProtection="1">
      <alignment horizontal="centerContinuous" vertical="center" wrapText="1"/>
      <protection hidden="1"/>
    </xf>
    <xf numFmtId="0" fontId="82" fillId="0" borderId="6" xfId="0" applyFont="1" applyFill="1" applyBorder="1" applyAlignment="1" applyProtection="1">
      <alignment horizontal="center" vertical="center" wrapText="1"/>
      <protection hidden="1"/>
    </xf>
    <xf numFmtId="0" fontId="76" fillId="2" borderId="0" xfId="0" applyFont="1" applyFill="1" applyProtection="1">
      <protection hidden="1"/>
    </xf>
    <xf numFmtId="167" fontId="76" fillId="2" borderId="0" xfId="0" applyNumberFormat="1" applyFont="1" applyFill="1" applyProtection="1">
      <protection hidden="1"/>
    </xf>
    <xf numFmtId="2" fontId="49" fillId="2" borderId="0" xfId="0" applyNumberFormat="1" applyFont="1" applyFill="1" applyProtection="1">
      <protection hidden="1"/>
    </xf>
    <xf numFmtId="167" fontId="28" fillId="2" borderId="0" xfId="0" applyNumberFormat="1" applyFont="1" applyFill="1" applyAlignment="1" applyProtection="1">
      <alignment horizontal="center" vertical="center" wrapText="1"/>
      <protection hidden="1"/>
    </xf>
    <xf numFmtId="167" fontId="28" fillId="0" borderId="1" xfId="0" applyNumberFormat="1" applyFont="1" applyBorder="1" applyAlignment="1" applyProtection="1">
      <alignment horizontal="center" vertical="center" wrapText="1"/>
      <protection hidden="1"/>
    </xf>
    <xf numFmtId="167" fontId="49" fillId="0" borderId="0" xfId="0" applyNumberFormat="1" applyFont="1" applyProtection="1">
      <protection hidden="1"/>
    </xf>
    <xf numFmtId="167" fontId="76" fillId="0" borderId="0" xfId="0" applyNumberFormat="1" applyFont="1" applyProtection="1">
      <protection hidden="1"/>
    </xf>
    <xf numFmtId="0" fontId="28" fillId="0" borderId="1" xfId="0" applyFont="1" applyBorder="1" applyAlignment="1" applyProtection="1">
      <alignment horizontal="center" vertical="center" wrapText="1"/>
      <protection locked="0" hidden="1"/>
    </xf>
    <xf numFmtId="0" fontId="28" fillId="0" borderId="0" xfId="0" applyFont="1" applyBorder="1" applyAlignment="1" applyProtection="1">
      <alignment horizontal="center" vertical="center" wrapText="1"/>
      <protection hidden="1"/>
    </xf>
    <xf numFmtId="0" fontId="28" fillId="0" borderId="0" xfId="0" applyFont="1" applyAlignment="1" applyProtection="1">
      <alignment horizontal="center" vertical="center" wrapText="1"/>
      <protection hidden="1"/>
    </xf>
    <xf numFmtId="0" fontId="86" fillId="0" borderId="0" xfId="0" applyFont="1" applyAlignment="1" applyProtection="1">
      <alignment horizontal="left" vertical="center" wrapText="1"/>
      <protection hidden="1"/>
    </xf>
    <xf numFmtId="2" fontId="28" fillId="2" borderId="57" xfId="0" applyNumberFormat="1" applyFont="1" applyFill="1" applyBorder="1" applyAlignment="1" applyProtection="1">
      <alignment horizontal="center" wrapText="1"/>
      <protection hidden="1"/>
    </xf>
    <xf numFmtId="0" fontId="28" fillId="0" borderId="67" xfId="0" applyFont="1" applyFill="1" applyBorder="1" applyAlignment="1" applyProtection="1">
      <alignment horizontal="center" wrapText="1"/>
      <protection hidden="1"/>
    </xf>
    <xf numFmtId="166" fontId="28" fillId="0" borderId="35" xfId="0" applyNumberFormat="1" applyFont="1" applyBorder="1" applyAlignment="1" applyProtection="1">
      <alignment horizontal="center" wrapText="1"/>
      <protection hidden="1"/>
    </xf>
    <xf numFmtId="0" fontId="28" fillId="0" borderId="65" xfId="0" applyFont="1" applyFill="1" applyBorder="1" applyAlignment="1" applyProtection="1">
      <alignment horizontal="center" wrapText="1"/>
      <protection hidden="1"/>
    </xf>
    <xf numFmtId="165" fontId="28" fillId="0" borderId="55" xfId="0" applyNumberFormat="1" applyFont="1" applyBorder="1" applyAlignment="1" applyProtection="1">
      <alignment horizontal="center" wrapText="1"/>
      <protection hidden="1"/>
    </xf>
    <xf numFmtId="0" fontId="28" fillId="0" borderId="68" xfId="0" applyFont="1" applyFill="1" applyBorder="1" applyAlignment="1" applyProtection="1">
      <alignment horizontal="center" wrapText="1"/>
      <protection hidden="1"/>
    </xf>
    <xf numFmtId="0" fontId="49" fillId="2" borderId="0" xfId="0" applyFont="1" applyFill="1" applyProtection="1">
      <protection hidden="1"/>
    </xf>
    <xf numFmtId="1" fontId="28" fillId="0" borderId="0" xfId="0" applyNumberFormat="1" applyFont="1" applyAlignment="1" applyProtection="1">
      <protection hidden="1"/>
    </xf>
    <xf numFmtId="0" fontId="28" fillId="0" borderId="0" xfId="0" applyFont="1" applyFill="1" applyBorder="1" applyAlignment="1" applyProtection="1">
      <alignment horizontal="left" vertical="center" wrapText="1"/>
      <protection hidden="1"/>
    </xf>
    <xf numFmtId="0" fontId="76" fillId="14" borderId="0" xfId="0" applyFont="1" applyFill="1" applyProtection="1">
      <protection hidden="1"/>
    </xf>
    <xf numFmtId="0" fontId="83" fillId="14" borderId="0" xfId="0" applyFont="1" applyFill="1" applyAlignment="1" applyProtection="1">
      <alignment horizontal="left" vertical="justify" wrapText="1"/>
      <protection hidden="1"/>
    </xf>
    <xf numFmtId="0" fontId="83" fillId="0" borderId="0" xfId="0" applyFont="1" applyAlignment="1" applyProtection="1">
      <alignment horizontal="left" vertical="justify" wrapText="1"/>
      <protection hidden="1"/>
    </xf>
    <xf numFmtId="0" fontId="28" fillId="0" borderId="0" xfId="0" applyFont="1" applyAlignment="1" applyProtection="1">
      <alignment horizontal="center"/>
      <protection hidden="1"/>
    </xf>
    <xf numFmtId="0" fontId="76" fillId="0" borderId="0" xfId="0" applyFont="1" applyAlignment="1" applyProtection="1">
      <alignment horizontal="left"/>
      <protection hidden="1"/>
    </xf>
    <xf numFmtId="0" fontId="28" fillId="0" borderId="0" xfId="0" applyFont="1" applyAlignment="1" applyProtection="1">
      <alignment horizontal="center"/>
      <protection hidden="1"/>
    </xf>
    <xf numFmtId="2" fontId="49" fillId="27" borderId="0" xfId="9" applyFont="1" applyBorder="1" applyAlignment="1">
      <alignment horizontal="center"/>
      <protection locked="0"/>
    </xf>
    <xf numFmtId="0" fontId="49" fillId="0" borderId="0" xfId="0" applyFont="1" applyFill="1" applyAlignment="1" applyProtection="1">
      <protection hidden="1"/>
    </xf>
    <xf numFmtId="0" fontId="28" fillId="0" borderId="0" xfId="0" applyFont="1" applyAlignment="1" applyProtection="1">
      <protection hidden="1"/>
    </xf>
    <xf numFmtId="169" fontId="49" fillId="0" borderId="0" xfId="0" applyNumberFormat="1" applyFont="1" applyAlignment="1" applyProtection="1">
      <alignment horizontal="left"/>
      <protection hidden="1"/>
    </xf>
    <xf numFmtId="0" fontId="49" fillId="0" borderId="0" xfId="0" applyFont="1" applyAlignment="1" applyProtection="1">
      <protection hidden="1"/>
    </xf>
    <xf numFmtId="0" fontId="28" fillId="0" borderId="0" xfId="0" applyFont="1" applyAlignment="1" applyProtection="1">
      <alignment horizontal="center" vertical="center" wrapText="1"/>
      <protection hidden="1"/>
    </xf>
    <xf numFmtId="0" fontId="49" fillId="2" borderId="0" xfId="0" applyFont="1" applyFill="1" applyBorder="1" applyAlignment="1" applyProtection="1">
      <alignment horizontal="left" vertical="center" wrapText="1"/>
      <protection hidden="1"/>
    </xf>
    <xf numFmtId="0" fontId="49" fillId="0" borderId="0" xfId="0" applyFont="1" applyAlignment="1" applyProtection="1">
      <alignment horizontal="left" vertical="center" wrapText="1"/>
      <protection hidden="1"/>
    </xf>
    <xf numFmtId="0" fontId="49" fillId="0" borderId="0" xfId="0" applyFont="1" applyAlignment="1" applyProtection="1">
      <alignment horizontal="justify" vertical="center" wrapText="1"/>
      <protection hidden="1"/>
    </xf>
    <xf numFmtId="0" fontId="28" fillId="0" borderId="0" xfId="0" applyFont="1" applyBorder="1" applyAlignment="1" applyProtection="1">
      <alignment horizontal="left" vertical="center" wrapText="1"/>
      <protection hidden="1"/>
    </xf>
    <xf numFmtId="0" fontId="76" fillId="0" borderId="0" xfId="0" applyFont="1" applyAlignment="1" applyProtection="1">
      <alignment horizontal="center"/>
      <protection hidden="1"/>
    </xf>
    <xf numFmtId="0" fontId="76" fillId="0" borderId="0" xfId="0" applyFont="1" applyBorder="1" applyAlignment="1" applyProtection="1">
      <alignment horizontal="left" vertical="center" wrapText="1"/>
      <protection hidden="1"/>
    </xf>
    <xf numFmtId="0" fontId="76" fillId="0" borderId="0" xfId="0" applyFont="1" applyAlignment="1" applyProtection="1">
      <alignment horizontal="left" vertical="center" wrapText="1"/>
      <protection hidden="1"/>
    </xf>
    <xf numFmtId="0" fontId="49" fillId="0" borderId="0" xfId="0" applyFont="1" applyFill="1" applyAlignment="1" applyProtection="1">
      <alignment horizontal="left" vertical="center" wrapText="1"/>
      <protection hidden="1"/>
    </xf>
    <xf numFmtId="0" fontId="28" fillId="0" borderId="0" xfId="0" applyFont="1" applyFill="1" applyBorder="1" applyAlignment="1" applyProtection="1">
      <alignment horizontal="center" vertical="center" wrapText="1"/>
      <protection hidden="1"/>
    </xf>
    <xf numFmtId="0" fontId="49" fillId="0" borderId="0" xfId="0" applyFont="1" applyFill="1" applyAlignment="1" applyProtection="1">
      <alignment horizontal="left" vertical="justify" wrapText="1"/>
      <protection hidden="1"/>
    </xf>
    <xf numFmtId="0" fontId="28" fillId="0" borderId="0" xfId="0" applyFont="1" applyFill="1" applyBorder="1" applyAlignment="1" applyProtection="1">
      <alignment horizontal="left" vertical="center" wrapText="1"/>
      <protection hidden="1"/>
    </xf>
    <xf numFmtId="0" fontId="28" fillId="0" borderId="0" xfId="0" applyFont="1" applyAlignment="1" applyProtection="1">
      <alignment horizontal="center"/>
      <protection hidden="1"/>
    </xf>
    <xf numFmtId="0" fontId="50" fillId="0" borderId="0" xfId="0" applyFont="1" applyAlignment="1" applyProtection="1">
      <alignment horizontal="left" vertical="center" wrapText="1"/>
      <protection hidden="1"/>
    </xf>
    <xf numFmtId="0" fontId="27" fillId="0" borderId="0" xfId="0" applyFont="1" applyAlignment="1" applyProtection="1">
      <alignment horizontal="center" vertical="center" wrapText="1"/>
      <protection hidden="1"/>
    </xf>
    <xf numFmtId="0" fontId="27" fillId="0" borderId="0" xfId="0" applyFont="1" applyAlignment="1" applyProtection="1">
      <alignment horizontal="center"/>
      <protection hidden="1"/>
    </xf>
    <xf numFmtId="0" fontId="49" fillId="0" borderId="0" xfId="0" applyFont="1" applyAlignment="1" applyProtection="1">
      <alignment horizontal="center" vertical="center"/>
      <protection hidden="1"/>
    </xf>
    <xf numFmtId="169" fontId="1" fillId="6" borderId="9" xfId="0" applyNumberFormat="1" applyFont="1" applyFill="1" applyBorder="1" applyAlignment="1" applyProtection="1">
      <alignment horizontal="center" vertical="center" wrapText="1"/>
      <protection locked="0" hidden="1"/>
    </xf>
    <xf numFmtId="1" fontId="8" fillId="6" borderId="9" xfId="0" applyNumberFormat="1" applyFont="1" applyFill="1" applyBorder="1" applyAlignment="1" applyProtection="1">
      <alignment horizontal="center" vertical="center" wrapText="1"/>
      <protection locked="0" hidden="1"/>
    </xf>
    <xf numFmtId="0" fontId="10" fillId="0" borderId="43" xfId="0" applyFont="1" applyFill="1" applyBorder="1" applyAlignment="1" applyProtection="1">
      <alignment horizontal="center" vertical="center" wrapText="1"/>
      <protection locked="0" hidden="1"/>
    </xf>
    <xf numFmtId="0" fontId="1" fillId="0" borderId="43" xfId="0" applyFont="1" applyFill="1" applyBorder="1" applyAlignment="1" applyProtection="1">
      <alignment horizontal="center" vertical="center" wrapText="1"/>
      <protection locked="0" hidden="1"/>
    </xf>
    <xf numFmtId="167" fontId="1" fillId="6" borderId="40" xfId="0" applyNumberFormat="1" applyFont="1" applyFill="1" applyBorder="1" applyAlignment="1" applyProtection="1">
      <alignment horizontal="center" vertical="center" wrapText="1"/>
      <protection locked="0" hidden="1"/>
    </xf>
    <xf numFmtId="167" fontId="1" fillId="6" borderId="9" xfId="0" applyNumberFormat="1" applyFont="1" applyFill="1" applyBorder="1" applyAlignment="1" applyProtection="1">
      <alignment horizontal="center" vertical="center" wrapText="1"/>
      <protection locked="0" hidden="1"/>
    </xf>
    <xf numFmtId="0" fontId="1" fillId="6" borderId="43" xfId="0" applyFont="1" applyFill="1" applyBorder="1" applyAlignment="1" applyProtection="1">
      <alignment horizontal="center" vertical="center" wrapText="1"/>
      <protection locked="0" hidden="1"/>
    </xf>
    <xf numFmtId="0" fontId="50" fillId="0" borderId="0" xfId="0" applyFont="1" applyAlignment="1" applyProtection="1">
      <alignment horizontal="left" vertical="center" wrapText="1"/>
      <protection hidden="1"/>
    </xf>
    <xf numFmtId="0" fontId="28" fillId="0" borderId="0" xfId="0" applyFont="1" applyFill="1" applyBorder="1" applyAlignment="1" applyProtection="1">
      <alignment horizontal="center" vertical="center"/>
      <protection hidden="1"/>
    </xf>
    <xf numFmtId="0" fontId="49" fillId="0" borderId="0" xfId="0" applyFont="1" applyAlignment="1" applyProtection="1">
      <alignment vertical="center"/>
      <protection hidden="1"/>
    </xf>
    <xf numFmtId="169" fontId="49" fillId="0" borderId="0" xfId="0" applyNumberFormat="1" applyFont="1" applyFill="1" applyAlignment="1" applyProtection="1">
      <alignment horizontal="left"/>
      <protection hidden="1"/>
    </xf>
    <xf numFmtId="0" fontId="50" fillId="2" borderId="43" xfId="0" applyFont="1" applyFill="1" applyBorder="1" applyAlignment="1" applyProtection="1">
      <alignment horizontal="center" vertical="center" wrapText="1"/>
      <protection hidden="1"/>
    </xf>
    <xf numFmtId="169" fontId="50" fillId="2" borderId="43" xfId="0" applyNumberFormat="1" applyFont="1" applyFill="1" applyBorder="1" applyAlignment="1" applyProtection="1">
      <alignment horizontal="center"/>
      <protection hidden="1"/>
    </xf>
    <xf numFmtId="178" fontId="50" fillId="0" borderId="0" xfId="0" applyNumberFormat="1" applyFont="1" applyFill="1" applyAlignment="1" applyProtection="1">
      <alignment horizontal="left" vertical="center" wrapText="1"/>
      <protection hidden="1"/>
    </xf>
    <xf numFmtId="10" fontId="50" fillId="0" borderId="0" xfId="11" applyNumberFormat="1" applyFont="1" applyFill="1" applyAlignment="1" applyProtection="1">
      <alignment horizontal="left" vertical="center" wrapText="1"/>
      <protection hidden="1"/>
    </xf>
    <xf numFmtId="14" fontId="87" fillId="0" borderId="40" xfId="0" applyNumberFormat="1" applyFont="1" applyBorder="1" applyAlignment="1" applyProtection="1">
      <alignment horizontal="center" vertical="center" wrapText="1"/>
      <protection hidden="1"/>
    </xf>
    <xf numFmtId="0" fontId="87" fillId="0" borderId="9" xfId="0" applyFont="1" applyBorder="1" applyAlignment="1" applyProtection="1">
      <alignment horizontal="center" vertical="center" wrapText="1"/>
      <protection hidden="1"/>
    </xf>
    <xf numFmtId="0" fontId="88" fillId="2" borderId="0" xfId="0" applyFont="1" applyFill="1" applyBorder="1" applyProtection="1">
      <protection hidden="1"/>
    </xf>
    <xf numFmtId="0" fontId="50" fillId="2" borderId="79" xfId="0" applyFont="1" applyFill="1" applyBorder="1" applyAlignment="1" applyProtection="1">
      <alignment horizontal="center" vertical="center"/>
      <protection hidden="1"/>
    </xf>
    <xf numFmtId="167" fontId="50" fillId="2" borderId="79" xfId="0" applyNumberFormat="1" applyFont="1" applyFill="1" applyBorder="1" applyAlignment="1" applyProtection="1">
      <alignment horizontal="center" vertical="center"/>
      <protection hidden="1"/>
    </xf>
    <xf numFmtId="0" fontId="88" fillId="2" borderId="0" xfId="0" applyFont="1" applyFill="1" applyProtection="1">
      <protection hidden="1"/>
    </xf>
    <xf numFmtId="0" fontId="50" fillId="2" borderId="0" xfId="0" applyFont="1" applyFill="1" applyBorder="1" applyProtection="1">
      <protection hidden="1"/>
    </xf>
    <xf numFmtId="2" fontId="27" fillId="2" borderId="0" xfId="0" applyNumberFormat="1" applyFont="1" applyFill="1" applyBorder="1" applyAlignment="1" applyProtection="1">
      <alignment horizontal="center" wrapText="1"/>
      <protection hidden="1"/>
    </xf>
    <xf numFmtId="0" fontId="59" fillId="2" borderId="0" xfId="0" applyFont="1" applyFill="1" applyBorder="1" applyAlignment="1" applyProtection="1">
      <alignment horizontal="center" wrapText="1"/>
      <protection hidden="1"/>
    </xf>
    <xf numFmtId="166" fontId="27" fillId="2" borderId="0" xfId="0" applyNumberFormat="1" applyFont="1" applyFill="1" applyBorder="1" applyAlignment="1" applyProtection="1">
      <alignment horizontal="center" wrapText="1"/>
      <protection hidden="1"/>
    </xf>
    <xf numFmtId="165" fontId="27" fillId="2" borderId="0" xfId="0" applyNumberFormat="1" applyFont="1" applyFill="1" applyBorder="1" applyAlignment="1" applyProtection="1">
      <alignment horizontal="center" wrapText="1"/>
      <protection hidden="1"/>
    </xf>
    <xf numFmtId="177" fontId="50" fillId="0" borderId="0" xfId="0" applyNumberFormat="1" applyFont="1" applyFill="1" applyAlignment="1" applyProtection="1">
      <alignment horizontal="left" vertical="center" wrapText="1"/>
      <protection hidden="1"/>
    </xf>
    <xf numFmtId="0" fontId="33" fillId="17" borderId="6" xfId="0" applyFont="1" applyFill="1" applyBorder="1" applyAlignment="1" applyProtection="1">
      <alignment horizontal="center" vertical="center" wrapText="1"/>
      <protection hidden="1"/>
    </xf>
    <xf numFmtId="0" fontId="33" fillId="17" borderId="7" xfId="0" applyFont="1" applyFill="1" applyBorder="1" applyAlignment="1" applyProtection="1">
      <alignment horizontal="center" vertical="center" wrapText="1"/>
      <protection hidden="1"/>
    </xf>
    <xf numFmtId="0" fontId="33" fillId="17" borderId="8" xfId="0" applyFont="1" applyFill="1" applyBorder="1" applyAlignment="1" applyProtection="1">
      <alignment horizontal="center" vertical="center" wrapText="1"/>
      <protection hidden="1"/>
    </xf>
    <xf numFmtId="0" fontId="33" fillId="17" borderId="2" xfId="0" applyFont="1" applyFill="1" applyBorder="1" applyAlignment="1" applyProtection="1">
      <alignment horizontal="center" vertical="center" wrapText="1"/>
      <protection hidden="1"/>
    </xf>
    <xf numFmtId="0" fontId="33" fillId="17" borderId="3" xfId="0" applyFont="1" applyFill="1" applyBorder="1" applyAlignment="1" applyProtection="1">
      <alignment horizontal="center" vertical="center" wrapText="1"/>
      <protection hidden="1"/>
    </xf>
    <xf numFmtId="0" fontId="33" fillId="17" borderId="4" xfId="0" applyFont="1" applyFill="1" applyBorder="1" applyAlignment="1" applyProtection="1">
      <alignment horizontal="center" vertical="center" wrapText="1"/>
      <protection hidden="1"/>
    </xf>
    <xf numFmtId="0" fontId="33" fillId="17" borderId="46" xfId="0" applyFont="1" applyFill="1" applyBorder="1" applyAlignment="1" applyProtection="1">
      <alignment horizontal="center" vertical="center" wrapText="1"/>
      <protection hidden="1"/>
    </xf>
    <xf numFmtId="0" fontId="33" fillId="17" borderId="5" xfId="0" applyFont="1" applyFill="1" applyBorder="1" applyAlignment="1" applyProtection="1">
      <alignment horizontal="center" vertical="center" wrapText="1"/>
      <protection hidden="1"/>
    </xf>
    <xf numFmtId="0" fontId="33" fillId="17" borderId="38" xfId="0" applyFont="1" applyFill="1" applyBorder="1" applyAlignment="1" applyProtection="1">
      <alignment horizontal="center" vertical="center" wrapText="1"/>
      <protection hidden="1"/>
    </xf>
    <xf numFmtId="0" fontId="33" fillId="17" borderId="6" xfId="0" applyFont="1" applyFill="1" applyBorder="1" applyAlignment="1" applyProtection="1">
      <alignment horizontal="center" vertical="center"/>
      <protection hidden="1"/>
    </xf>
    <xf numFmtId="0" fontId="33" fillId="17" borderId="3" xfId="0" applyFont="1" applyFill="1" applyBorder="1" applyAlignment="1" applyProtection="1">
      <alignment horizontal="center" vertical="center"/>
      <protection hidden="1"/>
    </xf>
    <xf numFmtId="0" fontId="33" fillId="17" borderId="4" xfId="0" applyFont="1" applyFill="1" applyBorder="1" applyAlignment="1" applyProtection="1">
      <alignment horizontal="center" vertical="center"/>
      <protection hidden="1"/>
    </xf>
    <xf numFmtId="0" fontId="33" fillId="17" borderId="7" xfId="0" applyFont="1" applyFill="1" applyBorder="1" applyAlignment="1" applyProtection="1">
      <alignment horizontal="center" vertical="center"/>
      <protection hidden="1"/>
    </xf>
    <xf numFmtId="0" fontId="33" fillId="17" borderId="8" xfId="0" applyFont="1" applyFill="1" applyBorder="1" applyAlignment="1" applyProtection="1">
      <alignment horizontal="center" vertical="center"/>
      <protection hidden="1"/>
    </xf>
    <xf numFmtId="0" fontId="19" fillId="0" borderId="6" xfId="0" applyFont="1" applyBorder="1" applyAlignment="1" applyProtection="1">
      <alignment horizontal="center"/>
      <protection hidden="1"/>
    </xf>
    <xf numFmtId="0" fontId="19" fillId="0" borderId="7" xfId="0" applyFont="1" applyBorder="1" applyAlignment="1" applyProtection="1">
      <alignment horizontal="center"/>
      <protection hidden="1"/>
    </xf>
    <xf numFmtId="0" fontId="19" fillId="0" borderId="8" xfId="0" applyFont="1" applyBorder="1" applyAlignment="1" applyProtection="1">
      <alignment horizontal="center"/>
      <protection hidden="1"/>
    </xf>
    <xf numFmtId="0" fontId="27" fillId="17" borderId="2" xfId="0" applyFont="1" applyFill="1" applyBorder="1" applyAlignment="1" applyProtection="1">
      <alignment horizontal="center" vertical="center"/>
      <protection hidden="1"/>
    </xf>
    <xf numFmtId="0" fontId="27" fillId="17" borderId="3" xfId="0" applyFont="1" applyFill="1" applyBorder="1" applyAlignment="1" applyProtection="1">
      <alignment horizontal="center" vertical="center"/>
      <protection hidden="1"/>
    </xf>
    <xf numFmtId="0" fontId="27" fillId="17" borderId="4" xfId="0" applyFont="1" applyFill="1" applyBorder="1" applyAlignment="1" applyProtection="1">
      <alignment horizontal="center" vertical="center"/>
      <protection hidden="1"/>
    </xf>
    <xf numFmtId="0" fontId="27" fillId="17" borderId="46" xfId="0" applyFont="1" applyFill="1" applyBorder="1" applyAlignment="1" applyProtection="1">
      <alignment horizontal="center" vertical="center"/>
      <protection hidden="1"/>
    </xf>
    <xf numFmtId="0" fontId="27" fillId="17" borderId="5" xfId="0" applyFont="1" applyFill="1" applyBorder="1" applyAlignment="1" applyProtection="1">
      <alignment horizontal="center" vertical="center"/>
      <protection hidden="1"/>
    </xf>
    <xf numFmtId="0" fontId="27" fillId="17" borderId="38" xfId="0" applyFont="1" applyFill="1" applyBorder="1" applyAlignment="1" applyProtection="1">
      <alignment horizontal="center" vertical="center"/>
      <protection hidden="1"/>
    </xf>
    <xf numFmtId="0" fontId="19" fillId="29" borderId="2" xfId="0" applyFont="1" applyFill="1" applyBorder="1" applyAlignment="1" applyProtection="1">
      <alignment horizontal="center" vertical="center" textRotation="90" wrapText="1"/>
      <protection hidden="1"/>
    </xf>
    <xf numFmtId="0" fontId="19" fillId="29" borderId="69" xfId="0" applyFont="1" applyFill="1" applyBorder="1" applyAlignment="1" applyProtection="1">
      <alignment horizontal="center" vertical="center" textRotation="90" wrapText="1"/>
      <protection hidden="1"/>
    </xf>
    <xf numFmtId="0" fontId="19" fillId="29" borderId="10" xfId="0" applyFont="1" applyFill="1" applyBorder="1" applyAlignment="1" applyProtection="1">
      <alignment horizontal="center" vertical="center" textRotation="90" wrapText="1"/>
      <protection hidden="1"/>
    </xf>
    <xf numFmtId="0" fontId="73" fillId="0" borderId="6" xfId="0" applyFont="1" applyBorder="1" applyAlignment="1" applyProtection="1">
      <alignment horizontal="center" vertical="center"/>
      <protection hidden="1"/>
    </xf>
    <xf numFmtId="0" fontId="73" fillId="0" borderId="7" xfId="0" applyFont="1" applyBorder="1" applyAlignment="1" applyProtection="1">
      <alignment horizontal="center" vertical="center"/>
      <protection hidden="1"/>
    </xf>
    <xf numFmtId="0" fontId="73" fillId="0" borderId="8" xfId="0" applyFont="1" applyBorder="1" applyAlignment="1" applyProtection="1">
      <alignment horizontal="center" vertical="center"/>
      <protection hidden="1"/>
    </xf>
    <xf numFmtId="0" fontId="19" fillId="0" borderId="0" xfId="0" applyFont="1" applyFill="1" applyBorder="1" applyAlignment="1" applyProtection="1">
      <alignment horizontal="center" vertical="center"/>
      <protection hidden="1"/>
    </xf>
    <xf numFmtId="164" fontId="19" fillId="0" borderId="0" xfId="0" applyNumberFormat="1" applyFont="1" applyFill="1" applyBorder="1" applyAlignment="1" applyProtection="1">
      <alignment horizontal="center" vertical="center"/>
      <protection hidden="1"/>
    </xf>
    <xf numFmtId="0" fontId="19" fillId="0" borderId="0" xfId="0" applyFont="1" applyFill="1" applyBorder="1" applyAlignment="1" applyProtection="1">
      <alignment horizontal="center" vertical="center" wrapText="1"/>
      <protection hidden="1"/>
    </xf>
    <xf numFmtId="0" fontId="20" fillId="18" borderId="6" xfId="0" applyFont="1" applyFill="1" applyBorder="1" applyAlignment="1" applyProtection="1">
      <alignment horizontal="center" vertical="center"/>
      <protection hidden="1"/>
    </xf>
    <xf numFmtId="0" fontId="20" fillId="18" borderId="7" xfId="0" applyFont="1" applyFill="1" applyBorder="1" applyAlignment="1" applyProtection="1">
      <alignment horizontal="center" vertical="center"/>
      <protection hidden="1"/>
    </xf>
    <xf numFmtId="0" fontId="20" fillId="18" borderId="8" xfId="0" applyFont="1" applyFill="1" applyBorder="1" applyAlignment="1" applyProtection="1">
      <alignment horizontal="center" vertical="center"/>
      <protection hidden="1"/>
    </xf>
    <xf numFmtId="0" fontId="19" fillId="0" borderId="31" xfId="0" applyFont="1" applyFill="1" applyBorder="1" applyAlignment="1" applyProtection="1">
      <alignment horizontal="center" vertical="center"/>
      <protection hidden="1"/>
    </xf>
    <xf numFmtId="0" fontId="19" fillId="0" borderId="58" xfId="0" applyFont="1" applyFill="1" applyBorder="1" applyAlignment="1" applyProtection="1">
      <alignment horizontal="center" vertical="center"/>
      <protection hidden="1"/>
    </xf>
    <xf numFmtId="0" fontId="19" fillId="0" borderId="53" xfId="0" applyFont="1" applyFill="1" applyBorder="1" applyAlignment="1" applyProtection="1">
      <alignment horizontal="center" vertical="center"/>
      <protection hidden="1"/>
    </xf>
    <xf numFmtId="0" fontId="20" fillId="17" borderId="6" xfId="0" applyFont="1" applyFill="1" applyBorder="1" applyAlignment="1" applyProtection="1">
      <alignment horizontal="center" vertical="center"/>
      <protection hidden="1"/>
    </xf>
    <xf numFmtId="0" fontId="20" fillId="17" borderId="7" xfId="0" applyFont="1" applyFill="1" applyBorder="1" applyAlignment="1" applyProtection="1">
      <alignment horizontal="center" vertical="center"/>
      <protection hidden="1"/>
    </xf>
    <xf numFmtId="0" fontId="20" fillId="17" borderId="8" xfId="0" applyFont="1" applyFill="1" applyBorder="1" applyAlignment="1" applyProtection="1">
      <alignment horizontal="center" vertical="center"/>
      <protection hidden="1"/>
    </xf>
    <xf numFmtId="0" fontId="19" fillId="0" borderId="31" xfId="0" applyFont="1" applyFill="1" applyBorder="1" applyAlignment="1" applyProtection="1">
      <alignment horizontal="center"/>
      <protection hidden="1"/>
    </xf>
    <xf numFmtId="0" fontId="19" fillId="0" borderId="47" xfId="0" applyFont="1" applyFill="1" applyBorder="1" applyAlignment="1" applyProtection="1">
      <alignment horizontal="center"/>
      <protection hidden="1"/>
    </xf>
    <xf numFmtId="0" fontId="20" fillId="26" borderId="41" xfId="0" applyFont="1" applyFill="1" applyBorder="1" applyAlignment="1" applyProtection="1">
      <alignment horizontal="center" vertical="center" wrapText="1"/>
      <protection hidden="1"/>
    </xf>
    <xf numFmtId="0" fontId="20" fillId="26" borderId="59" xfId="0" applyFont="1" applyFill="1" applyBorder="1" applyAlignment="1" applyProtection="1">
      <alignment horizontal="center" vertical="center" wrapText="1"/>
      <protection hidden="1"/>
    </xf>
    <xf numFmtId="0" fontId="28" fillId="31" borderId="2" xfId="0" applyFont="1" applyFill="1" applyBorder="1" applyAlignment="1">
      <alignment horizontal="center" vertical="center"/>
    </xf>
    <xf numFmtId="0" fontId="28" fillId="31" borderId="4" xfId="0" applyFont="1" applyFill="1" applyBorder="1" applyAlignment="1">
      <alignment horizontal="center" vertical="center"/>
    </xf>
    <xf numFmtId="0" fontId="28" fillId="31" borderId="10" xfId="0" applyFont="1" applyFill="1" applyBorder="1" applyAlignment="1">
      <alignment horizontal="center" vertical="center"/>
    </xf>
    <xf numFmtId="0" fontId="28" fillId="31" borderId="48" xfId="0" applyFont="1" applyFill="1" applyBorder="1" applyAlignment="1">
      <alignment horizontal="center" vertical="center"/>
    </xf>
    <xf numFmtId="0" fontId="28" fillId="31" borderId="46" xfId="0" applyFont="1" applyFill="1" applyBorder="1" applyAlignment="1">
      <alignment horizontal="center" vertical="center"/>
    </xf>
    <xf numFmtId="0" fontId="28" fillId="31" borderId="38" xfId="0" applyFont="1" applyFill="1" applyBorder="1" applyAlignment="1">
      <alignment horizontal="center" vertical="center"/>
    </xf>
    <xf numFmtId="0" fontId="49" fillId="31" borderId="71" xfId="0" applyFont="1" applyFill="1" applyBorder="1" applyAlignment="1">
      <alignment horizontal="center" vertical="center" wrapText="1"/>
    </xf>
    <xf numFmtId="0" fontId="49" fillId="31" borderId="50" xfId="0" applyFont="1" applyFill="1" applyBorder="1" applyAlignment="1">
      <alignment horizontal="center" vertical="center" wrapText="1"/>
    </xf>
    <xf numFmtId="0" fontId="49" fillId="31" borderId="44" xfId="0" applyFont="1" applyFill="1" applyBorder="1" applyAlignment="1">
      <alignment horizontal="center" vertical="center" wrapText="1"/>
    </xf>
    <xf numFmtId="0" fontId="49" fillId="31" borderId="66" xfId="0" applyFont="1" applyFill="1" applyBorder="1" applyAlignment="1">
      <alignment horizontal="center" vertical="center"/>
    </xf>
    <xf numFmtId="0" fontId="49" fillId="31" borderId="15" xfId="0" applyFont="1" applyFill="1" applyBorder="1" applyAlignment="1">
      <alignment horizontal="center" vertical="center"/>
    </xf>
    <xf numFmtId="0" fontId="49" fillId="31" borderId="52" xfId="0" applyFont="1" applyFill="1" applyBorder="1" applyAlignment="1">
      <alignment horizontal="center" vertical="center"/>
    </xf>
    <xf numFmtId="3" fontId="49" fillId="31" borderId="72" xfId="0" applyNumberFormat="1" applyFont="1" applyFill="1" applyBorder="1" applyAlignment="1">
      <alignment horizontal="center" vertical="center" wrapText="1"/>
    </xf>
    <xf numFmtId="3" fontId="49" fillId="31" borderId="64" xfId="0" applyNumberFormat="1" applyFont="1" applyFill="1" applyBorder="1" applyAlignment="1">
      <alignment horizontal="center" vertical="center" wrapText="1"/>
    </xf>
    <xf numFmtId="3" fontId="49" fillId="31" borderId="77" xfId="0" applyNumberFormat="1" applyFont="1" applyFill="1" applyBorder="1" applyAlignment="1">
      <alignment horizontal="center" vertical="center" wrapText="1"/>
    </xf>
    <xf numFmtId="0" fontId="20" fillId="29" borderId="39" xfId="0" applyFont="1" applyFill="1" applyBorder="1" applyAlignment="1" applyProtection="1">
      <alignment horizontal="center" vertical="center" textRotation="90" wrapText="1"/>
      <protection hidden="1"/>
    </xf>
    <xf numFmtId="0" fontId="20" fillId="29" borderId="32" xfId="0" applyFont="1" applyFill="1" applyBorder="1" applyAlignment="1" applyProtection="1">
      <alignment horizontal="center" vertical="center" textRotation="90" wrapText="1"/>
      <protection hidden="1"/>
    </xf>
    <xf numFmtId="0" fontId="20" fillId="29" borderId="42" xfId="0" applyFont="1" applyFill="1" applyBorder="1" applyAlignment="1" applyProtection="1">
      <alignment horizontal="center" vertical="center" textRotation="90" wrapText="1"/>
      <protection hidden="1"/>
    </xf>
    <xf numFmtId="169" fontId="3" fillId="6" borderId="15" xfId="0" quotePrefix="1" applyNumberFormat="1" applyFont="1" applyFill="1" applyBorder="1" applyAlignment="1" applyProtection="1">
      <alignment horizontal="center" vertical="center"/>
      <protection hidden="1"/>
    </xf>
    <xf numFmtId="169" fontId="19" fillId="6" borderId="15" xfId="0" applyNumberFormat="1" applyFont="1" applyFill="1" applyBorder="1" applyAlignment="1" applyProtection="1">
      <alignment horizontal="center" vertical="center"/>
      <protection hidden="1"/>
    </xf>
    <xf numFmtId="169" fontId="19" fillId="6" borderId="18" xfId="0" applyNumberFormat="1" applyFont="1" applyFill="1" applyBorder="1" applyAlignment="1" applyProtection="1">
      <alignment horizontal="center" vertical="center"/>
      <protection hidden="1"/>
    </xf>
    <xf numFmtId="14" fontId="3" fillId="6" borderId="64" xfId="0" quotePrefix="1" applyNumberFormat="1" applyFont="1" applyFill="1" applyBorder="1" applyAlignment="1" applyProtection="1">
      <alignment horizontal="center" vertical="center"/>
      <protection hidden="1"/>
    </xf>
    <xf numFmtId="14" fontId="19" fillId="6" borderId="64" xfId="0" applyNumberFormat="1" applyFont="1" applyFill="1" applyBorder="1" applyAlignment="1" applyProtection="1">
      <alignment horizontal="center" vertical="center"/>
      <protection hidden="1"/>
    </xf>
    <xf numFmtId="14" fontId="19" fillId="6" borderId="36" xfId="0" applyNumberFormat="1" applyFont="1" applyFill="1" applyBorder="1" applyAlignment="1" applyProtection="1">
      <alignment horizontal="center" vertical="center"/>
      <protection hidden="1"/>
    </xf>
    <xf numFmtId="0" fontId="19" fillId="26" borderId="70" xfId="0" applyFont="1" applyFill="1" applyBorder="1" applyAlignment="1" applyProtection="1">
      <alignment horizontal="center" vertical="center"/>
      <protection hidden="1"/>
    </xf>
    <xf numFmtId="0" fontId="19" fillId="26" borderId="69" xfId="0" applyFont="1" applyFill="1" applyBorder="1" applyAlignment="1" applyProtection="1">
      <alignment horizontal="center" vertical="center"/>
      <protection hidden="1"/>
    </xf>
    <xf numFmtId="0" fontId="20" fillId="26" borderId="2" xfId="0" applyFont="1" applyFill="1" applyBorder="1" applyAlignment="1" applyProtection="1">
      <alignment horizontal="center" vertical="center" wrapText="1"/>
      <protection hidden="1"/>
    </xf>
    <xf numFmtId="0" fontId="20" fillId="26" borderId="3" xfId="0" applyFont="1" applyFill="1" applyBorder="1" applyAlignment="1" applyProtection="1">
      <alignment horizontal="center" vertical="center" wrapText="1"/>
      <protection hidden="1"/>
    </xf>
    <xf numFmtId="0" fontId="20" fillId="26" borderId="4" xfId="0" applyFont="1" applyFill="1" applyBorder="1" applyAlignment="1" applyProtection="1">
      <alignment horizontal="center" vertical="center" wrapText="1"/>
      <protection hidden="1"/>
    </xf>
    <xf numFmtId="0" fontId="20" fillId="26" borderId="10" xfId="0" applyFont="1" applyFill="1" applyBorder="1" applyAlignment="1" applyProtection="1">
      <alignment horizontal="center" vertical="center" wrapText="1"/>
      <protection hidden="1"/>
    </xf>
    <xf numFmtId="0" fontId="20" fillId="26" borderId="0" xfId="0" applyFont="1" applyFill="1" applyBorder="1" applyAlignment="1" applyProtection="1">
      <alignment horizontal="center" vertical="center" wrapText="1"/>
      <protection hidden="1"/>
    </xf>
    <xf numFmtId="0" fontId="20" fillId="26" borderId="48" xfId="0" applyFont="1" applyFill="1" applyBorder="1" applyAlignment="1" applyProtection="1">
      <alignment horizontal="center" vertical="center" wrapText="1"/>
      <protection hidden="1"/>
    </xf>
    <xf numFmtId="0" fontId="20" fillId="26" borderId="47" xfId="0" applyFont="1" applyFill="1" applyBorder="1" applyAlignment="1" applyProtection="1">
      <alignment horizontal="center" vertical="center" wrapText="1"/>
      <protection hidden="1"/>
    </xf>
    <xf numFmtId="0" fontId="20" fillId="26" borderId="26" xfId="0" applyFont="1" applyFill="1" applyBorder="1" applyAlignment="1" applyProtection="1">
      <alignment horizontal="center" vertical="center" wrapText="1"/>
      <protection hidden="1"/>
    </xf>
    <xf numFmtId="0" fontId="6" fillId="29" borderId="40" xfId="0" applyFont="1" applyFill="1" applyBorder="1" applyAlignment="1" applyProtection="1">
      <alignment horizontal="center" vertical="center"/>
      <protection hidden="1"/>
    </xf>
    <xf numFmtId="0" fontId="19" fillId="29" borderId="9" xfId="0" applyFont="1" applyFill="1" applyBorder="1" applyAlignment="1" applyProtection="1">
      <alignment horizontal="center" vertical="center"/>
      <protection hidden="1"/>
    </xf>
    <xf numFmtId="0" fontId="19" fillId="29" borderId="43" xfId="0" applyFont="1" applyFill="1" applyBorder="1" applyAlignment="1" applyProtection="1">
      <alignment horizontal="center" vertical="center"/>
      <protection hidden="1"/>
    </xf>
    <xf numFmtId="0" fontId="19" fillId="6" borderId="26" xfId="0" applyFont="1" applyFill="1" applyBorder="1" applyAlignment="1" applyProtection="1">
      <alignment horizontal="center" vertical="center"/>
      <protection hidden="1"/>
    </xf>
    <xf numFmtId="0" fontId="19" fillId="6" borderId="16" xfId="0" applyFont="1" applyFill="1" applyBorder="1" applyAlignment="1" applyProtection="1">
      <alignment horizontal="center" vertical="center"/>
      <protection hidden="1"/>
    </xf>
    <xf numFmtId="0" fontId="19" fillId="6" borderId="17" xfId="0" applyFont="1" applyFill="1" applyBorder="1" applyAlignment="1" applyProtection="1">
      <alignment horizontal="center" vertical="center"/>
      <protection hidden="1"/>
    </xf>
    <xf numFmtId="0" fontId="13" fillId="30" borderId="36" xfId="0" applyFont="1" applyFill="1" applyBorder="1" applyAlignment="1" applyProtection="1">
      <alignment horizontal="center" vertical="center" wrapText="1"/>
      <protection hidden="1"/>
    </xf>
    <xf numFmtId="0" fontId="19" fillId="30" borderId="34" xfId="0" applyFont="1" applyFill="1" applyBorder="1" applyAlignment="1" applyProtection="1">
      <alignment horizontal="center" vertical="center" wrapText="1"/>
      <protection hidden="1"/>
    </xf>
    <xf numFmtId="0" fontId="19" fillId="30" borderId="37" xfId="0" applyFont="1" applyFill="1" applyBorder="1" applyAlignment="1" applyProtection="1">
      <alignment horizontal="center" vertical="center" wrapText="1"/>
      <protection hidden="1"/>
    </xf>
    <xf numFmtId="14" fontId="3" fillId="6" borderId="59" xfId="0" quotePrefix="1" applyNumberFormat="1" applyFont="1" applyFill="1" applyBorder="1" applyAlignment="1" applyProtection="1">
      <alignment horizontal="center" vertical="center"/>
      <protection hidden="1"/>
    </xf>
    <xf numFmtId="14" fontId="6" fillId="6" borderId="40" xfId="0" applyNumberFormat="1" applyFont="1" applyFill="1" applyBorder="1" applyAlignment="1" applyProtection="1">
      <alignment horizontal="center" vertical="center"/>
      <protection hidden="1"/>
    </xf>
    <xf numFmtId="14" fontId="19" fillId="6" borderId="9" xfId="0" applyNumberFormat="1" applyFont="1" applyFill="1" applyBorder="1" applyAlignment="1" applyProtection="1">
      <alignment horizontal="center" vertical="center"/>
      <protection hidden="1"/>
    </xf>
    <xf numFmtId="14" fontId="19" fillId="6" borderId="43" xfId="0" applyNumberFormat="1" applyFont="1" applyFill="1" applyBorder="1" applyAlignment="1" applyProtection="1">
      <alignment horizontal="center" vertical="center"/>
      <protection hidden="1"/>
    </xf>
    <xf numFmtId="0" fontId="3" fillId="6" borderId="59" xfId="0" quotePrefix="1" applyFont="1" applyFill="1" applyBorder="1" applyAlignment="1" applyProtection="1">
      <alignment horizontal="center" vertical="center"/>
      <protection hidden="1"/>
    </xf>
    <xf numFmtId="0" fontId="19" fillId="6" borderId="64" xfId="0" applyFont="1" applyFill="1" applyBorder="1" applyAlignment="1" applyProtection="1">
      <alignment horizontal="center" vertical="center"/>
      <protection hidden="1"/>
    </xf>
    <xf numFmtId="0" fontId="19" fillId="6" borderId="77" xfId="0" applyFont="1" applyFill="1" applyBorder="1" applyAlignment="1" applyProtection="1">
      <alignment horizontal="center" vertical="center"/>
      <protection hidden="1"/>
    </xf>
    <xf numFmtId="14" fontId="14" fillId="6" borderId="40" xfId="0" applyNumberFormat="1" applyFont="1" applyFill="1" applyBorder="1" applyAlignment="1" applyProtection="1">
      <alignment horizontal="center" vertical="center"/>
      <protection hidden="1"/>
    </xf>
    <xf numFmtId="169" fontId="19" fillId="30" borderId="40" xfId="0" applyNumberFormat="1" applyFont="1" applyFill="1" applyBorder="1" applyAlignment="1" applyProtection="1">
      <alignment horizontal="center" vertical="center" wrapText="1"/>
      <protection hidden="1"/>
    </xf>
    <xf numFmtId="169" fontId="19" fillId="30" borderId="9" xfId="0" applyNumberFormat="1" applyFont="1" applyFill="1" applyBorder="1" applyAlignment="1" applyProtection="1">
      <alignment horizontal="center" vertical="center" wrapText="1"/>
      <protection hidden="1"/>
    </xf>
    <xf numFmtId="169" fontId="19" fillId="30" borderId="12" xfId="0" applyNumberFormat="1" applyFont="1" applyFill="1" applyBorder="1" applyAlignment="1" applyProtection="1">
      <alignment horizontal="center" vertical="center" wrapText="1"/>
      <protection hidden="1"/>
    </xf>
    <xf numFmtId="14" fontId="6" fillId="6" borderId="66" xfId="0" applyNumberFormat="1" applyFont="1" applyFill="1" applyBorder="1" applyAlignment="1" applyProtection="1">
      <alignment horizontal="center" vertical="center"/>
      <protection hidden="1"/>
    </xf>
    <xf numFmtId="14" fontId="15" fillId="6" borderId="15" xfId="0" applyNumberFormat="1" applyFont="1" applyFill="1" applyBorder="1" applyAlignment="1" applyProtection="1">
      <alignment horizontal="center" vertical="center"/>
      <protection hidden="1"/>
    </xf>
    <xf numFmtId="14" fontId="15" fillId="6" borderId="52" xfId="0" applyNumberFormat="1" applyFont="1" applyFill="1" applyBorder="1" applyAlignment="1" applyProtection="1">
      <alignment horizontal="center" vertical="center"/>
      <protection hidden="1"/>
    </xf>
    <xf numFmtId="169" fontId="13" fillId="30" borderId="18" xfId="0" applyNumberFormat="1" applyFont="1" applyFill="1" applyBorder="1" applyAlignment="1" applyProtection="1">
      <alignment horizontal="center" vertical="center" wrapText="1"/>
      <protection hidden="1"/>
    </xf>
    <xf numFmtId="169" fontId="19" fillId="30" borderId="43" xfId="0" applyNumberFormat="1" applyFont="1" applyFill="1" applyBorder="1" applyAlignment="1" applyProtection="1">
      <alignment horizontal="center" vertical="center" wrapText="1"/>
      <protection hidden="1"/>
    </xf>
    <xf numFmtId="3" fontId="19" fillId="29" borderId="71" xfId="0" applyNumberFormat="1" applyFont="1" applyFill="1" applyBorder="1" applyAlignment="1" applyProtection="1">
      <alignment horizontal="center" vertical="center" wrapText="1"/>
      <protection hidden="1"/>
    </xf>
    <xf numFmtId="3" fontId="19" fillId="29" borderId="50" xfId="0" applyNumberFormat="1" applyFont="1" applyFill="1" applyBorder="1" applyAlignment="1" applyProtection="1">
      <alignment horizontal="center" vertical="center" wrapText="1"/>
      <protection hidden="1"/>
    </xf>
    <xf numFmtId="3" fontId="19" fillId="29" borderId="44" xfId="0" applyNumberFormat="1" applyFont="1" applyFill="1" applyBorder="1" applyAlignment="1" applyProtection="1">
      <alignment horizontal="center" vertical="center" wrapText="1"/>
      <protection hidden="1"/>
    </xf>
    <xf numFmtId="0" fontId="33" fillId="17" borderId="2" xfId="0" applyFont="1" applyFill="1" applyBorder="1" applyAlignment="1" applyProtection="1">
      <alignment horizontal="center" vertical="center"/>
      <protection hidden="1"/>
    </xf>
    <xf numFmtId="0" fontId="33" fillId="17" borderId="46" xfId="0" applyFont="1" applyFill="1" applyBorder="1" applyAlignment="1" applyProtection="1">
      <alignment horizontal="center" vertical="center"/>
      <protection hidden="1"/>
    </xf>
    <xf numFmtId="0" fontId="33" fillId="17" borderId="5" xfId="0" applyFont="1" applyFill="1" applyBorder="1" applyAlignment="1" applyProtection="1">
      <alignment horizontal="center" vertical="center"/>
      <protection hidden="1"/>
    </xf>
    <xf numFmtId="0" fontId="33" fillId="17" borderId="38" xfId="0" applyFont="1" applyFill="1" applyBorder="1" applyAlignment="1" applyProtection="1">
      <alignment horizontal="center" vertical="center"/>
      <protection hidden="1"/>
    </xf>
    <xf numFmtId="0" fontId="28" fillId="26" borderId="39" xfId="0" applyFont="1" applyFill="1" applyBorder="1" applyAlignment="1">
      <alignment horizontal="center" vertical="center" wrapText="1"/>
    </xf>
    <xf numFmtId="0" fontId="28" fillId="26" borderId="42" xfId="0" applyFont="1" applyFill="1" applyBorder="1" applyAlignment="1">
      <alignment horizontal="center" vertical="center" wrapText="1"/>
    </xf>
    <xf numFmtId="0" fontId="28" fillId="26" borderId="40" xfId="0" applyFont="1" applyFill="1" applyBorder="1" applyAlignment="1">
      <alignment horizontal="center" vertical="center" wrapText="1"/>
    </xf>
    <xf numFmtId="0" fontId="28" fillId="26" borderId="43" xfId="0" applyFont="1" applyFill="1" applyBorder="1" applyAlignment="1">
      <alignment horizontal="center" vertical="center" wrapText="1"/>
    </xf>
    <xf numFmtId="0" fontId="20" fillId="29" borderId="70" xfId="0" applyFont="1" applyFill="1" applyBorder="1" applyAlignment="1" applyProtection="1">
      <alignment horizontal="center" vertical="center" textRotation="90" wrapText="1"/>
      <protection hidden="1"/>
    </xf>
    <xf numFmtId="0" fontId="20" fillId="29" borderId="69" xfId="0" applyFont="1" applyFill="1" applyBorder="1" applyAlignment="1" applyProtection="1">
      <alignment horizontal="center" vertical="center" textRotation="90" wrapText="1"/>
      <protection hidden="1"/>
    </xf>
    <xf numFmtId="0" fontId="20" fillId="29" borderId="49" xfId="0" applyFont="1" applyFill="1" applyBorder="1" applyAlignment="1" applyProtection="1">
      <alignment horizontal="center" vertical="center" textRotation="90" wrapText="1"/>
      <protection hidden="1"/>
    </xf>
    <xf numFmtId="0" fontId="6" fillId="29" borderId="66" xfId="0" applyFont="1" applyFill="1" applyBorder="1" applyAlignment="1" applyProtection="1">
      <alignment horizontal="center" vertical="center"/>
      <protection hidden="1"/>
    </xf>
    <xf numFmtId="0" fontId="19" fillId="29" borderId="15" xfId="0" applyFont="1" applyFill="1" applyBorder="1" applyAlignment="1" applyProtection="1">
      <alignment horizontal="center" vertical="center"/>
      <protection hidden="1"/>
    </xf>
    <xf numFmtId="0" fontId="19" fillId="29" borderId="52" xfId="0" applyFont="1" applyFill="1" applyBorder="1" applyAlignment="1" applyProtection="1">
      <alignment horizontal="center" vertical="center"/>
      <protection hidden="1"/>
    </xf>
    <xf numFmtId="0" fontId="28" fillId="26" borderId="70" xfId="0" applyFont="1" applyFill="1" applyBorder="1" applyAlignment="1">
      <alignment horizontal="center" vertical="center"/>
    </xf>
    <xf numFmtId="0" fontId="28" fillId="26" borderId="49" xfId="0" applyFont="1" applyFill="1" applyBorder="1" applyAlignment="1">
      <alignment horizontal="center" vertical="center"/>
    </xf>
    <xf numFmtId="0" fontId="28" fillId="26" borderId="2" xfId="0" applyFont="1" applyFill="1" applyBorder="1" applyAlignment="1">
      <alignment horizontal="center" vertical="center" wrapText="1"/>
    </xf>
    <xf numFmtId="0" fontId="28" fillId="26" borderId="3" xfId="0" applyFont="1" applyFill="1" applyBorder="1" applyAlignment="1">
      <alignment horizontal="center" vertical="center" wrapText="1"/>
    </xf>
    <xf numFmtId="0" fontId="28" fillId="26" borderId="4" xfId="0" applyFont="1" applyFill="1" applyBorder="1" applyAlignment="1">
      <alignment horizontal="center" vertical="center" wrapText="1"/>
    </xf>
    <xf numFmtId="0" fontId="28" fillId="26" borderId="46" xfId="0" applyFont="1" applyFill="1" applyBorder="1" applyAlignment="1">
      <alignment horizontal="center" vertical="center" wrapText="1"/>
    </xf>
    <xf numFmtId="0" fontId="28" fillId="26" borderId="5" xfId="0" applyFont="1" applyFill="1" applyBorder="1" applyAlignment="1">
      <alignment horizontal="center" vertical="center" wrapText="1"/>
    </xf>
    <xf numFmtId="0" fontId="28" fillId="26" borderId="38" xfId="0" applyFont="1" applyFill="1" applyBorder="1" applyAlignment="1">
      <alignment horizontal="center" vertical="center" wrapText="1"/>
    </xf>
    <xf numFmtId="169" fontId="49" fillId="6" borderId="18" xfId="0" quotePrefix="1" applyNumberFormat="1" applyFont="1" applyFill="1" applyBorder="1" applyAlignment="1">
      <alignment horizontal="center" vertical="center" wrapText="1"/>
    </xf>
    <xf numFmtId="0" fontId="63" fillId="6" borderId="9" xfId="0" applyFont="1" applyFill="1" applyBorder="1" applyAlignment="1">
      <alignment horizontal="center" vertical="center" wrapText="1"/>
    </xf>
    <xf numFmtId="0" fontId="19" fillId="6" borderId="63" xfId="0" applyFont="1" applyFill="1" applyBorder="1" applyAlignment="1" applyProtection="1">
      <alignment horizontal="center" vertical="center"/>
      <protection hidden="1"/>
    </xf>
    <xf numFmtId="0" fontId="20" fillId="29" borderId="67" xfId="0" applyFont="1" applyFill="1" applyBorder="1" applyAlignment="1" applyProtection="1">
      <alignment horizontal="center" vertical="center" textRotation="90" wrapText="1"/>
      <protection hidden="1"/>
    </xf>
    <xf numFmtId="0" fontId="20" fillId="29" borderId="65" xfId="0" applyFont="1" applyFill="1" applyBorder="1" applyAlignment="1" applyProtection="1">
      <alignment horizontal="center" vertical="center" textRotation="90" wrapText="1"/>
      <protection hidden="1"/>
    </xf>
    <xf numFmtId="0" fontId="20" fillId="29" borderId="68" xfId="0" applyFont="1" applyFill="1" applyBorder="1" applyAlignment="1" applyProtection="1">
      <alignment horizontal="center" vertical="center" textRotation="90" wrapText="1"/>
      <protection hidden="1"/>
    </xf>
    <xf numFmtId="0" fontId="65" fillId="17" borderId="6" xfId="0" applyFont="1" applyFill="1" applyBorder="1" applyAlignment="1" applyProtection="1">
      <alignment horizontal="center" vertical="center"/>
      <protection hidden="1"/>
    </xf>
    <xf numFmtId="0" fontId="65" fillId="17" borderId="7" xfId="0" applyFont="1" applyFill="1" applyBorder="1" applyAlignment="1" applyProtection="1">
      <alignment horizontal="center" vertical="center"/>
      <protection hidden="1"/>
    </xf>
    <xf numFmtId="0" fontId="65" fillId="17" borderId="8" xfId="0" applyFont="1" applyFill="1" applyBorder="1" applyAlignment="1" applyProtection="1">
      <alignment horizontal="center" vertical="center"/>
      <protection hidden="1"/>
    </xf>
    <xf numFmtId="0" fontId="65" fillId="17" borderId="3" xfId="0" applyFont="1" applyFill="1" applyBorder="1" applyAlignment="1" applyProtection="1">
      <alignment horizontal="center" vertical="center"/>
      <protection hidden="1"/>
    </xf>
    <xf numFmtId="0" fontId="65" fillId="17" borderId="4" xfId="0" applyFont="1" applyFill="1" applyBorder="1" applyAlignment="1" applyProtection="1">
      <alignment horizontal="center" vertical="center"/>
      <protection hidden="1"/>
    </xf>
    <xf numFmtId="0" fontId="19" fillId="29" borderId="40" xfId="0" applyFont="1" applyFill="1" applyBorder="1" applyAlignment="1" applyProtection="1">
      <alignment horizontal="center" vertical="center"/>
      <protection hidden="1"/>
    </xf>
    <xf numFmtId="169" fontId="3" fillId="6" borderId="9" xfId="0" quotePrefix="1" applyNumberFormat="1" applyFont="1" applyFill="1" applyBorder="1" applyAlignment="1" applyProtection="1">
      <alignment horizontal="center" vertical="center" wrapText="1"/>
      <protection hidden="1"/>
    </xf>
    <xf numFmtId="0" fontId="60" fillId="6" borderId="9" xfId="0" applyFont="1" applyFill="1" applyBorder="1" applyAlignment="1" applyProtection="1">
      <alignment horizontal="center" vertical="center" wrapText="1"/>
      <protection hidden="1"/>
    </xf>
    <xf numFmtId="0" fontId="28" fillId="31" borderId="2" xfId="0" applyFont="1" applyFill="1" applyBorder="1" applyAlignment="1">
      <alignment horizontal="center" vertical="center" wrapText="1"/>
    </xf>
    <xf numFmtId="0" fontId="28" fillId="31" borderId="4" xfId="0" applyFont="1" applyFill="1" applyBorder="1" applyAlignment="1">
      <alignment horizontal="center" vertical="center" wrapText="1"/>
    </xf>
    <xf numFmtId="0" fontId="28" fillId="31" borderId="10" xfId="0" applyFont="1" applyFill="1" applyBorder="1" applyAlignment="1">
      <alignment horizontal="center" vertical="center" wrapText="1"/>
    </xf>
    <xf numFmtId="0" fontId="28" fillId="31" borderId="48" xfId="0" applyFont="1" applyFill="1" applyBorder="1" applyAlignment="1">
      <alignment horizontal="center" vertical="center" wrapText="1"/>
    </xf>
    <xf numFmtId="0" fontId="28" fillId="31" borderId="46" xfId="0" applyFont="1" applyFill="1" applyBorder="1" applyAlignment="1">
      <alignment horizontal="center" vertical="center" wrapText="1"/>
    </xf>
    <xf numFmtId="0" fontId="28" fillId="31" borderId="38" xfId="0" applyFont="1" applyFill="1" applyBorder="1" applyAlignment="1">
      <alignment horizontal="center" vertical="center" wrapText="1"/>
    </xf>
    <xf numFmtId="14" fontId="3" fillId="6" borderId="34" xfId="0" quotePrefix="1" applyNumberFormat="1" applyFont="1" applyFill="1" applyBorder="1" applyAlignment="1" applyProtection="1">
      <alignment horizontal="center" vertical="center" wrapText="1"/>
      <protection hidden="1"/>
    </xf>
    <xf numFmtId="0" fontId="60" fillId="6" borderId="34" xfId="0" applyFont="1" applyFill="1" applyBorder="1" applyAlignment="1" applyProtection="1">
      <alignment horizontal="center" vertical="center" wrapText="1"/>
      <protection hidden="1"/>
    </xf>
    <xf numFmtId="0" fontId="60" fillId="6" borderId="37" xfId="0" applyFont="1" applyFill="1" applyBorder="1" applyAlignment="1" applyProtection="1">
      <alignment horizontal="center" vertical="center" wrapText="1"/>
      <protection hidden="1"/>
    </xf>
    <xf numFmtId="169" fontId="49" fillId="6" borderId="34" xfId="0" quotePrefix="1" applyNumberFormat="1" applyFont="1" applyFill="1" applyBorder="1" applyAlignment="1">
      <alignment horizontal="center" vertical="center" wrapText="1"/>
    </xf>
    <xf numFmtId="0" fontId="63" fillId="6" borderId="34" xfId="0" applyFont="1" applyFill="1" applyBorder="1" applyAlignment="1">
      <alignment horizontal="center" vertical="center" wrapText="1"/>
    </xf>
    <xf numFmtId="0" fontId="63" fillId="6" borderId="37" xfId="0" applyFont="1" applyFill="1" applyBorder="1" applyAlignment="1">
      <alignment horizontal="center" vertical="center" wrapText="1"/>
    </xf>
    <xf numFmtId="0" fontId="49" fillId="6" borderId="14" xfId="0" applyFont="1" applyFill="1" applyBorder="1" applyAlignment="1">
      <alignment horizontal="center" vertical="center" wrapText="1"/>
    </xf>
    <xf numFmtId="0" fontId="63" fillId="6" borderId="14" xfId="0" applyFont="1" applyFill="1" applyBorder="1" applyAlignment="1">
      <alignment horizontal="center" vertical="center" wrapText="1"/>
    </xf>
    <xf numFmtId="0" fontId="63" fillId="6" borderId="56" xfId="0" applyFont="1" applyFill="1" applyBorder="1" applyAlignment="1">
      <alignment horizontal="center" vertical="center" wrapText="1"/>
    </xf>
    <xf numFmtId="0" fontId="3" fillId="6" borderId="34" xfId="0" quotePrefix="1" applyFont="1" applyFill="1" applyBorder="1" applyAlignment="1" applyProtection="1">
      <alignment horizontal="center" vertical="center" wrapText="1"/>
      <protection hidden="1"/>
    </xf>
    <xf numFmtId="0" fontId="28" fillId="33" borderId="2" xfId="0" applyFont="1" applyFill="1" applyBorder="1" applyAlignment="1">
      <alignment horizontal="center" vertical="center"/>
    </xf>
    <xf numFmtId="0" fontId="28" fillId="33" borderId="4" xfId="0" applyFont="1" applyFill="1" applyBorder="1" applyAlignment="1">
      <alignment horizontal="center" vertical="center"/>
    </xf>
    <xf numFmtId="0" fontId="28" fillId="33" borderId="10" xfId="0" applyFont="1" applyFill="1" applyBorder="1" applyAlignment="1">
      <alignment horizontal="center" vertical="center"/>
    </xf>
    <xf numFmtId="0" fontId="28" fillId="33" borderId="48" xfId="0" applyFont="1" applyFill="1" applyBorder="1" applyAlignment="1">
      <alignment horizontal="center" vertical="center"/>
    </xf>
    <xf numFmtId="0" fontId="28" fillId="33" borderId="46" xfId="0" applyFont="1" applyFill="1" applyBorder="1" applyAlignment="1">
      <alignment horizontal="center" vertical="center"/>
    </xf>
    <xf numFmtId="0" fontId="28" fillId="33" borderId="38" xfId="0" applyFont="1" applyFill="1" applyBorder="1" applyAlignment="1">
      <alignment horizontal="center" vertical="center"/>
    </xf>
    <xf numFmtId="169" fontId="49" fillId="6" borderId="41" xfId="0" quotePrefix="1" applyNumberFormat="1" applyFont="1" applyFill="1" applyBorder="1" applyAlignment="1">
      <alignment horizontal="center" vertical="center" wrapText="1"/>
    </xf>
    <xf numFmtId="167" fontId="7" fillId="6" borderId="39" xfId="0" applyNumberFormat="1" applyFont="1" applyFill="1" applyBorder="1" applyAlignment="1" applyProtection="1">
      <alignment horizontal="center" vertical="center" wrapText="1"/>
      <protection hidden="1"/>
    </xf>
    <xf numFmtId="167" fontId="60" fillId="6" borderId="32" xfId="0" applyNumberFormat="1" applyFont="1" applyFill="1" applyBorder="1" applyAlignment="1" applyProtection="1">
      <alignment horizontal="center" vertical="center" wrapText="1"/>
      <protection hidden="1"/>
    </xf>
    <xf numFmtId="1" fontId="7" fillId="6" borderId="32" xfId="0" applyNumberFormat="1" applyFont="1" applyFill="1" applyBorder="1" applyAlignment="1" applyProtection="1">
      <alignment horizontal="center" vertical="center" wrapText="1"/>
      <protection hidden="1"/>
    </xf>
    <xf numFmtId="1" fontId="60" fillId="6" borderId="32" xfId="0" applyNumberFormat="1" applyFont="1" applyFill="1" applyBorder="1" applyAlignment="1" applyProtection="1">
      <alignment horizontal="center" vertical="center" wrapText="1"/>
      <protection hidden="1"/>
    </xf>
    <xf numFmtId="1" fontId="60" fillId="6" borderId="42" xfId="0" applyNumberFormat="1" applyFont="1" applyFill="1" applyBorder="1" applyAlignment="1" applyProtection="1">
      <alignment horizontal="center" vertical="center" wrapText="1"/>
      <protection hidden="1"/>
    </xf>
    <xf numFmtId="167" fontId="7" fillId="6" borderId="32" xfId="0" applyNumberFormat="1" applyFont="1" applyFill="1" applyBorder="1" applyAlignment="1" applyProtection="1">
      <alignment horizontal="center" vertical="center" wrapText="1"/>
      <protection hidden="1"/>
    </xf>
    <xf numFmtId="3" fontId="7" fillId="6" borderId="32" xfId="0" applyNumberFormat="1" applyFont="1" applyFill="1" applyBorder="1" applyAlignment="1" applyProtection="1">
      <alignment horizontal="center" vertical="center" wrapText="1"/>
      <protection hidden="1"/>
    </xf>
    <xf numFmtId="0" fontId="60" fillId="6" borderId="32" xfId="0" applyFont="1" applyFill="1" applyBorder="1" applyAlignment="1" applyProtection="1">
      <alignment horizontal="center" vertical="center" wrapText="1"/>
      <protection hidden="1"/>
    </xf>
    <xf numFmtId="0" fontId="60" fillId="6" borderId="42" xfId="0" applyFont="1" applyFill="1" applyBorder="1" applyAlignment="1" applyProtection="1">
      <alignment horizontal="center" vertical="center" wrapText="1"/>
      <protection hidden="1"/>
    </xf>
    <xf numFmtId="0" fontId="60" fillId="6" borderId="43" xfId="0" applyFont="1" applyFill="1" applyBorder="1" applyAlignment="1" applyProtection="1">
      <alignment horizontal="center" vertical="center" wrapText="1"/>
      <protection hidden="1"/>
    </xf>
    <xf numFmtId="0" fontId="63" fillId="0" borderId="50" xfId="0" applyFont="1" applyBorder="1" applyAlignment="1">
      <alignment horizontal="center" vertical="center" wrapText="1"/>
    </xf>
    <xf numFmtId="0" fontId="63" fillId="0" borderId="44" xfId="0" applyFont="1" applyBorder="1" applyAlignment="1">
      <alignment horizontal="center" vertical="center" wrapText="1"/>
    </xf>
    <xf numFmtId="0" fontId="7" fillId="6" borderId="39" xfId="0" applyFont="1" applyFill="1" applyBorder="1" applyAlignment="1" applyProtection="1">
      <alignment horizontal="center" vertical="center" wrapText="1"/>
      <protection hidden="1"/>
    </xf>
    <xf numFmtId="49" fontId="49" fillId="31" borderId="72" xfId="0" applyNumberFormat="1" applyFont="1" applyFill="1" applyBorder="1" applyAlignment="1">
      <alignment horizontal="center" vertical="center" wrapText="1"/>
    </xf>
    <xf numFmtId="49" fontId="49" fillId="31" borderId="64" xfId="0" applyNumberFormat="1" applyFont="1" applyFill="1" applyBorder="1" applyAlignment="1">
      <alignment horizontal="center" vertical="center" wrapText="1"/>
    </xf>
    <xf numFmtId="49" fontId="49" fillId="31" borderId="77" xfId="0" applyNumberFormat="1" applyFont="1" applyFill="1" applyBorder="1" applyAlignment="1">
      <alignment horizontal="center" vertical="center" wrapText="1"/>
    </xf>
    <xf numFmtId="0" fontId="49" fillId="6" borderId="47" xfId="0" applyFont="1" applyFill="1" applyBorder="1" applyAlignment="1">
      <alignment horizontal="center" vertical="center" wrapText="1"/>
    </xf>
    <xf numFmtId="0" fontId="19" fillId="29" borderId="70" xfId="0" applyFont="1" applyFill="1" applyBorder="1" applyAlignment="1" applyProtection="1">
      <alignment horizontal="center" vertical="center" textRotation="90" wrapText="1"/>
      <protection hidden="1"/>
    </xf>
    <xf numFmtId="0" fontId="19" fillId="29" borderId="49" xfId="0" applyFont="1" applyFill="1" applyBorder="1" applyAlignment="1" applyProtection="1">
      <alignment horizontal="center" vertical="center" textRotation="90" wrapText="1"/>
      <protection hidden="1"/>
    </xf>
    <xf numFmtId="169" fontId="3" fillId="6" borderId="34" xfId="0" quotePrefix="1" applyNumberFormat="1" applyFont="1" applyFill="1" applyBorder="1" applyAlignment="1" applyProtection="1">
      <alignment horizontal="center" vertical="center" wrapText="1"/>
      <protection hidden="1"/>
    </xf>
    <xf numFmtId="169" fontId="3" fillId="6" borderId="40" xfId="0" quotePrefix="1" applyNumberFormat="1" applyFont="1" applyFill="1" applyBorder="1" applyAlignment="1" applyProtection="1">
      <alignment horizontal="center" vertical="center" wrapText="1"/>
      <protection hidden="1"/>
    </xf>
    <xf numFmtId="0" fontId="19" fillId="30" borderId="41" xfId="0" applyFont="1" applyFill="1" applyBorder="1" applyAlignment="1" applyProtection="1">
      <alignment horizontal="center" vertical="center" wrapText="1"/>
      <protection hidden="1"/>
    </xf>
    <xf numFmtId="0" fontId="3" fillId="6" borderId="41" xfId="0" quotePrefix="1" applyFont="1" applyFill="1" applyBorder="1" applyAlignment="1" applyProtection="1">
      <alignment horizontal="center" vertical="center" wrapText="1"/>
      <protection hidden="1"/>
    </xf>
    <xf numFmtId="0" fontId="20" fillId="5" borderId="22" xfId="0" applyFont="1" applyFill="1" applyBorder="1" applyAlignment="1" applyProtection="1">
      <alignment horizontal="center" vertical="center" wrapText="1"/>
      <protection hidden="1"/>
    </xf>
    <xf numFmtId="0" fontId="49" fillId="31" borderId="66" xfId="0" applyFont="1" applyFill="1" applyBorder="1" applyAlignment="1">
      <alignment horizontal="center" vertical="center" wrapText="1"/>
    </xf>
    <xf numFmtId="0" fontId="49" fillId="31" borderId="15" xfId="0" applyFont="1" applyFill="1" applyBorder="1" applyAlignment="1">
      <alignment horizontal="center" vertical="center" wrapText="1"/>
    </xf>
    <xf numFmtId="0" fontId="49" fillId="31" borderId="52" xfId="0" applyFont="1" applyFill="1" applyBorder="1" applyAlignment="1">
      <alignment horizontal="center" vertical="center" wrapText="1"/>
    </xf>
    <xf numFmtId="0" fontId="20" fillId="29" borderId="70" xfId="0" applyFont="1" applyFill="1" applyBorder="1" applyAlignment="1" applyProtection="1">
      <alignment horizontal="center" vertical="center" textRotation="90"/>
      <protection hidden="1"/>
    </xf>
    <xf numFmtId="0" fontId="20" fillId="29" borderId="69" xfId="0" applyFont="1" applyFill="1" applyBorder="1" applyAlignment="1" applyProtection="1">
      <alignment horizontal="center" vertical="center" textRotation="90"/>
      <protection hidden="1"/>
    </xf>
    <xf numFmtId="0" fontId="20" fillId="29" borderId="10" xfId="0" applyFont="1" applyFill="1" applyBorder="1" applyAlignment="1" applyProtection="1">
      <alignment horizontal="center" vertical="center" textRotation="90"/>
      <protection hidden="1"/>
    </xf>
    <xf numFmtId="0" fontId="20" fillId="29" borderId="46" xfId="0" applyFont="1" applyFill="1" applyBorder="1" applyAlignment="1" applyProtection="1">
      <alignment horizontal="center" vertical="center" textRotation="90"/>
      <protection hidden="1"/>
    </xf>
    <xf numFmtId="0" fontId="7" fillId="6" borderId="32" xfId="0" applyFont="1" applyFill="1" applyBorder="1" applyAlignment="1" applyProtection="1">
      <alignment horizontal="center" vertical="center" wrapText="1"/>
      <protection hidden="1"/>
    </xf>
    <xf numFmtId="0" fontId="33" fillId="18" borderId="6" xfId="0" applyFont="1" applyFill="1" applyBorder="1" applyAlignment="1" applyProtection="1">
      <alignment horizontal="center" vertical="center" wrapText="1"/>
      <protection hidden="1"/>
    </xf>
    <xf numFmtId="0" fontId="33" fillId="18" borderId="7" xfId="0" applyFont="1" applyFill="1" applyBorder="1" applyAlignment="1" applyProtection="1">
      <alignment horizontal="center" vertical="center" wrapText="1"/>
      <protection hidden="1"/>
    </xf>
    <xf numFmtId="0" fontId="33" fillId="18" borderId="8" xfId="0" applyFont="1" applyFill="1" applyBorder="1" applyAlignment="1" applyProtection="1">
      <alignment horizontal="center" vertical="center" wrapText="1"/>
      <protection hidden="1"/>
    </xf>
    <xf numFmtId="0" fontId="19" fillId="30" borderId="59" xfId="0" applyFont="1" applyFill="1" applyBorder="1" applyAlignment="1" applyProtection="1">
      <alignment horizontal="center" vertical="center" wrapText="1"/>
      <protection hidden="1"/>
    </xf>
    <xf numFmtId="169" fontId="49" fillId="6" borderId="40" xfId="0" quotePrefix="1" applyNumberFormat="1" applyFont="1" applyFill="1" applyBorder="1" applyAlignment="1">
      <alignment horizontal="center" vertical="center" wrapText="1"/>
    </xf>
    <xf numFmtId="169" fontId="49" fillId="6" borderId="9" xfId="0" quotePrefix="1" applyNumberFormat="1" applyFont="1" applyFill="1" applyBorder="1" applyAlignment="1">
      <alignment horizontal="center" vertical="center" wrapText="1"/>
    </xf>
    <xf numFmtId="0" fontId="63" fillId="6" borderId="43" xfId="0" applyFont="1" applyFill="1" applyBorder="1" applyAlignment="1">
      <alignment horizontal="center" vertical="center" wrapText="1"/>
    </xf>
    <xf numFmtId="169" fontId="49" fillId="30" borderId="66" xfId="0" applyNumberFormat="1" applyFont="1" applyFill="1" applyBorder="1" applyAlignment="1">
      <alignment horizontal="center" vertical="center" wrapText="1"/>
    </xf>
    <xf numFmtId="169" fontId="49" fillId="30" borderId="15" xfId="0" applyNumberFormat="1" applyFont="1" applyFill="1" applyBorder="1" applyAlignment="1">
      <alignment horizontal="center" vertical="center" wrapText="1"/>
    </xf>
    <xf numFmtId="169" fontId="49" fillId="30" borderId="52" xfId="0" applyNumberFormat="1" applyFont="1" applyFill="1" applyBorder="1" applyAlignment="1">
      <alignment horizontal="center" vertical="center" wrapText="1"/>
    </xf>
    <xf numFmtId="0" fontId="49" fillId="30" borderId="72" xfId="0" applyFont="1" applyFill="1" applyBorder="1" applyAlignment="1">
      <alignment horizontal="center" vertical="center" wrapText="1"/>
    </xf>
    <xf numFmtId="0" fontId="49" fillId="30" borderId="64" xfId="0" applyFont="1" applyFill="1" applyBorder="1" applyAlignment="1">
      <alignment horizontal="center" vertical="center" wrapText="1"/>
    </xf>
    <xf numFmtId="0" fontId="49" fillId="30" borderId="77" xfId="0" applyFont="1" applyFill="1" applyBorder="1" applyAlignment="1">
      <alignment horizontal="center" vertical="center" wrapText="1"/>
    </xf>
    <xf numFmtId="0" fontId="28" fillId="26" borderId="41" xfId="0" applyFont="1" applyFill="1" applyBorder="1" applyAlignment="1">
      <alignment horizontal="center" vertical="center" wrapText="1"/>
    </xf>
    <xf numFmtId="0" fontId="28" fillId="26" borderId="37" xfId="0" applyFont="1" applyFill="1" applyBorder="1" applyAlignment="1">
      <alignment horizontal="center" vertical="center" wrapText="1"/>
    </xf>
    <xf numFmtId="169" fontId="3" fillId="6" borderId="12" xfId="0" quotePrefix="1" applyNumberFormat="1" applyFont="1" applyFill="1" applyBorder="1" applyAlignment="1" applyProtection="1">
      <alignment horizontal="center" vertical="center"/>
      <protection hidden="1"/>
    </xf>
    <xf numFmtId="169" fontId="19" fillId="6" borderId="52" xfId="0" applyNumberFormat="1" applyFont="1" applyFill="1" applyBorder="1" applyAlignment="1" applyProtection="1">
      <alignment horizontal="center" vertical="center"/>
      <protection hidden="1"/>
    </xf>
    <xf numFmtId="0" fontId="17" fillId="31" borderId="6" xfId="0" applyFont="1" applyFill="1" applyBorder="1" applyAlignment="1">
      <alignment horizontal="center" vertical="center" wrapText="1"/>
    </xf>
    <xf numFmtId="0" fontId="17" fillId="31" borderId="7" xfId="0" applyFont="1" applyFill="1" applyBorder="1" applyAlignment="1">
      <alignment horizontal="center" vertical="center" wrapText="1"/>
    </xf>
    <xf numFmtId="0" fontId="17" fillId="31" borderId="8" xfId="0" applyFont="1" applyFill="1" applyBorder="1" applyAlignment="1">
      <alignment horizontal="center" vertical="center" wrapText="1"/>
    </xf>
    <xf numFmtId="0" fontId="27" fillId="4" borderId="6" xfId="0" applyFont="1" applyFill="1" applyBorder="1" applyAlignment="1" applyProtection="1">
      <alignment horizontal="center" vertical="center" wrapText="1"/>
      <protection hidden="1"/>
    </xf>
    <xf numFmtId="0" fontId="27" fillId="4" borderId="7" xfId="0" applyFont="1" applyFill="1" applyBorder="1" applyAlignment="1" applyProtection="1">
      <alignment horizontal="center" vertical="center" wrapText="1"/>
      <protection hidden="1"/>
    </xf>
    <xf numFmtId="0" fontId="27" fillId="4" borderId="8" xfId="0" applyFont="1" applyFill="1" applyBorder="1" applyAlignment="1" applyProtection="1">
      <alignment horizontal="center" vertical="center" wrapText="1"/>
      <protection hidden="1"/>
    </xf>
    <xf numFmtId="0" fontId="28" fillId="5" borderId="6" xfId="0" applyFont="1" applyFill="1" applyBorder="1" applyAlignment="1" applyProtection="1">
      <alignment horizontal="center" vertical="center" wrapText="1"/>
      <protection hidden="1"/>
    </xf>
    <xf numFmtId="0" fontId="28" fillId="5" borderId="7" xfId="0" applyFont="1" applyFill="1" applyBorder="1" applyAlignment="1" applyProtection="1">
      <alignment horizontal="center" vertical="center" wrapText="1"/>
      <protection hidden="1"/>
    </xf>
    <xf numFmtId="0" fontId="28" fillId="5" borderId="8" xfId="0" applyFont="1" applyFill="1" applyBorder="1" applyAlignment="1" applyProtection="1">
      <alignment horizontal="center" vertical="center" wrapText="1"/>
      <protection hidden="1"/>
    </xf>
    <xf numFmtId="0" fontId="20" fillId="5" borderId="42" xfId="0" applyFont="1" applyFill="1" applyBorder="1" applyAlignment="1" applyProtection="1">
      <alignment horizontal="justify" vertical="center" wrapText="1"/>
      <protection hidden="1"/>
    </xf>
    <xf numFmtId="0" fontId="20" fillId="5" borderId="54" xfId="0" applyFont="1" applyFill="1" applyBorder="1" applyAlignment="1" applyProtection="1">
      <alignment horizontal="justify" vertical="center" wrapText="1"/>
      <protection hidden="1"/>
    </xf>
    <xf numFmtId="0" fontId="20" fillId="5" borderId="32" xfId="0" applyFont="1" applyFill="1" applyBorder="1" applyAlignment="1" applyProtection="1">
      <alignment horizontal="justify" vertical="center" wrapText="1"/>
      <protection hidden="1"/>
    </xf>
    <xf numFmtId="0" fontId="20" fillId="5" borderId="11" xfId="0" applyFont="1" applyFill="1" applyBorder="1" applyAlignment="1" applyProtection="1">
      <alignment horizontal="justify" vertical="center" wrapText="1"/>
      <protection hidden="1"/>
    </xf>
    <xf numFmtId="0" fontId="20" fillId="5" borderId="34" xfId="0" applyFont="1" applyFill="1" applyBorder="1" applyAlignment="1" applyProtection="1">
      <alignment horizontal="justify" vertical="center" wrapText="1"/>
      <protection hidden="1"/>
    </xf>
    <xf numFmtId="0" fontId="20" fillId="5" borderId="32" xfId="0" applyFont="1" applyFill="1" applyBorder="1" applyAlignment="1" applyProtection="1">
      <alignment horizontal="left" vertical="center" wrapText="1"/>
      <protection hidden="1"/>
    </xf>
    <xf numFmtId="0" fontId="20" fillId="5" borderId="11" xfId="0" applyFont="1" applyFill="1" applyBorder="1" applyAlignment="1" applyProtection="1">
      <alignment horizontal="left" vertical="center" wrapText="1"/>
      <protection hidden="1"/>
    </xf>
    <xf numFmtId="0" fontId="20" fillId="5" borderId="34" xfId="0" applyFont="1" applyFill="1" applyBorder="1" applyAlignment="1" applyProtection="1">
      <alignment horizontal="left" vertical="center" wrapText="1"/>
      <protection hidden="1"/>
    </xf>
    <xf numFmtId="0" fontId="27" fillId="8" borderId="46" xfId="0" applyFont="1" applyFill="1" applyBorder="1" applyAlignment="1" applyProtection="1">
      <alignment horizontal="center" vertical="center"/>
      <protection hidden="1"/>
    </xf>
    <xf numFmtId="0" fontId="27" fillId="8" borderId="5" xfId="0" applyFont="1" applyFill="1" applyBorder="1" applyAlignment="1" applyProtection="1">
      <alignment horizontal="center" vertical="center"/>
      <protection hidden="1"/>
    </xf>
    <xf numFmtId="0" fontId="27" fillId="8" borderId="0" xfId="0" applyFont="1" applyFill="1" applyBorder="1" applyAlignment="1" applyProtection="1">
      <alignment horizontal="center" vertical="center"/>
      <protection hidden="1"/>
    </xf>
    <xf numFmtId="0" fontId="27" fillId="8" borderId="48" xfId="0" applyFont="1" applyFill="1" applyBorder="1" applyAlignment="1" applyProtection="1">
      <alignment horizontal="center" vertical="center"/>
      <protection hidden="1"/>
    </xf>
    <xf numFmtId="0" fontId="20" fillId="7" borderId="6" xfId="0" applyFont="1" applyFill="1" applyBorder="1" applyAlignment="1" applyProtection="1">
      <alignment horizontal="center" vertical="center" wrapText="1"/>
      <protection hidden="1"/>
    </xf>
    <xf numFmtId="0" fontId="20" fillId="7" borderId="8" xfId="0" applyFont="1" applyFill="1" applyBorder="1" applyAlignment="1" applyProtection="1">
      <alignment horizontal="center" vertical="center" wrapText="1"/>
      <protection hidden="1"/>
    </xf>
    <xf numFmtId="0" fontId="20" fillId="2" borderId="35" xfId="0" applyFont="1" applyFill="1" applyBorder="1" applyAlignment="1" applyProtection="1">
      <alignment horizontal="center" vertical="center" wrapText="1"/>
      <protection hidden="1"/>
    </xf>
    <xf numFmtId="0" fontId="20" fillId="2" borderId="33" xfId="0" applyFont="1" applyFill="1" applyBorder="1" applyAlignment="1" applyProtection="1">
      <alignment horizontal="center" vertical="center" wrapText="1"/>
      <protection hidden="1"/>
    </xf>
    <xf numFmtId="0" fontId="21" fillId="2" borderId="42" xfId="0" applyFont="1" applyFill="1" applyBorder="1" applyAlignment="1" applyProtection="1">
      <alignment horizontal="center" vertical="center" wrapText="1"/>
      <protection hidden="1"/>
    </xf>
    <xf numFmtId="0" fontId="21" fillId="2" borderId="54" xfId="0" applyFont="1" applyFill="1" applyBorder="1" applyAlignment="1" applyProtection="1">
      <alignment horizontal="center" vertical="center" wrapText="1"/>
      <protection hidden="1"/>
    </xf>
    <xf numFmtId="0" fontId="20" fillId="5" borderId="19" xfId="0" applyFont="1" applyFill="1" applyBorder="1" applyAlignment="1" applyProtection="1">
      <alignment horizontal="center" vertical="center" wrapText="1"/>
      <protection hidden="1"/>
    </xf>
    <xf numFmtId="0" fontId="20" fillId="5" borderId="20" xfId="0" applyFont="1" applyFill="1" applyBorder="1" applyAlignment="1" applyProtection="1">
      <alignment horizontal="center" vertical="center" wrapText="1"/>
      <protection hidden="1"/>
    </xf>
    <xf numFmtId="0" fontId="20" fillId="5" borderId="39" xfId="0" applyFont="1" applyFill="1" applyBorder="1" applyAlignment="1" applyProtection="1">
      <alignment horizontal="left" vertical="center" wrapText="1"/>
      <protection hidden="1"/>
    </xf>
    <xf numFmtId="0" fontId="20" fillId="5" borderId="31" xfId="0" applyFont="1" applyFill="1" applyBorder="1" applyAlignment="1" applyProtection="1">
      <alignment horizontal="left" vertical="center" wrapText="1"/>
      <protection hidden="1"/>
    </xf>
    <xf numFmtId="0" fontId="20" fillId="5" borderId="42" xfId="0" applyFont="1" applyFill="1" applyBorder="1" applyAlignment="1" applyProtection="1">
      <alignment horizontal="left" vertical="center" wrapText="1"/>
      <protection hidden="1"/>
    </xf>
    <xf numFmtId="0" fontId="20" fillId="5" borderId="54" xfId="0" applyFont="1" applyFill="1" applyBorder="1" applyAlignment="1" applyProtection="1">
      <alignment horizontal="left" vertical="center" wrapText="1"/>
      <protection hidden="1"/>
    </xf>
    <xf numFmtId="167" fontId="21" fillId="7" borderId="40" xfId="0" applyNumberFormat="1" applyFont="1" applyFill="1" applyBorder="1" applyAlignment="1" applyProtection="1">
      <alignment horizontal="center" vertical="center" wrapText="1"/>
      <protection hidden="1"/>
    </xf>
    <xf numFmtId="167" fontId="21" fillId="7" borderId="9" xfId="0" applyNumberFormat="1" applyFont="1" applyFill="1" applyBorder="1" applyAlignment="1" applyProtection="1">
      <alignment horizontal="center" vertical="center" wrapText="1"/>
      <protection hidden="1"/>
    </xf>
    <xf numFmtId="167" fontId="21" fillId="7" borderId="43" xfId="0" applyNumberFormat="1" applyFont="1" applyFill="1" applyBorder="1" applyAlignment="1" applyProtection="1">
      <alignment horizontal="center" vertical="center" wrapText="1"/>
      <protection hidden="1"/>
    </xf>
    <xf numFmtId="1" fontId="21" fillId="7" borderId="40" xfId="0" applyNumberFormat="1" applyFont="1" applyFill="1" applyBorder="1" applyAlignment="1" applyProtection="1">
      <alignment horizontal="center" vertical="center" wrapText="1"/>
      <protection hidden="1"/>
    </xf>
    <xf numFmtId="1" fontId="21" fillId="7" borderId="9" xfId="0" applyNumberFormat="1" applyFont="1" applyFill="1" applyBorder="1" applyAlignment="1" applyProtection="1">
      <alignment horizontal="center" vertical="center" wrapText="1"/>
      <protection hidden="1"/>
    </xf>
    <xf numFmtId="1" fontId="21" fillId="7" borderId="43" xfId="0" applyNumberFormat="1" applyFont="1" applyFill="1" applyBorder="1" applyAlignment="1" applyProtection="1">
      <alignment horizontal="center" vertical="center" wrapText="1"/>
      <protection hidden="1"/>
    </xf>
    <xf numFmtId="0" fontId="20" fillId="5" borderId="6" xfId="0" applyFont="1" applyFill="1" applyBorder="1" applyAlignment="1" applyProtection="1">
      <alignment horizontal="center" vertical="center" wrapText="1"/>
      <protection hidden="1"/>
    </xf>
    <xf numFmtId="0" fontId="20" fillId="5" borderId="8" xfId="0" applyFont="1" applyFill="1" applyBorder="1" applyAlignment="1" applyProtection="1">
      <alignment horizontal="center" vertical="center" wrapText="1"/>
      <protection hidden="1"/>
    </xf>
    <xf numFmtId="0" fontId="20" fillId="5" borderId="50" xfId="0" applyFont="1" applyFill="1" applyBorder="1" applyAlignment="1" applyProtection="1">
      <alignment horizontal="left" vertical="top" wrapText="1"/>
      <protection hidden="1"/>
    </xf>
    <xf numFmtId="0" fontId="20" fillId="5" borderId="64" xfId="0" applyFont="1" applyFill="1" applyBorder="1" applyAlignment="1" applyProtection="1">
      <alignment horizontal="left" vertical="top" wrapText="1"/>
      <protection hidden="1"/>
    </xf>
    <xf numFmtId="0" fontId="20" fillId="5" borderId="41" xfId="0" applyFont="1" applyFill="1" applyBorder="1" applyAlignment="1" applyProtection="1">
      <alignment horizontal="left" vertical="center" wrapText="1"/>
      <protection hidden="1"/>
    </xf>
    <xf numFmtId="0" fontId="49" fillId="2" borderId="0" xfId="0" applyFont="1" applyFill="1" applyBorder="1" applyAlignment="1" applyProtection="1">
      <alignment horizontal="center" vertical="center" wrapText="1"/>
      <protection hidden="1"/>
    </xf>
    <xf numFmtId="0" fontId="20" fillId="5" borderId="37" xfId="0" applyFont="1" applyFill="1" applyBorder="1" applyAlignment="1" applyProtection="1">
      <alignment horizontal="left" vertical="center" wrapText="1"/>
      <protection hidden="1"/>
    </xf>
    <xf numFmtId="0" fontId="20" fillId="2" borderId="30" xfId="0" applyFont="1" applyFill="1" applyBorder="1" applyAlignment="1" applyProtection="1">
      <alignment horizontal="center" vertical="center" wrapText="1"/>
      <protection hidden="1"/>
    </xf>
    <xf numFmtId="0" fontId="20" fillId="2" borderId="36" xfId="0" applyFont="1" applyFill="1" applyBorder="1" applyAlignment="1" applyProtection="1">
      <alignment horizontal="center" vertical="center" wrapText="1"/>
      <protection hidden="1"/>
    </xf>
    <xf numFmtId="0" fontId="1" fillId="5" borderId="35" xfId="0" applyFont="1" applyFill="1" applyBorder="1" applyAlignment="1" applyProtection="1">
      <alignment horizontal="left" vertical="center" wrapText="1"/>
      <protection hidden="1"/>
    </xf>
    <xf numFmtId="0" fontId="21" fillId="5" borderId="23" xfId="0" applyFont="1" applyFill="1" applyBorder="1" applyAlignment="1" applyProtection="1">
      <alignment horizontal="left" vertical="center" wrapText="1"/>
      <protection hidden="1"/>
    </xf>
    <xf numFmtId="0" fontId="21" fillId="5" borderId="35" xfId="0" applyFont="1" applyFill="1" applyBorder="1" applyAlignment="1" applyProtection="1">
      <alignment horizontal="left" vertical="center" wrapText="1"/>
      <protection hidden="1"/>
    </xf>
    <xf numFmtId="0" fontId="49" fillId="5" borderId="35" xfId="0" applyFont="1" applyFill="1" applyBorder="1" applyAlignment="1" applyProtection="1">
      <alignment horizontal="left" vertical="center" wrapText="1"/>
      <protection hidden="1"/>
    </xf>
    <xf numFmtId="0" fontId="49" fillId="5" borderId="23" xfId="0" applyFont="1" applyFill="1" applyBorder="1" applyAlignment="1" applyProtection="1">
      <alignment horizontal="left" vertical="center" wrapText="1"/>
      <protection hidden="1"/>
    </xf>
    <xf numFmtId="0" fontId="20" fillId="5" borderId="32" xfId="0" applyFont="1" applyFill="1" applyBorder="1" applyAlignment="1" applyProtection="1">
      <alignment horizontal="center" vertical="center" wrapText="1"/>
      <protection hidden="1"/>
    </xf>
    <xf numFmtId="0" fontId="20" fillId="5" borderId="9" xfId="0" applyFont="1" applyFill="1" applyBorder="1" applyAlignment="1" applyProtection="1">
      <alignment horizontal="center" vertical="center" wrapText="1"/>
      <protection hidden="1"/>
    </xf>
    <xf numFmtId="0" fontId="27" fillId="4" borderId="35" xfId="0" applyFont="1" applyFill="1" applyBorder="1" applyAlignment="1" applyProtection="1">
      <alignment horizontal="center" vertical="center" wrapText="1"/>
      <protection hidden="1"/>
    </xf>
    <xf numFmtId="0" fontId="27" fillId="4" borderId="23" xfId="0" applyFont="1" applyFill="1" applyBorder="1" applyAlignment="1" applyProtection="1">
      <alignment horizontal="center" vertical="center" wrapText="1"/>
      <protection hidden="1"/>
    </xf>
    <xf numFmtId="0" fontId="27" fillId="4" borderId="14" xfId="0" applyFont="1" applyFill="1" applyBorder="1" applyAlignment="1" applyProtection="1">
      <alignment horizontal="center" vertical="center" wrapText="1"/>
      <protection hidden="1"/>
    </xf>
    <xf numFmtId="0" fontId="20" fillId="16" borderId="30" xfId="0" applyFont="1" applyFill="1" applyBorder="1" applyAlignment="1" applyProtection="1">
      <alignment horizontal="center" vertical="center" wrapText="1"/>
      <protection hidden="1"/>
    </xf>
    <xf numFmtId="0" fontId="20" fillId="16" borderId="18" xfId="0" applyFont="1" applyFill="1" applyBorder="1" applyAlignment="1" applyProtection="1">
      <alignment horizontal="center" vertical="center" wrapText="1"/>
      <protection hidden="1"/>
    </xf>
    <xf numFmtId="0" fontId="28" fillId="0" borderId="6" xfId="0" applyFont="1" applyFill="1" applyBorder="1" applyAlignment="1" applyProtection="1">
      <alignment horizontal="center" vertical="center" wrapText="1"/>
      <protection hidden="1"/>
    </xf>
    <xf numFmtId="0" fontId="28" fillId="0" borderId="7" xfId="0" applyFont="1" applyFill="1" applyBorder="1" applyAlignment="1" applyProtection="1">
      <alignment horizontal="center" vertical="center" wrapText="1"/>
      <protection hidden="1"/>
    </xf>
    <xf numFmtId="0" fontId="28" fillId="0" borderId="8" xfId="0" applyFont="1" applyFill="1" applyBorder="1" applyAlignment="1" applyProtection="1">
      <alignment horizontal="center" vertical="center" wrapText="1"/>
      <protection hidden="1"/>
    </xf>
    <xf numFmtId="169" fontId="21" fillId="19" borderId="28" xfId="0" applyNumberFormat="1" applyFont="1" applyFill="1" applyBorder="1" applyAlignment="1" applyProtection="1">
      <alignment horizontal="center" vertical="center" wrapText="1"/>
      <protection hidden="1"/>
    </xf>
    <xf numFmtId="169" fontId="21" fillId="19" borderId="21" xfId="0" applyNumberFormat="1" applyFont="1" applyFill="1" applyBorder="1" applyAlignment="1" applyProtection="1">
      <alignment horizontal="center" vertical="center" wrapText="1"/>
      <protection hidden="1"/>
    </xf>
    <xf numFmtId="14" fontId="21" fillId="19" borderId="22" xfId="0" applyNumberFormat="1" applyFont="1" applyFill="1" applyBorder="1" applyAlignment="1" applyProtection="1">
      <alignment horizontal="center" vertical="center" wrapText="1"/>
      <protection hidden="1"/>
    </xf>
    <xf numFmtId="14" fontId="21" fillId="19" borderId="20" xfId="0" applyNumberFormat="1" applyFont="1" applyFill="1" applyBorder="1" applyAlignment="1" applyProtection="1">
      <alignment horizontal="center" vertical="center" wrapText="1"/>
      <protection hidden="1"/>
    </xf>
    <xf numFmtId="14" fontId="21" fillId="12" borderId="12" xfId="0" applyNumberFormat="1" applyFont="1" applyFill="1" applyBorder="1" applyAlignment="1" applyProtection="1">
      <alignment horizontal="center" vertical="center" wrapText="1"/>
      <protection hidden="1"/>
    </xf>
    <xf numFmtId="14" fontId="21" fillId="12" borderId="18" xfId="0" applyNumberFormat="1" applyFont="1" applyFill="1" applyBorder="1" applyAlignment="1" applyProtection="1">
      <alignment horizontal="center" vertical="center" wrapText="1"/>
      <protection hidden="1"/>
    </xf>
    <xf numFmtId="0" fontId="21" fillId="19" borderId="12" xfId="0" applyFont="1" applyFill="1" applyBorder="1" applyAlignment="1" applyProtection="1">
      <alignment horizontal="center" vertical="center" wrapText="1"/>
      <protection hidden="1"/>
    </xf>
    <xf numFmtId="0" fontId="21" fillId="19" borderId="18" xfId="0" applyFont="1" applyFill="1" applyBorder="1" applyAlignment="1" applyProtection="1">
      <alignment horizontal="center" vertical="center" wrapText="1"/>
      <protection hidden="1"/>
    </xf>
    <xf numFmtId="0" fontId="21" fillId="2" borderId="6" xfId="0" applyFont="1" applyFill="1" applyBorder="1" applyAlignment="1" applyProtection="1">
      <alignment horizontal="center" vertical="center" wrapText="1"/>
      <protection hidden="1"/>
    </xf>
    <xf numFmtId="0" fontId="21" fillId="2" borderId="7" xfId="0" applyFont="1" applyFill="1" applyBorder="1" applyAlignment="1" applyProtection="1">
      <alignment horizontal="center" vertical="center" wrapText="1"/>
      <protection hidden="1"/>
    </xf>
    <xf numFmtId="0" fontId="21" fillId="2" borderId="8" xfId="0" applyFont="1" applyFill="1" applyBorder="1" applyAlignment="1" applyProtection="1">
      <alignment horizontal="center" vertical="center" wrapText="1"/>
      <protection hidden="1"/>
    </xf>
    <xf numFmtId="0" fontId="20" fillId="16" borderId="78" xfId="0" applyFont="1" applyFill="1" applyBorder="1" applyAlignment="1" applyProtection="1">
      <alignment horizontal="center" vertical="center" wrapText="1"/>
      <protection hidden="1"/>
    </xf>
    <xf numFmtId="0" fontId="20" fillId="16" borderId="73" xfId="0" applyFont="1" applyFill="1" applyBorder="1" applyAlignment="1" applyProtection="1">
      <alignment horizontal="center" vertical="center" wrapText="1"/>
      <protection hidden="1"/>
    </xf>
    <xf numFmtId="0" fontId="27" fillId="4" borderId="2" xfId="0" applyFont="1" applyFill="1" applyBorder="1" applyAlignment="1" applyProtection="1">
      <alignment horizontal="center" vertical="center" wrapText="1"/>
      <protection hidden="1"/>
    </xf>
    <xf numFmtId="0" fontId="27" fillId="4" borderId="3" xfId="0" applyFont="1" applyFill="1" applyBorder="1" applyAlignment="1" applyProtection="1">
      <alignment horizontal="center" vertical="center" wrapText="1"/>
      <protection hidden="1"/>
    </xf>
    <xf numFmtId="0" fontId="27" fillId="4" borderId="4" xfId="0" applyFont="1" applyFill="1" applyBorder="1" applyAlignment="1" applyProtection="1">
      <alignment horizontal="center" vertical="center" wrapText="1"/>
      <protection hidden="1"/>
    </xf>
    <xf numFmtId="0" fontId="20" fillId="16" borderId="28" xfId="0" applyFont="1" applyFill="1" applyBorder="1" applyAlignment="1" applyProtection="1">
      <alignment horizontal="center" vertical="center" wrapText="1"/>
      <protection hidden="1"/>
    </xf>
    <xf numFmtId="0" fontId="20" fillId="16" borderId="8" xfId="0" applyFont="1" applyFill="1" applyBorder="1" applyAlignment="1" applyProtection="1">
      <alignment horizontal="center" vertical="center" wrapText="1"/>
      <protection hidden="1"/>
    </xf>
    <xf numFmtId="0" fontId="20" fillId="21" borderId="78" xfId="0" applyFont="1" applyFill="1" applyBorder="1" applyAlignment="1" applyProtection="1">
      <alignment horizontal="center" vertical="center" wrapText="1"/>
      <protection hidden="1"/>
    </xf>
    <xf numFmtId="0" fontId="20" fillId="21" borderId="69" xfId="0" applyFont="1" applyFill="1" applyBorder="1" applyAlignment="1" applyProtection="1">
      <alignment horizontal="center" vertical="center" wrapText="1"/>
      <protection hidden="1"/>
    </xf>
    <xf numFmtId="0" fontId="20" fillId="21" borderId="73" xfId="0" applyFont="1" applyFill="1" applyBorder="1" applyAlignment="1" applyProtection="1">
      <alignment horizontal="center" vertical="center" wrapText="1"/>
      <protection hidden="1"/>
    </xf>
    <xf numFmtId="0" fontId="25" fillId="24" borderId="4" xfId="6" applyFont="1" applyBorder="1" applyAlignment="1" applyProtection="1">
      <alignment horizontal="center" vertical="center" wrapText="1"/>
      <protection locked="0" hidden="1"/>
    </xf>
    <xf numFmtId="0" fontId="25" fillId="24" borderId="38" xfId="6" applyFont="1" applyBorder="1" applyAlignment="1" applyProtection="1">
      <alignment horizontal="center" vertical="center" wrapText="1"/>
      <protection locked="0" hidden="1"/>
    </xf>
    <xf numFmtId="0" fontId="27" fillId="25" borderId="6" xfId="0" applyFont="1" applyFill="1" applyBorder="1" applyAlignment="1" applyProtection="1">
      <alignment horizontal="center" vertical="center" wrapText="1"/>
      <protection hidden="1"/>
    </xf>
    <xf numFmtId="0" fontId="27" fillId="25" borderId="7" xfId="0" applyFont="1" applyFill="1" applyBorder="1" applyAlignment="1" applyProtection="1">
      <alignment horizontal="center" vertical="center" wrapText="1"/>
      <protection hidden="1"/>
    </xf>
    <xf numFmtId="0" fontId="27" fillId="25" borderId="8" xfId="0" applyFont="1" applyFill="1" applyBorder="1" applyAlignment="1" applyProtection="1">
      <alignment horizontal="center" vertical="center" wrapText="1"/>
      <protection hidden="1"/>
    </xf>
    <xf numFmtId="0" fontId="21" fillId="12" borderId="13" xfId="0" applyFont="1" applyFill="1" applyBorder="1" applyAlignment="1" applyProtection="1">
      <alignment horizontal="center" vertical="center" wrapText="1"/>
      <protection hidden="1"/>
    </xf>
    <xf numFmtId="0" fontId="21" fillId="12" borderId="17" xfId="0" applyFont="1" applyFill="1" applyBorder="1" applyAlignment="1" applyProtection="1">
      <alignment horizontal="center" vertical="center" wrapText="1"/>
      <protection hidden="1"/>
    </xf>
    <xf numFmtId="0" fontId="20" fillId="16" borderId="57" xfId="0" applyFont="1" applyFill="1" applyBorder="1" applyAlignment="1" applyProtection="1">
      <alignment horizontal="left" vertical="center" wrapText="1"/>
      <protection hidden="1"/>
    </xf>
    <xf numFmtId="0" fontId="20" fillId="16" borderId="53" xfId="0" applyFont="1" applyFill="1" applyBorder="1" applyAlignment="1" applyProtection="1">
      <alignment horizontal="left" vertical="center" wrapText="1"/>
      <protection hidden="1"/>
    </xf>
    <xf numFmtId="0" fontId="23" fillId="16" borderId="41" xfId="0" applyFont="1" applyFill="1" applyBorder="1" applyAlignment="1" applyProtection="1">
      <alignment horizontal="center" vertical="center" wrapText="1"/>
      <protection hidden="1"/>
    </xf>
    <xf numFmtId="0" fontId="23" fillId="16" borderId="37" xfId="0" applyFont="1" applyFill="1" applyBorder="1" applyAlignment="1" applyProtection="1">
      <alignment horizontal="center" vertical="center" wrapText="1"/>
      <protection hidden="1"/>
    </xf>
    <xf numFmtId="0" fontId="23" fillId="5" borderId="71" xfId="0" applyFont="1" applyFill="1" applyBorder="1" applyAlignment="1" applyProtection="1">
      <alignment horizontal="center" vertical="center" wrapText="1"/>
      <protection hidden="1"/>
    </xf>
    <xf numFmtId="0" fontId="23" fillId="5" borderId="44" xfId="0" applyFont="1" applyFill="1" applyBorder="1" applyAlignment="1" applyProtection="1">
      <alignment horizontal="center" vertical="center" wrapText="1"/>
      <protection hidden="1"/>
    </xf>
    <xf numFmtId="1" fontId="21" fillId="15" borderId="12" xfId="0" applyNumberFormat="1" applyFont="1" applyFill="1" applyBorder="1" applyAlignment="1" applyProtection="1">
      <alignment horizontal="center" vertical="center" wrapText="1"/>
      <protection hidden="1"/>
    </xf>
    <xf numFmtId="1" fontId="21" fillId="15" borderId="18" xfId="0" applyNumberFormat="1" applyFont="1" applyFill="1" applyBorder="1" applyAlignment="1" applyProtection="1">
      <alignment horizontal="center" vertical="center" wrapText="1"/>
      <protection hidden="1"/>
    </xf>
    <xf numFmtId="169" fontId="21" fillId="15" borderId="25" xfId="0" applyNumberFormat="1" applyFont="1" applyFill="1" applyBorder="1" applyAlignment="1" applyProtection="1">
      <alignment horizontal="center" vertical="center" wrapText="1"/>
      <protection hidden="1"/>
    </xf>
    <xf numFmtId="169" fontId="21" fillId="15" borderId="27" xfId="0" applyNumberFormat="1" applyFont="1" applyFill="1" applyBorder="1" applyAlignment="1" applyProtection="1">
      <alignment horizontal="center" vertical="center" wrapText="1"/>
      <protection hidden="1"/>
    </xf>
    <xf numFmtId="0" fontId="21" fillId="12" borderId="27" xfId="0" applyFont="1" applyFill="1" applyBorder="1" applyAlignment="1" applyProtection="1">
      <alignment horizontal="center" vertical="center" wrapText="1"/>
      <protection hidden="1"/>
    </xf>
    <xf numFmtId="0" fontId="21" fillId="12" borderId="62" xfId="0" applyFont="1" applyFill="1" applyBorder="1" applyAlignment="1" applyProtection="1">
      <alignment horizontal="center" vertical="center" wrapText="1"/>
      <protection hidden="1"/>
    </xf>
    <xf numFmtId="0" fontId="23" fillId="5" borderId="72" xfId="0" applyFont="1" applyFill="1" applyBorder="1" applyAlignment="1" applyProtection="1">
      <alignment horizontal="center" vertical="center" wrapText="1"/>
      <protection hidden="1"/>
    </xf>
    <xf numFmtId="0" fontId="23" fillId="5" borderId="77" xfId="0" applyFont="1" applyFill="1" applyBorder="1" applyAlignment="1" applyProtection="1">
      <alignment horizontal="center" vertical="center" wrapText="1"/>
      <protection hidden="1"/>
    </xf>
    <xf numFmtId="1" fontId="21" fillId="12" borderId="12" xfId="0" applyNumberFormat="1" applyFont="1" applyFill="1" applyBorder="1" applyAlignment="1" applyProtection="1">
      <alignment horizontal="center" vertical="center" wrapText="1"/>
      <protection hidden="1"/>
    </xf>
    <xf numFmtId="1" fontId="21" fillId="12" borderId="18" xfId="0" applyNumberFormat="1" applyFont="1" applyFill="1" applyBorder="1" applyAlignment="1" applyProtection="1">
      <alignment horizontal="center" vertical="center" wrapText="1"/>
      <protection hidden="1"/>
    </xf>
    <xf numFmtId="1" fontId="21" fillId="15" borderId="26" xfId="0" applyNumberFormat="1" applyFont="1" applyFill="1" applyBorder="1" applyAlignment="1" applyProtection="1">
      <alignment horizontal="center" vertical="center" wrapText="1"/>
      <protection hidden="1"/>
    </xf>
    <xf numFmtId="1" fontId="21" fillId="15" borderId="17" xfId="0" applyNumberFormat="1" applyFont="1" applyFill="1" applyBorder="1" applyAlignment="1" applyProtection="1">
      <alignment horizontal="center" vertical="center" wrapText="1"/>
      <protection hidden="1"/>
    </xf>
    <xf numFmtId="2" fontId="21" fillId="15" borderId="12" xfId="0" applyNumberFormat="1" applyFont="1" applyFill="1" applyBorder="1" applyAlignment="1" applyProtection="1">
      <alignment horizontal="center" vertical="center" wrapText="1"/>
      <protection hidden="1"/>
    </xf>
    <xf numFmtId="2" fontId="21" fillId="15" borderId="18" xfId="0" applyNumberFormat="1" applyFont="1" applyFill="1" applyBorder="1" applyAlignment="1" applyProtection="1">
      <alignment horizontal="center" vertical="center" wrapText="1"/>
      <protection hidden="1"/>
    </xf>
    <xf numFmtId="0" fontId="20" fillId="16" borderId="7" xfId="0" applyFont="1" applyFill="1" applyBorder="1" applyAlignment="1" applyProtection="1">
      <alignment horizontal="center" vertical="center" wrapText="1"/>
      <protection hidden="1"/>
    </xf>
    <xf numFmtId="0" fontId="20" fillId="16" borderId="21" xfId="0" applyFont="1" applyFill="1" applyBorder="1" applyAlignment="1" applyProtection="1">
      <alignment horizontal="center" vertical="center" wrapText="1"/>
      <protection hidden="1"/>
    </xf>
    <xf numFmtId="0" fontId="23" fillId="5" borderId="66" xfId="0" applyFont="1" applyFill="1" applyBorder="1" applyAlignment="1" applyProtection="1">
      <alignment horizontal="center" vertical="center" wrapText="1"/>
      <protection hidden="1"/>
    </xf>
    <xf numFmtId="0" fontId="23" fillId="5" borderId="52" xfId="0" applyFont="1" applyFill="1" applyBorder="1" applyAlignment="1" applyProtection="1">
      <alignment horizontal="center" vertical="center" wrapText="1"/>
      <protection hidden="1"/>
    </xf>
    <xf numFmtId="0" fontId="27" fillId="4" borderId="55" xfId="0" applyFont="1" applyFill="1" applyBorder="1" applyAlignment="1" applyProtection="1">
      <alignment horizontal="center" vertical="center" wrapText="1"/>
      <protection hidden="1"/>
    </xf>
    <xf numFmtId="0" fontId="27" fillId="4" borderId="61" xfId="0" applyFont="1" applyFill="1" applyBorder="1" applyAlignment="1" applyProtection="1">
      <alignment horizontal="center" vertical="center" wrapText="1"/>
      <protection hidden="1"/>
    </xf>
    <xf numFmtId="0" fontId="27" fillId="4" borderId="56" xfId="0" applyFont="1" applyFill="1" applyBorder="1" applyAlignment="1" applyProtection="1">
      <alignment horizontal="center" vertical="center" wrapText="1"/>
      <protection hidden="1"/>
    </xf>
    <xf numFmtId="2" fontId="19" fillId="12" borderId="9" xfId="0" applyNumberFormat="1" applyFont="1" applyFill="1" applyBorder="1" applyAlignment="1" applyProtection="1">
      <alignment horizontal="center" vertical="center" wrapText="1"/>
      <protection hidden="1"/>
    </xf>
    <xf numFmtId="1" fontId="21" fillId="12" borderId="11" xfId="0" applyNumberFormat="1" applyFont="1" applyFill="1" applyBorder="1" applyAlignment="1" applyProtection="1">
      <alignment horizontal="center" vertical="center" wrapText="1"/>
      <protection hidden="1"/>
    </xf>
    <xf numFmtId="1" fontId="21" fillId="12" borderId="33" xfId="0" applyNumberFormat="1" applyFont="1" applyFill="1" applyBorder="1" applyAlignment="1" applyProtection="1">
      <alignment horizontal="center" vertical="center" wrapText="1"/>
      <protection hidden="1"/>
    </xf>
    <xf numFmtId="0" fontId="21" fillId="12" borderId="11" xfId="0" applyFont="1" applyFill="1" applyBorder="1" applyAlignment="1" applyProtection="1">
      <alignment horizontal="center" vertical="center" wrapText="1"/>
      <protection hidden="1"/>
    </xf>
    <xf numFmtId="0" fontId="21" fillId="12" borderId="33" xfId="0" applyFont="1" applyFill="1" applyBorder="1" applyAlignment="1" applyProtection="1">
      <alignment horizontal="center" vertical="center" wrapText="1"/>
      <protection hidden="1"/>
    </xf>
    <xf numFmtId="0" fontId="21" fillId="12" borderId="23" xfId="0" applyFont="1" applyFill="1" applyBorder="1" applyAlignment="1" applyProtection="1">
      <alignment horizontal="center" vertical="center" wrapText="1"/>
      <protection hidden="1"/>
    </xf>
    <xf numFmtId="0" fontId="21" fillId="12" borderId="14" xfId="0" applyFont="1" applyFill="1" applyBorder="1" applyAlignment="1" applyProtection="1">
      <alignment horizontal="center" vertical="center" wrapText="1"/>
      <protection hidden="1"/>
    </xf>
    <xf numFmtId="0" fontId="12" fillId="2" borderId="2" xfId="0" applyFont="1" applyFill="1" applyBorder="1" applyAlignment="1" applyProtection="1">
      <alignment horizontal="left" vertical="top" wrapText="1"/>
      <protection locked="0" hidden="1"/>
    </xf>
    <xf numFmtId="0" fontId="12" fillId="2" borderId="3" xfId="0" applyFont="1" applyFill="1" applyBorder="1" applyAlignment="1" applyProtection="1">
      <alignment horizontal="left" vertical="top" wrapText="1"/>
      <protection locked="0" hidden="1"/>
    </xf>
    <xf numFmtId="0" fontId="12" fillId="2" borderId="4" xfId="0" applyFont="1" applyFill="1" applyBorder="1" applyAlignment="1" applyProtection="1">
      <alignment horizontal="left" vertical="top" wrapText="1"/>
      <protection locked="0" hidden="1"/>
    </xf>
    <xf numFmtId="0" fontId="12" fillId="2" borderId="10" xfId="0" applyFont="1" applyFill="1" applyBorder="1" applyAlignment="1" applyProtection="1">
      <alignment horizontal="left" vertical="top" wrapText="1"/>
      <protection locked="0" hidden="1"/>
    </xf>
    <xf numFmtId="0" fontId="12" fillId="2" borderId="0" xfId="0" applyFont="1" applyFill="1" applyBorder="1" applyAlignment="1" applyProtection="1">
      <alignment horizontal="left" vertical="top" wrapText="1"/>
      <protection locked="0" hidden="1"/>
    </xf>
    <xf numFmtId="0" fontId="12" fillId="2" borderId="48" xfId="0" applyFont="1" applyFill="1" applyBorder="1" applyAlignment="1" applyProtection="1">
      <alignment horizontal="left" vertical="top" wrapText="1"/>
      <protection locked="0" hidden="1"/>
    </xf>
    <xf numFmtId="0" fontId="12" fillId="2" borderId="46" xfId="0" applyFont="1" applyFill="1" applyBorder="1" applyAlignment="1" applyProtection="1">
      <alignment horizontal="left" vertical="top" wrapText="1"/>
      <protection locked="0" hidden="1"/>
    </xf>
    <xf numFmtId="0" fontId="12" fillId="2" borderId="5" xfId="0" applyFont="1" applyFill="1" applyBorder="1" applyAlignment="1" applyProtection="1">
      <alignment horizontal="left" vertical="top" wrapText="1"/>
      <protection locked="0" hidden="1"/>
    </xf>
    <xf numFmtId="0" fontId="12" fillId="2" borderId="38" xfId="0" applyFont="1" applyFill="1" applyBorder="1" applyAlignment="1" applyProtection="1">
      <alignment horizontal="left" vertical="top" wrapText="1"/>
      <protection locked="0" hidden="1"/>
    </xf>
    <xf numFmtId="0" fontId="20" fillId="5" borderId="28" xfId="0" applyFont="1" applyFill="1" applyBorder="1" applyAlignment="1" applyProtection="1">
      <alignment horizontal="center" vertical="center" wrapText="1"/>
      <protection hidden="1"/>
    </xf>
    <xf numFmtId="0" fontId="20" fillId="5" borderId="42" xfId="0" applyFont="1" applyFill="1" applyBorder="1" applyAlignment="1" applyProtection="1">
      <alignment horizontal="center" vertical="center" wrapText="1"/>
      <protection hidden="1"/>
    </xf>
    <xf numFmtId="0" fontId="20" fillId="5" borderId="43" xfId="0" applyFont="1" applyFill="1" applyBorder="1" applyAlignment="1" applyProtection="1">
      <alignment horizontal="center" vertical="center" wrapText="1"/>
      <protection hidden="1"/>
    </xf>
    <xf numFmtId="0" fontId="20" fillId="16" borderId="6" xfId="0" applyFont="1" applyFill="1" applyBorder="1" applyAlignment="1" applyProtection="1">
      <alignment horizontal="left" vertical="center" wrapText="1"/>
      <protection hidden="1"/>
    </xf>
    <xf numFmtId="0" fontId="20" fillId="16" borderId="8" xfId="0" applyFont="1" applyFill="1" applyBorder="1" applyAlignment="1" applyProtection="1">
      <alignment horizontal="left" vertical="center" wrapText="1"/>
      <protection hidden="1"/>
    </xf>
    <xf numFmtId="0" fontId="20" fillId="16" borderId="6" xfId="0" applyFont="1" applyFill="1" applyBorder="1" applyAlignment="1" applyProtection="1">
      <alignment horizontal="center" vertical="center" wrapText="1"/>
      <protection hidden="1"/>
    </xf>
    <xf numFmtId="0" fontId="21" fillId="6" borderId="28" xfId="0" applyNumberFormat="1" applyFont="1" applyFill="1" applyBorder="1" applyAlignment="1" applyProtection="1">
      <alignment horizontal="center" vertical="center" wrapText="1"/>
      <protection hidden="1"/>
    </xf>
    <xf numFmtId="0" fontId="21" fillId="6" borderId="7" xfId="0" applyNumberFormat="1" applyFont="1" applyFill="1" applyBorder="1" applyAlignment="1" applyProtection="1">
      <alignment horizontal="center" vertical="center" wrapText="1"/>
      <protection hidden="1"/>
    </xf>
    <xf numFmtId="0" fontId="21" fillId="6" borderId="8" xfId="0" applyNumberFormat="1" applyFont="1" applyFill="1" applyBorder="1" applyAlignment="1" applyProtection="1">
      <alignment horizontal="center" vertical="center" wrapText="1"/>
      <protection hidden="1"/>
    </xf>
    <xf numFmtId="0" fontId="64" fillId="25" borderId="6" xfId="0" applyFont="1" applyFill="1" applyBorder="1" applyAlignment="1" applyProtection="1">
      <alignment horizontal="center" vertical="center" wrapText="1"/>
      <protection hidden="1"/>
    </xf>
    <xf numFmtId="0" fontId="64" fillId="25" borderId="7" xfId="0" applyFont="1" applyFill="1" applyBorder="1" applyAlignment="1" applyProtection="1">
      <alignment horizontal="center" vertical="center" wrapText="1"/>
      <protection hidden="1"/>
    </xf>
    <xf numFmtId="0" fontId="64" fillId="25" borderId="8" xfId="0" applyFont="1" applyFill="1" applyBorder="1" applyAlignment="1" applyProtection="1">
      <alignment horizontal="center" vertical="center" wrapText="1"/>
      <protection hidden="1"/>
    </xf>
    <xf numFmtId="0" fontId="27" fillId="25" borderId="10" xfId="0" applyFont="1" applyFill="1" applyBorder="1" applyAlignment="1" applyProtection="1">
      <alignment horizontal="center" vertical="center" wrapText="1"/>
      <protection hidden="1"/>
    </xf>
    <xf numFmtId="0" fontId="27" fillId="25" borderId="0" xfId="0" applyFont="1" applyFill="1" applyBorder="1" applyAlignment="1" applyProtection="1">
      <alignment horizontal="center" vertical="center" wrapText="1"/>
      <protection hidden="1"/>
    </xf>
    <xf numFmtId="0" fontId="27" fillId="25" borderId="48" xfId="0" applyFont="1" applyFill="1" applyBorder="1" applyAlignment="1" applyProtection="1">
      <alignment horizontal="center" vertical="center" wrapText="1"/>
      <protection hidden="1"/>
    </xf>
    <xf numFmtId="0" fontId="23" fillId="21" borderId="71" xfId="0" applyFont="1" applyFill="1" applyBorder="1" applyAlignment="1" applyProtection="1">
      <alignment horizontal="center" vertical="center" wrapText="1"/>
      <protection hidden="1"/>
    </xf>
    <xf numFmtId="0" fontId="23" fillId="21" borderId="66" xfId="0" applyFont="1" applyFill="1" applyBorder="1" applyAlignment="1" applyProtection="1">
      <alignment horizontal="center" vertical="center" wrapText="1"/>
      <protection hidden="1"/>
    </xf>
    <xf numFmtId="0" fontId="23" fillId="16" borderId="66" xfId="0" applyFont="1" applyFill="1" applyBorder="1" applyAlignment="1" applyProtection="1">
      <alignment horizontal="center" vertical="center" wrapText="1"/>
      <protection hidden="1"/>
    </xf>
    <xf numFmtId="0" fontId="21" fillId="19" borderId="39" xfId="0" applyFont="1" applyFill="1" applyBorder="1" applyAlignment="1" applyProtection="1">
      <alignment horizontal="center" vertical="center" wrapText="1"/>
      <protection hidden="1"/>
    </xf>
    <xf numFmtId="0" fontId="21" fillId="19" borderId="40" xfId="0" applyFont="1" applyFill="1" applyBorder="1" applyAlignment="1" applyProtection="1">
      <alignment horizontal="center" vertical="center" wrapText="1"/>
      <protection hidden="1"/>
    </xf>
    <xf numFmtId="0" fontId="19" fillId="19" borderId="32" xfId="0" applyFont="1" applyFill="1" applyBorder="1" applyAlignment="1" applyProtection="1">
      <alignment horizontal="center" vertical="center" wrapText="1"/>
      <protection hidden="1"/>
    </xf>
    <xf numFmtId="0" fontId="19" fillId="19" borderId="9" xfId="0" applyFont="1" applyFill="1" applyBorder="1" applyAlignment="1" applyProtection="1">
      <alignment horizontal="center" vertical="center" wrapText="1"/>
      <protection hidden="1"/>
    </xf>
    <xf numFmtId="0" fontId="21" fillId="19" borderId="42" xfId="0" applyFont="1" applyFill="1" applyBorder="1" applyAlignment="1" applyProtection="1">
      <alignment horizontal="center" vertical="center" wrapText="1"/>
      <protection hidden="1"/>
    </xf>
    <xf numFmtId="0" fontId="21" fillId="19" borderId="43" xfId="0" applyFont="1" applyFill="1" applyBorder="1" applyAlignment="1" applyProtection="1">
      <alignment horizontal="center" vertical="center" wrapText="1"/>
      <protection hidden="1"/>
    </xf>
    <xf numFmtId="0" fontId="29" fillId="0" borderId="0" xfId="0" applyFont="1" applyBorder="1" applyAlignment="1" applyProtection="1">
      <alignment horizontal="left" vertical="center" wrapText="1"/>
      <protection hidden="1"/>
    </xf>
    <xf numFmtId="0" fontId="20" fillId="0" borderId="0" xfId="0" applyFont="1" applyAlignment="1" applyProtection="1">
      <alignment horizontal="center" vertical="center" wrapText="1"/>
      <protection hidden="1"/>
    </xf>
    <xf numFmtId="0" fontId="20" fillId="7" borderId="19" xfId="0" applyFont="1" applyFill="1" applyBorder="1" applyAlignment="1" applyProtection="1">
      <alignment horizontal="center" vertical="center" wrapText="1"/>
      <protection hidden="1"/>
    </xf>
    <xf numFmtId="0" fontId="20" fillId="7" borderId="20" xfId="0" applyFont="1" applyFill="1" applyBorder="1" applyAlignment="1" applyProtection="1">
      <alignment horizontal="center" vertical="center" wrapText="1"/>
      <protection hidden="1"/>
    </xf>
    <xf numFmtId="20" fontId="13" fillId="6" borderId="6" xfId="0" applyNumberFormat="1" applyFont="1" applyFill="1" applyBorder="1" applyAlignment="1" applyProtection="1">
      <alignment horizontal="center" vertical="center" wrapText="1"/>
      <protection locked="0" hidden="1"/>
    </xf>
    <xf numFmtId="20" fontId="13" fillId="6" borderId="8" xfId="0" applyNumberFormat="1" applyFont="1" applyFill="1" applyBorder="1" applyAlignment="1" applyProtection="1">
      <alignment horizontal="center" vertical="center" wrapText="1"/>
      <protection locked="0" hidden="1"/>
    </xf>
    <xf numFmtId="20" fontId="21" fillId="6" borderId="6" xfId="0" applyNumberFormat="1" applyFont="1" applyFill="1" applyBorder="1" applyAlignment="1" applyProtection="1">
      <alignment horizontal="center" vertical="center" wrapText="1"/>
      <protection locked="0" hidden="1"/>
    </xf>
    <xf numFmtId="20" fontId="21" fillId="6" borderId="8" xfId="0" applyNumberFormat="1" applyFont="1" applyFill="1" applyBorder="1" applyAlignment="1" applyProtection="1">
      <alignment horizontal="center" vertical="center" wrapText="1"/>
      <protection locked="0" hidden="1"/>
    </xf>
    <xf numFmtId="1" fontId="20" fillId="7" borderId="4" xfId="0" applyNumberFormat="1" applyFont="1" applyFill="1" applyBorder="1" applyAlignment="1" applyProtection="1">
      <alignment horizontal="center" vertical="center" wrapText="1"/>
      <protection hidden="1"/>
    </xf>
    <xf numFmtId="1" fontId="20" fillId="7" borderId="48" xfId="0" applyNumberFormat="1" applyFont="1" applyFill="1" applyBorder="1" applyAlignment="1" applyProtection="1">
      <alignment horizontal="center" vertical="center" wrapText="1"/>
      <protection hidden="1"/>
    </xf>
    <xf numFmtId="1" fontId="20" fillId="7" borderId="38" xfId="0" applyNumberFormat="1" applyFont="1" applyFill="1" applyBorder="1" applyAlignment="1" applyProtection="1">
      <alignment horizontal="center" vertical="center" wrapText="1"/>
      <protection hidden="1"/>
    </xf>
    <xf numFmtId="167" fontId="20" fillId="7" borderId="70" xfId="0" applyNumberFormat="1" applyFont="1" applyFill="1" applyBorder="1" applyAlignment="1" applyProtection="1">
      <alignment horizontal="center" vertical="center" wrapText="1"/>
      <protection hidden="1"/>
    </xf>
    <xf numFmtId="167" fontId="20" fillId="7" borderId="69" xfId="0" applyNumberFormat="1" applyFont="1" applyFill="1" applyBorder="1" applyAlignment="1" applyProtection="1">
      <alignment horizontal="center" vertical="center" wrapText="1"/>
      <protection hidden="1"/>
    </xf>
    <xf numFmtId="167" fontId="20" fillId="7" borderId="49" xfId="0" applyNumberFormat="1" applyFont="1" applyFill="1" applyBorder="1" applyAlignment="1" applyProtection="1">
      <alignment horizontal="center" vertical="center" wrapText="1"/>
      <protection hidden="1"/>
    </xf>
    <xf numFmtId="2" fontId="31" fillId="15" borderId="9" xfId="0" applyNumberFormat="1" applyFont="1" applyFill="1" applyBorder="1" applyAlignment="1" applyProtection="1">
      <alignment horizontal="center" vertical="center" wrapText="1"/>
      <protection hidden="1"/>
    </xf>
    <xf numFmtId="2" fontId="31" fillId="15" borderId="43" xfId="0" applyNumberFormat="1" applyFont="1" applyFill="1" applyBorder="1" applyAlignment="1" applyProtection="1">
      <alignment horizontal="center" vertical="center" wrapText="1"/>
      <protection hidden="1"/>
    </xf>
    <xf numFmtId="0" fontId="24" fillId="5" borderId="71" xfId="0" applyFont="1" applyFill="1" applyBorder="1" applyAlignment="1" applyProtection="1">
      <alignment horizontal="center" vertical="center" wrapText="1"/>
      <protection hidden="1"/>
    </xf>
    <xf numFmtId="0" fontId="24" fillId="5" borderId="50" xfId="0" applyFont="1" applyFill="1" applyBorder="1" applyAlignment="1" applyProtection="1">
      <alignment horizontal="center" vertical="center" wrapText="1"/>
      <protection hidden="1"/>
    </xf>
    <xf numFmtId="0" fontId="44" fillId="25" borderId="2" xfId="0" applyFont="1" applyFill="1" applyBorder="1" applyAlignment="1" applyProtection="1">
      <alignment horizontal="center" vertical="center" wrapText="1"/>
      <protection hidden="1"/>
    </xf>
    <xf numFmtId="0" fontId="44" fillId="25" borderId="3" xfId="0" applyFont="1" applyFill="1" applyBorder="1" applyAlignment="1" applyProtection="1">
      <alignment horizontal="center" vertical="center" wrapText="1"/>
      <protection hidden="1"/>
    </xf>
    <xf numFmtId="0" fontId="44" fillId="25" borderId="4" xfId="0" applyFont="1" applyFill="1" applyBorder="1" applyAlignment="1" applyProtection="1">
      <alignment horizontal="center" vertical="center" wrapText="1"/>
      <protection hidden="1"/>
    </xf>
    <xf numFmtId="0" fontId="24" fillId="5" borderId="57" xfId="1" applyFont="1" applyFill="1" applyBorder="1" applyAlignment="1" applyProtection="1">
      <alignment horizontal="center" vertical="center" wrapText="1"/>
      <protection hidden="1"/>
    </xf>
    <xf numFmtId="0" fontId="24" fillId="5" borderId="47" xfId="1" applyFont="1" applyFill="1" applyBorder="1" applyAlignment="1" applyProtection="1">
      <alignment horizontal="center" vertical="center" wrapText="1"/>
      <protection hidden="1"/>
    </xf>
    <xf numFmtId="0" fontId="24" fillId="5" borderId="31" xfId="1" applyFont="1" applyFill="1" applyBorder="1" applyAlignment="1" applyProtection="1">
      <alignment horizontal="center" vertical="center" wrapText="1"/>
      <protection hidden="1"/>
    </xf>
    <xf numFmtId="0" fontId="24" fillId="5" borderId="53" xfId="1" applyFont="1" applyFill="1" applyBorder="1" applyAlignment="1" applyProtection="1">
      <alignment horizontal="center" vertical="center" wrapText="1"/>
      <protection hidden="1"/>
    </xf>
    <xf numFmtId="0" fontId="44" fillId="4" borderId="6" xfId="0" applyFont="1" applyFill="1" applyBorder="1" applyAlignment="1" applyProtection="1">
      <alignment horizontal="center" vertical="center" wrapText="1"/>
      <protection hidden="1"/>
    </xf>
    <xf numFmtId="0" fontId="44" fillId="4" borderId="7" xfId="0" applyFont="1" applyFill="1" applyBorder="1" applyAlignment="1" applyProtection="1">
      <alignment horizontal="center" vertical="center" wrapText="1"/>
      <protection hidden="1"/>
    </xf>
    <xf numFmtId="0" fontId="44" fillId="4" borderId="8" xfId="0" applyFont="1" applyFill="1" applyBorder="1" applyAlignment="1" applyProtection="1">
      <alignment horizontal="center" vertical="center" wrapText="1"/>
      <protection hidden="1"/>
    </xf>
    <xf numFmtId="1" fontId="31" fillId="15" borderId="32" xfId="0" applyNumberFormat="1" applyFont="1" applyFill="1" applyBorder="1" applyAlignment="1" applyProtection="1">
      <alignment horizontal="center" vertical="center" wrapText="1"/>
      <protection hidden="1"/>
    </xf>
    <xf numFmtId="1" fontId="31" fillId="15" borderId="42" xfId="0" applyNumberFormat="1" applyFont="1" applyFill="1" applyBorder="1" applyAlignment="1" applyProtection="1">
      <alignment horizontal="center" vertical="center" wrapText="1"/>
      <protection hidden="1"/>
    </xf>
    <xf numFmtId="0" fontId="20" fillId="5" borderId="55" xfId="0" applyFont="1" applyFill="1" applyBorder="1" applyAlignment="1" applyProtection="1">
      <alignment horizontal="center" vertical="top" wrapText="1"/>
      <protection hidden="1"/>
    </xf>
    <xf numFmtId="0" fontId="20" fillId="5" borderId="60" xfId="0" applyFont="1" applyFill="1" applyBorder="1" applyAlignment="1" applyProtection="1">
      <alignment horizontal="center" vertical="top" wrapText="1"/>
      <protection hidden="1"/>
    </xf>
    <xf numFmtId="0" fontId="20" fillId="5" borderId="46" xfId="0" applyFont="1" applyFill="1" applyBorder="1" applyAlignment="1" applyProtection="1">
      <alignment horizontal="center" vertical="top" wrapText="1"/>
      <protection hidden="1"/>
    </xf>
    <xf numFmtId="0" fontId="20" fillId="5" borderId="38" xfId="0" applyFont="1" applyFill="1" applyBorder="1" applyAlignment="1" applyProtection="1">
      <alignment horizontal="center" vertical="top" wrapText="1"/>
      <protection hidden="1"/>
    </xf>
    <xf numFmtId="0" fontId="20" fillId="5" borderId="21" xfId="0" applyFont="1" applyFill="1" applyBorder="1" applyAlignment="1" applyProtection="1">
      <alignment horizontal="center" vertical="center" wrapText="1"/>
      <protection hidden="1"/>
    </xf>
    <xf numFmtId="0" fontId="20" fillId="5" borderId="3" xfId="0" applyFont="1" applyFill="1" applyBorder="1" applyAlignment="1" applyProtection="1">
      <alignment horizontal="center" vertical="top" wrapText="1"/>
      <protection hidden="1"/>
    </xf>
    <xf numFmtId="0" fontId="20" fillId="5" borderId="4" xfId="0" applyFont="1" applyFill="1" applyBorder="1" applyAlignment="1" applyProtection="1">
      <alignment horizontal="center" vertical="top" wrapText="1"/>
      <protection hidden="1"/>
    </xf>
    <xf numFmtId="0" fontId="20" fillId="5" borderId="13" xfId="0" applyFont="1" applyFill="1" applyBorder="1" applyAlignment="1" applyProtection="1">
      <alignment horizontal="center" vertical="top" wrapText="1"/>
      <protection hidden="1"/>
    </xf>
    <xf numFmtId="0" fontId="20" fillId="5" borderId="62" xfId="0" applyFont="1" applyFill="1" applyBorder="1" applyAlignment="1" applyProtection="1">
      <alignment horizontal="center" vertical="top" wrapText="1"/>
      <protection hidden="1"/>
    </xf>
    <xf numFmtId="166" fontId="21" fillId="13" borderId="61" xfId="0" applyNumberFormat="1" applyFont="1" applyFill="1" applyBorder="1" applyAlignment="1" applyProtection="1">
      <alignment horizontal="center" vertical="center"/>
      <protection hidden="1"/>
    </xf>
    <xf numFmtId="166" fontId="21" fillId="13" borderId="60" xfId="0" applyNumberFormat="1" applyFont="1" applyFill="1" applyBorder="1" applyAlignment="1" applyProtection="1">
      <alignment horizontal="center" vertical="center"/>
      <protection hidden="1"/>
    </xf>
    <xf numFmtId="0" fontId="44" fillId="8" borderId="6" xfId="0" applyFont="1" applyFill="1" applyBorder="1" applyAlignment="1" applyProtection="1">
      <alignment horizontal="center" vertical="center" wrapText="1"/>
      <protection hidden="1"/>
    </xf>
    <xf numFmtId="0" fontId="44" fillId="8" borderId="7" xfId="0" applyFont="1" applyFill="1" applyBorder="1" applyAlignment="1" applyProtection="1">
      <alignment horizontal="center" vertical="center" wrapText="1"/>
      <protection hidden="1"/>
    </xf>
    <xf numFmtId="0" fontId="44" fillId="8" borderId="8" xfId="0" applyFont="1" applyFill="1" applyBorder="1" applyAlignment="1" applyProtection="1">
      <alignment horizontal="center" vertical="center" wrapText="1"/>
      <protection hidden="1"/>
    </xf>
    <xf numFmtId="0" fontId="20" fillId="5" borderId="57" xfId="0" applyFont="1" applyFill="1" applyBorder="1" applyAlignment="1" applyProtection="1">
      <alignment horizontal="center" vertical="top" wrapText="1"/>
      <protection hidden="1"/>
    </xf>
    <xf numFmtId="0" fontId="20" fillId="5" borderId="53" xfId="0" applyFont="1" applyFill="1" applyBorder="1" applyAlignment="1" applyProtection="1">
      <alignment horizontal="center" vertical="top" wrapText="1"/>
      <protection hidden="1"/>
    </xf>
    <xf numFmtId="0" fontId="72" fillId="8" borderId="2" xfId="0" applyFont="1" applyFill="1" applyBorder="1" applyAlignment="1" applyProtection="1">
      <alignment horizontal="center" vertical="center" wrapText="1"/>
      <protection hidden="1"/>
    </xf>
    <xf numFmtId="0" fontId="72" fillId="8" borderId="3" xfId="0" applyFont="1" applyFill="1" applyBorder="1" applyAlignment="1" applyProtection="1">
      <alignment horizontal="center" vertical="center" wrapText="1"/>
      <protection hidden="1"/>
    </xf>
    <xf numFmtId="0" fontId="72" fillId="8" borderId="4" xfId="0" applyFont="1" applyFill="1" applyBorder="1" applyAlignment="1" applyProtection="1">
      <alignment horizontal="center" vertical="center" wrapText="1"/>
      <protection hidden="1"/>
    </xf>
    <xf numFmtId="0" fontId="40" fillId="0" borderId="6" xfId="0" applyFont="1" applyFill="1" applyBorder="1" applyAlignment="1" applyProtection="1">
      <alignment horizontal="center" vertical="center" wrapText="1"/>
      <protection hidden="1"/>
    </xf>
    <xf numFmtId="0" fontId="40" fillId="0" borderId="7" xfId="0" applyFont="1" applyFill="1" applyBorder="1" applyAlignment="1" applyProtection="1">
      <alignment horizontal="center" vertical="center" wrapText="1"/>
      <protection hidden="1"/>
    </xf>
    <xf numFmtId="0" fontId="40" fillId="0" borderId="8" xfId="0" applyFont="1" applyFill="1" applyBorder="1" applyAlignment="1" applyProtection="1">
      <alignment horizontal="center" vertical="center" wrapText="1"/>
      <protection hidden="1"/>
    </xf>
    <xf numFmtId="169" fontId="31" fillId="6" borderId="28" xfId="0" applyNumberFormat="1" applyFont="1" applyFill="1" applyBorder="1" applyAlignment="1" applyProtection="1">
      <alignment horizontal="center" vertical="center" wrapText="1"/>
      <protection locked="0" hidden="1"/>
    </xf>
    <xf numFmtId="169" fontId="31" fillId="6" borderId="21" xfId="0" applyNumberFormat="1" applyFont="1" applyFill="1" applyBorder="1" applyAlignment="1" applyProtection="1">
      <alignment horizontal="center" vertical="center" wrapText="1"/>
      <protection locked="0" hidden="1"/>
    </xf>
    <xf numFmtId="0" fontId="21" fillId="2" borderId="0" xfId="0" applyFont="1" applyFill="1" applyBorder="1" applyAlignment="1" applyProtection="1">
      <alignment horizontal="center" vertical="center" wrapText="1"/>
      <protection hidden="1"/>
    </xf>
    <xf numFmtId="0" fontId="20" fillId="5" borderId="35" xfId="0" applyFont="1" applyFill="1" applyBorder="1" applyAlignment="1" applyProtection="1">
      <alignment horizontal="center" vertical="top" wrapText="1"/>
      <protection hidden="1"/>
    </xf>
    <xf numFmtId="0" fontId="20" fillId="5" borderId="33" xfId="0" applyFont="1" applyFill="1" applyBorder="1" applyAlignment="1" applyProtection="1">
      <alignment horizontal="center" vertical="top" wrapText="1"/>
      <protection hidden="1"/>
    </xf>
    <xf numFmtId="0" fontId="20" fillId="5" borderId="57" xfId="0" applyFont="1" applyFill="1" applyBorder="1" applyAlignment="1" applyProtection="1">
      <alignment horizontal="center" vertical="top"/>
      <protection hidden="1"/>
    </xf>
    <xf numFmtId="0" fontId="20" fillId="5" borderId="53" xfId="0" applyFont="1" applyFill="1" applyBorder="1" applyAlignment="1" applyProtection="1">
      <alignment horizontal="center" vertical="top"/>
      <protection hidden="1"/>
    </xf>
    <xf numFmtId="0" fontId="20" fillId="5" borderId="2" xfId="0" applyFont="1" applyFill="1" applyBorder="1" applyAlignment="1" applyProtection="1">
      <alignment horizontal="center" vertical="top" wrapText="1"/>
      <protection hidden="1"/>
    </xf>
    <xf numFmtId="0" fontId="24" fillId="5" borderId="66" xfId="0" applyFont="1" applyFill="1" applyBorder="1" applyAlignment="1" applyProtection="1">
      <alignment horizontal="center" vertical="center" wrapText="1"/>
      <protection hidden="1"/>
    </xf>
    <xf numFmtId="0" fontId="24" fillId="5" borderId="15" xfId="0" applyFont="1" applyFill="1" applyBorder="1" applyAlignment="1" applyProtection="1">
      <alignment horizontal="center" vertical="center" wrapText="1"/>
      <protection hidden="1"/>
    </xf>
    <xf numFmtId="0" fontId="24" fillId="5" borderId="18" xfId="0" applyFont="1" applyFill="1" applyBorder="1" applyAlignment="1" applyProtection="1">
      <alignment horizontal="center" vertical="center" wrapText="1"/>
      <protection hidden="1"/>
    </xf>
    <xf numFmtId="0" fontId="24" fillId="5" borderId="72" xfId="0" applyFont="1" applyFill="1" applyBorder="1" applyAlignment="1" applyProtection="1">
      <alignment horizontal="center" vertical="center" wrapText="1"/>
      <protection hidden="1"/>
    </xf>
    <xf numFmtId="0" fontId="24" fillId="5" borderId="64" xfId="0" applyFont="1" applyFill="1" applyBorder="1" applyAlignment="1" applyProtection="1">
      <alignment horizontal="center" vertical="center" wrapText="1"/>
      <protection hidden="1"/>
    </xf>
    <xf numFmtId="0" fontId="24" fillId="5" borderId="36" xfId="0" applyFont="1" applyFill="1" applyBorder="1" applyAlignment="1" applyProtection="1">
      <alignment horizontal="center" vertical="center" wrapText="1"/>
      <protection hidden="1"/>
    </xf>
    <xf numFmtId="0" fontId="44" fillId="4" borderId="39" xfId="0" applyFont="1" applyFill="1" applyBorder="1" applyAlignment="1" applyProtection="1">
      <alignment horizontal="center" vertical="center" wrapText="1"/>
      <protection hidden="1"/>
    </xf>
    <xf numFmtId="0" fontId="44" fillId="4" borderId="40" xfId="0" applyFont="1" applyFill="1" applyBorder="1" applyAlignment="1" applyProtection="1">
      <alignment horizontal="center" vertical="center" wrapText="1"/>
      <protection hidden="1"/>
    </xf>
    <xf numFmtId="0" fontId="44" fillId="4" borderId="41" xfId="0" applyFont="1" applyFill="1" applyBorder="1" applyAlignment="1" applyProtection="1">
      <alignment horizontal="center" vertical="center" wrapText="1"/>
      <protection hidden="1"/>
    </xf>
    <xf numFmtId="0" fontId="44" fillId="4" borderId="42" xfId="0" applyFont="1" applyFill="1" applyBorder="1" applyAlignment="1" applyProtection="1">
      <alignment horizontal="center" vertical="center" wrapText="1"/>
      <protection hidden="1"/>
    </xf>
    <xf numFmtId="0" fontId="44" fillId="4" borderId="43" xfId="0" applyFont="1" applyFill="1" applyBorder="1" applyAlignment="1" applyProtection="1">
      <alignment horizontal="center" vertical="center" wrapText="1"/>
      <protection hidden="1"/>
    </xf>
    <xf numFmtId="0" fontId="44" fillId="4" borderId="37" xfId="0" applyFont="1" applyFill="1" applyBorder="1" applyAlignment="1" applyProtection="1">
      <alignment horizontal="center" vertical="center" wrapText="1"/>
      <protection hidden="1"/>
    </xf>
    <xf numFmtId="169" fontId="31" fillId="19" borderId="22" xfId="0" applyNumberFormat="1" applyFont="1" applyFill="1" applyBorder="1" applyAlignment="1" applyProtection="1">
      <alignment horizontal="center" vertical="center" wrapText="1"/>
      <protection hidden="1"/>
    </xf>
    <xf numFmtId="14" fontId="31" fillId="19" borderId="22" xfId="0" applyNumberFormat="1" applyFont="1" applyFill="1" applyBorder="1" applyAlignment="1" applyProtection="1">
      <alignment horizontal="center" vertical="center" wrapText="1"/>
      <protection hidden="1"/>
    </xf>
    <xf numFmtId="14" fontId="31" fillId="19" borderId="20" xfId="0" applyNumberFormat="1" applyFont="1" applyFill="1" applyBorder="1" applyAlignment="1" applyProtection="1">
      <alignment horizontal="center" vertical="center" wrapText="1"/>
      <protection hidden="1"/>
    </xf>
    <xf numFmtId="0" fontId="44" fillId="4" borderId="2" xfId="0" applyFont="1" applyFill="1" applyBorder="1" applyAlignment="1" applyProtection="1">
      <alignment horizontal="center" vertical="center" wrapText="1"/>
      <protection hidden="1"/>
    </xf>
    <xf numFmtId="0" fontId="44" fillId="4" borderId="3" xfId="0" applyFont="1" applyFill="1" applyBorder="1" applyAlignment="1" applyProtection="1">
      <alignment horizontal="center" vertical="center" wrapText="1"/>
      <protection hidden="1"/>
    </xf>
    <xf numFmtId="0" fontId="44" fillId="4" borderId="4" xfId="0" applyFont="1" applyFill="1" applyBorder="1" applyAlignment="1" applyProtection="1">
      <alignment horizontal="center" vertical="center" wrapText="1"/>
      <protection hidden="1"/>
    </xf>
    <xf numFmtId="0" fontId="44" fillId="4" borderId="46" xfId="0" applyFont="1" applyFill="1" applyBorder="1" applyAlignment="1" applyProtection="1">
      <alignment horizontal="center" vertical="center" wrapText="1"/>
      <protection hidden="1"/>
    </xf>
    <xf numFmtId="0" fontId="44" fillId="4" borderId="5" xfId="0" applyFont="1" applyFill="1" applyBorder="1" applyAlignment="1" applyProtection="1">
      <alignment horizontal="center" vertical="center" wrapText="1"/>
      <protection hidden="1"/>
    </xf>
    <xf numFmtId="0" fontId="44" fillId="4" borderId="38" xfId="0" applyFont="1" applyFill="1" applyBorder="1" applyAlignment="1" applyProtection="1">
      <alignment horizontal="center" vertical="center" wrapText="1"/>
      <protection hidden="1"/>
    </xf>
    <xf numFmtId="0" fontId="33" fillId="4" borderId="46" xfId="0" applyFont="1" applyFill="1" applyBorder="1" applyAlignment="1" applyProtection="1">
      <alignment horizontal="center" vertical="center" wrapText="1"/>
      <protection hidden="1"/>
    </xf>
    <xf numFmtId="0" fontId="33" fillId="4" borderId="5" xfId="0" applyFont="1" applyFill="1" applyBorder="1" applyAlignment="1" applyProtection="1">
      <alignment horizontal="center" vertical="center" wrapText="1"/>
      <protection hidden="1"/>
    </xf>
    <xf numFmtId="0" fontId="20" fillId="0" borderId="0" xfId="0" applyFont="1" applyFill="1" applyBorder="1" applyAlignment="1">
      <alignment horizontal="center" vertical="center"/>
    </xf>
    <xf numFmtId="169" fontId="28" fillId="13" borderId="32" xfId="0" applyNumberFormat="1" applyFont="1" applyFill="1" applyBorder="1" applyAlignment="1">
      <alignment horizontal="center" vertical="center" wrapText="1"/>
    </xf>
    <xf numFmtId="169" fontId="28" fillId="13" borderId="42" xfId="0" applyNumberFormat="1" applyFont="1" applyFill="1" applyBorder="1" applyAlignment="1">
      <alignment horizontal="center" vertical="center" wrapText="1"/>
    </xf>
    <xf numFmtId="0" fontId="20" fillId="0" borderId="71" xfId="0" applyFont="1" applyFill="1" applyBorder="1" applyAlignment="1">
      <alignment horizontal="center" vertical="center"/>
    </xf>
    <xf numFmtId="0" fontId="20" fillId="0" borderId="66" xfId="0" applyFont="1" applyFill="1" applyBorder="1" applyAlignment="1">
      <alignment horizontal="center" vertical="center"/>
    </xf>
    <xf numFmtId="0" fontId="20" fillId="0" borderId="72" xfId="0" applyFont="1" applyFill="1" applyBorder="1" applyAlignment="1">
      <alignment horizontal="center" vertical="center"/>
    </xf>
    <xf numFmtId="0" fontId="21" fillId="0" borderId="9"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23" xfId="0" applyFont="1" applyBorder="1" applyAlignment="1">
      <alignment horizontal="center" vertical="center" wrapText="1"/>
    </xf>
    <xf numFmtId="0" fontId="20" fillId="0" borderId="14" xfId="0" applyFont="1" applyBorder="1" applyAlignment="1">
      <alignment horizontal="center" vertical="center" wrapText="1"/>
    </xf>
    <xf numFmtId="0" fontId="27" fillId="8" borderId="2" xfId="0" applyFont="1" applyFill="1" applyBorder="1" applyAlignment="1">
      <alignment horizontal="center" vertical="center"/>
    </xf>
    <xf numFmtId="0" fontId="27" fillId="8" borderId="3" xfId="0" applyFont="1" applyFill="1" applyBorder="1" applyAlignment="1">
      <alignment horizontal="center" vertical="center"/>
    </xf>
    <xf numFmtId="0" fontId="27" fillId="8" borderId="46" xfId="0" applyFont="1" applyFill="1" applyBorder="1" applyAlignment="1">
      <alignment horizontal="center" vertical="center"/>
    </xf>
    <xf numFmtId="0" fontId="27" fillId="8" borderId="5" xfId="0" applyFont="1" applyFill="1" applyBorder="1" applyAlignment="1">
      <alignment horizontal="center" vertical="center"/>
    </xf>
    <xf numFmtId="169" fontId="21" fillId="0" borderId="0" xfId="0" applyNumberFormat="1" applyFont="1" applyFill="1" applyBorder="1" applyAlignment="1">
      <alignment horizontal="center" vertical="center"/>
    </xf>
    <xf numFmtId="0" fontId="17" fillId="0" borderId="11" xfId="0" applyFont="1" applyBorder="1" applyAlignment="1">
      <alignment horizontal="center"/>
    </xf>
    <xf numFmtId="0" fontId="17" fillId="0" borderId="23" xfId="0" applyFont="1" applyBorder="1" applyAlignment="1">
      <alignment horizontal="center"/>
    </xf>
    <xf numFmtId="0" fontId="17" fillId="0" borderId="14" xfId="0" applyFont="1" applyBorder="1" applyAlignment="1">
      <alignment horizontal="center"/>
    </xf>
    <xf numFmtId="0" fontId="20" fillId="5" borderId="6" xfId="0" applyFont="1" applyFill="1" applyBorder="1" applyAlignment="1">
      <alignment horizontal="center" vertical="center" wrapText="1"/>
    </xf>
    <xf numFmtId="0" fontId="20" fillId="5" borderId="8" xfId="0" applyFont="1" applyFill="1" applyBorder="1" applyAlignment="1">
      <alignment horizontal="center" vertical="center" wrapText="1"/>
    </xf>
    <xf numFmtId="0" fontId="20" fillId="5" borderId="19" xfId="0" applyFont="1" applyFill="1" applyBorder="1" applyAlignment="1">
      <alignment horizontal="center" vertical="center" wrapText="1"/>
    </xf>
    <xf numFmtId="0" fontId="20" fillId="5" borderId="20" xfId="0" applyFont="1" applyFill="1" applyBorder="1" applyAlignment="1">
      <alignment horizontal="center" vertical="center" wrapText="1"/>
    </xf>
    <xf numFmtId="0" fontId="20" fillId="5" borderId="22"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0" fillId="5" borderId="3" xfId="0" applyFont="1" applyFill="1" applyBorder="1" applyAlignment="1">
      <alignment horizontal="center" vertical="center" wrapText="1"/>
    </xf>
    <xf numFmtId="0" fontId="20" fillId="5" borderId="4" xfId="0" applyFont="1" applyFill="1" applyBorder="1" applyAlignment="1">
      <alignment horizontal="center" vertical="center" wrapText="1"/>
    </xf>
    <xf numFmtId="0" fontId="17" fillId="31" borderId="55" xfId="0" applyFont="1" applyFill="1" applyBorder="1" applyAlignment="1">
      <alignment horizontal="center" vertical="center" wrapText="1"/>
    </xf>
    <xf numFmtId="0" fontId="17" fillId="31" borderId="61" xfId="0" applyFont="1" applyFill="1" applyBorder="1" applyAlignment="1">
      <alignment horizontal="center" vertical="center" wrapText="1"/>
    </xf>
    <xf numFmtId="0" fontId="17" fillId="31" borderId="60" xfId="0" applyFont="1" applyFill="1" applyBorder="1" applyAlignment="1">
      <alignment horizontal="center" vertical="center" wrapText="1"/>
    </xf>
    <xf numFmtId="0" fontId="17" fillId="31" borderId="46" xfId="0" applyFont="1" applyFill="1" applyBorder="1" applyAlignment="1">
      <alignment horizontal="center" vertical="center"/>
    </xf>
    <xf numFmtId="0" fontId="17" fillId="31" borderId="5" xfId="0" applyFont="1" applyFill="1" applyBorder="1" applyAlignment="1">
      <alignment horizontal="center" vertical="center"/>
    </xf>
    <xf numFmtId="0" fontId="17" fillId="31" borderId="38" xfId="0" applyFont="1" applyFill="1" applyBorder="1" applyAlignment="1">
      <alignment horizontal="center" vertical="center"/>
    </xf>
    <xf numFmtId="169" fontId="74" fillId="2" borderId="7" xfId="0" applyNumberFormat="1" applyFont="1" applyFill="1" applyBorder="1" applyAlignment="1">
      <alignment horizontal="center" vertical="center"/>
    </xf>
    <xf numFmtId="169" fontId="74" fillId="2" borderId="8" xfId="0" applyNumberFormat="1" applyFont="1" applyFill="1" applyBorder="1" applyAlignment="1">
      <alignment horizontal="center" vertical="center"/>
    </xf>
    <xf numFmtId="0" fontId="28" fillId="18" borderId="39" xfId="0" applyFont="1" applyFill="1" applyBorder="1" applyAlignment="1" applyProtection="1">
      <alignment horizontal="center" vertical="center" wrapText="1"/>
      <protection hidden="1"/>
    </xf>
    <xf numFmtId="0" fontId="28" fillId="18" borderId="40" xfId="0" applyFont="1" applyFill="1" applyBorder="1" applyAlignment="1" applyProtection="1">
      <alignment horizontal="center" vertical="center" wrapText="1"/>
      <protection hidden="1"/>
    </xf>
    <xf numFmtId="0" fontId="28" fillId="18" borderId="41" xfId="0" applyFont="1" applyFill="1" applyBorder="1" applyAlignment="1" applyProtection="1">
      <alignment horizontal="center" vertical="center" wrapText="1"/>
      <protection hidden="1"/>
    </xf>
    <xf numFmtId="0" fontId="28" fillId="18" borderId="32" xfId="0" applyFont="1" applyFill="1" applyBorder="1" applyAlignment="1" applyProtection="1">
      <alignment horizontal="center" vertical="center" wrapText="1"/>
      <protection hidden="1"/>
    </xf>
    <xf numFmtId="0" fontId="28" fillId="18" borderId="9" xfId="0" applyFont="1" applyFill="1" applyBorder="1" applyAlignment="1" applyProtection="1">
      <alignment horizontal="center" vertical="center" wrapText="1"/>
      <protection hidden="1"/>
    </xf>
    <xf numFmtId="0" fontId="28" fillId="18" borderId="34" xfId="0" applyFont="1" applyFill="1" applyBorder="1" applyAlignment="1" applyProtection="1">
      <alignment horizontal="center" vertical="center" wrapText="1"/>
      <protection hidden="1"/>
    </xf>
    <xf numFmtId="0" fontId="68" fillId="0" borderId="9" xfId="0" applyFont="1" applyBorder="1" applyAlignment="1">
      <alignment horizontal="center"/>
    </xf>
    <xf numFmtId="0" fontId="68" fillId="0" borderId="11" xfId="0" applyFont="1" applyBorder="1" applyAlignment="1">
      <alignment horizontal="center"/>
    </xf>
    <xf numFmtId="0" fontId="28" fillId="0" borderId="6"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pplyProtection="1">
      <alignment horizontal="center" vertical="center" wrapText="1"/>
      <protection hidden="1"/>
    </xf>
    <xf numFmtId="0" fontId="50" fillId="0" borderId="0" xfId="0" applyFont="1" applyFill="1" applyBorder="1" applyAlignment="1" applyProtection="1">
      <alignment horizontal="justify" vertical="center" wrapText="1"/>
      <protection hidden="1"/>
    </xf>
    <xf numFmtId="0" fontId="49" fillId="2" borderId="0" xfId="0" applyFont="1" applyFill="1" applyBorder="1" applyAlignment="1" applyProtection="1">
      <alignment horizontal="left" vertical="center" wrapText="1"/>
      <protection hidden="1"/>
    </xf>
    <xf numFmtId="0" fontId="49" fillId="0" borderId="0" xfId="0" applyFont="1" applyAlignment="1" applyProtection="1">
      <alignment horizontal="left" vertical="center" wrapText="1"/>
      <protection hidden="1"/>
    </xf>
    <xf numFmtId="0" fontId="49" fillId="0" borderId="0" xfId="0" applyFont="1" applyBorder="1" applyAlignment="1" applyProtection="1">
      <alignment horizontal="left" vertical="center" wrapText="1"/>
      <protection hidden="1"/>
    </xf>
    <xf numFmtId="169" fontId="49" fillId="0" borderId="0" xfId="0" applyNumberFormat="1" applyFont="1" applyBorder="1" applyAlignment="1" applyProtection="1">
      <alignment horizontal="left" vertical="center" wrapText="1"/>
      <protection hidden="1"/>
    </xf>
    <xf numFmtId="0" fontId="49" fillId="0" borderId="0" xfId="0" applyFont="1" applyBorder="1" applyAlignment="1" applyProtection="1">
      <alignment horizontal="right" vertical="center" wrapText="1"/>
      <protection hidden="1"/>
    </xf>
    <xf numFmtId="169" fontId="50" fillId="0" borderId="0" xfId="0" applyNumberFormat="1" applyFont="1" applyBorder="1" applyAlignment="1" applyProtection="1">
      <alignment horizontal="left" vertical="center" wrapText="1"/>
      <protection hidden="1"/>
    </xf>
    <xf numFmtId="0" fontId="49" fillId="0" borderId="0" xfId="0" applyFont="1" applyFill="1" applyBorder="1" applyAlignment="1" applyProtection="1">
      <alignment horizontal="left" vertical="center" wrapText="1"/>
      <protection hidden="1"/>
    </xf>
    <xf numFmtId="1" fontId="50" fillId="0" borderId="0" xfId="0" applyNumberFormat="1" applyFont="1" applyAlignment="1" applyProtection="1">
      <alignment horizontal="left" vertical="center" wrapText="1"/>
      <protection hidden="1"/>
    </xf>
    <xf numFmtId="0" fontId="50" fillId="0" borderId="0" xfId="0" applyFont="1" applyAlignment="1" applyProtection="1">
      <alignment horizontal="left" vertical="center" wrapText="1"/>
      <protection locked="0" hidden="1"/>
    </xf>
    <xf numFmtId="0" fontId="50" fillId="0" borderId="0" xfId="0" applyFont="1" applyFill="1" applyAlignment="1" applyProtection="1">
      <alignment horizontal="justify" vertical="justify" wrapText="1"/>
      <protection locked="0" hidden="1"/>
    </xf>
    <xf numFmtId="1" fontId="28" fillId="0" borderId="0" xfId="0" applyNumberFormat="1" applyFont="1" applyAlignment="1" applyProtection="1">
      <alignment horizontal="left" vertical="center" wrapText="1"/>
      <protection hidden="1"/>
    </xf>
    <xf numFmtId="0" fontId="79" fillId="0" borderId="0" xfId="0" applyFont="1" applyAlignment="1" applyProtection="1">
      <alignment horizontal="center" vertical="center"/>
      <protection hidden="1"/>
    </xf>
    <xf numFmtId="0" fontId="49" fillId="0" borderId="0" xfId="0" applyFont="1" applyAlignment="1" applyProtection="1">
      <alignment horizontal="justify" vertical="center" wrapText="1"/>
      <protection hidden="1"/>
    </xf>
    <xf numFmtId="0" fontId="49" fillId="0" borderId="0" xfId="0" applyFont="1" applyFill="1" applyAlignment="1" applyProtection="1">
      <alignment horizontal="justify" vertical="center" wrapText="1"/>
      <protection hidden="1"/>
    </xf>
    <xf numFmtId="0" fontId="28" fillId="0" borderId="0" xfId="0" applyFont="1" applyBorder="1" applyAlignment="1" applyProtection="1">
      <alignment horizontal="left" vertical="center" wrapText="1"/>
      <protection hidden="1"/>
    </xf>
    <xf numFmtId="14" fontId="49" fillId="0" borderId="0" xfId="0" applyNumberFormat="1" applyFont="1" applyBorder="1" applyAlignment="1" applyProtection="1">
      <alignment horizontal="left" vertical="center" wrapText="1"/>
      <protection hidden="1"/>
    </xf>
    <xf numFmtId="0" fontId="76" fillId="0" borderId="0" xfId="0" applyFont="1" applyAlignment="1" applyProtection="1">
      <alignment horizontal="center"/>
      <protection hidden="1"/>
    </xf>
    <xf numFmtId="0" fontId="50" fillId="0" borderId="0" xfId="0" applyFont="1" applyAlignment="1" applyProtection="1">
      <alignment horizontal="left" vertical="center" wrapText="1"/>
      <protection hidden="1"/>
    </xf>
    <xf numFmtId="0" fontId="76" fillId="0" borderId="0" xfId="0" applyFont="1" applyBorder="1" applyAlignment="1" applyProtection="1">
      <alignment horizontal="left" vertical="center" wrapText="1"/>
      <protection hidden="1"/>
    </xf>
    <xf numFmtId="14" fontId="78" fillId="0" borderId="0" xfId="0" applyNumberFormat="1" applyFont="1" applyBorder="1" applyAlignment="1" applyProtection="1">
      <alignment horizontal="left" vertical="center" wrapText="1"/>
      <protection hidden="1"/>
    </xf>
    <xf numFmtId="0" fontId="78" fillId="0" borderId="0" xfId="0" applyFont="1" applyBorder="1" applyAlignment="1" applyProtection="1">
      <alignment horizontal="left" vertical="center" wrapText="1"/>
      <protection hidden="1"/>
    </xf>
    <xf numFmtId="0" fontId="76" fillId="0" borderId="0" xfId="0" applyFont="1" applyAlignment="1" applyProtection="1">
      <alignment horizontal="left" vertical="center" wrapText="1"/>
      <protection hidden="1"/>
    </xf>
    <xf numFmtId="0" fontId="28" fillId="0" borderId="0" xfId="0" applyFont="1" applyFill="1" applyAlignment="1" applyProtection="1">
      <alignment horizontal="left" vertical="center"/>
      <protection hidden="1"/>
    </xf>
    <xf numFmtId="0" fontId="49" fillId="0" borderId="0" xfId="0" applyFont="1" applyFill="1" applyAlignment="1" applyProtection="1">
      <alignment horizontal="left" vertical="center" wrapText="1"/>
      <protection hidden="1"/>
    </xf>
    <xf numFmtId="0" fontId="28" fillId="0" borderId="0" xfId="0" applyFont="1" applyFill="1" applyBorder="1" applyAlignment="1" applyProtection="1">
      <alignment horizontal="center" vertical="center" wrapText="1"/>
      <protection hidden="1"/>
    </xf>
    <xf numFmtId="171" fontId="49" fillId="0" borderId="0" xfId="0" applyNumberFormat="1" applyFont="1" applyFill="1" applyBorder="1" applyAlignment="1" applyProtection="1">
      <alignment horizontal="center" vertical="center" wrapText="1"/>
      <protection hidden="1"/>
    </xf>
    <xf numFmtId="0" fontId="50" fillId="0" borderId="0" xfId="0" applyFont="1" applyAlignment="1" applyProtection="1">
      <alignment horizontal="justify" vertical="center" wrapText="1"/>
      <protection locked="0" hidden="1"/>
    </xf>
    <xf numFmtId="0" fontId="50" fillId="0" borderId="0" xfId="0" applyFont="1" applyFill="1" applyAlignment="1" applyProtection="1">
      <alignment horizontal="left" vertical="justify" wrapText="1"/>
      <protection hidden="1"/>
    </xf>
    <xf numFmtId="0" fontId="30" fillId="0" borderId="6" xfId="0" applyFont="1" applyBorder="1" applyAlignment="1" applyProtection="1">
      <alignment horizontal="center" vertical="center" wrapText="1"/>
      <protection hidden="1"/>
    </xf>
    <xf numFmtId="0" fontId="30" fillId="0" borderId="7" xfId="0" applyFont="1" applyBorder="1" applyAlignment="1" applyProtection="1">
      <alignment horizontal="center" vertical="center" wrapText="1"/>
      <protection hidden="1"/>
    </xf>
    <xf numFmtId="0" fontId="30" fillId="0" borderId="8" xfId="0" applyFont="1" applyBorder="1" applyAlignment="1" applyProtection="1">
      <alignment horizontal="center" vertical="center" wrapText="1"/>
      <protection hidden="1"/>
    </xf>
    <xf numFmtId="0" fontId="30" fillId="0" borderId="6" xfId="0" applyFont="1" applyFill="1" applyBorder="1" applyAlignment="1" applyProtection="1">
      <alignment horizontal="center" vertical="center" wrapText="1"/>
      <protection hidden="1"/>
    </xf>
    <xf numFmtId="0" fontId="30" fillId="0" borderId="8" xfId="0" applyFont="1" applyFill="1" applyBorder="1" applyAlignment="1" applyProtection="1">
      <alignment horizontal="center" vertical="center" wrapText="1"/>
      <protection hidden="1"/>
    </xf>
    <xf numFmtId="0" fontId="87" fillId="0" borderId="39" xfId="0" applyFont="1" applyBorder="1" applyAlignment="1" applyProtection="1">
      <alignment horizontal="left" vertical="center" wrapText="1"/>
      <protection hidden="1"/>
    </xf>
    <xf numFmtId="0" fontId="87" fillId="0" borderId="40" xfId="0" applyFont="1" applyBorder="1" applyAlignment="1" applyProtection="1">
      <alignment horizontal="left" vertical="center" wrapText="1"/>
      <protection hidden="1"/>
    </xf>
    <xf numFmtId="0" fontId="87" fillId="0" borderId="31" xfId="0" applyFont="1" applyFill="1" applyBorder="1" applyAlignment="1" applyProtection="1">
      <alignment horizontal="center" vertical="center" wrapText="1"/>
      <protection hidden="1"/>
    </xf>
    <xf numFmtId="0" fontId="87" fillId="0" borderId="47" xfId="0" applyFont="1" applyFill="1" applyBorder="1" applyAlignment="1" applyProtection="1">
      <alignment horizontal="center" vertical="center" wrapText="1"/>
      <protection hidden="1"/>
    </xf>
    <xf numFmtId="14" fontId="87" fillId="0" borderId="40" xfId="0" applyNumberFormat="1" applyFont="1" applyBorder="1" applyAlignment="1" applyProtection="1">
      <alignment horizontal="center" vertical="center" wrapText="1"/>
      <protection hidden="1"/>
    </xf>
    <xf numFmtId="0" fontId="87" fillId="0" borderId="40" xfId="0" applyFont="1" applyBorder="1" applyAlignment="1" applyProtection="1">
      <alignment horizontal="center" vertical="center" wrapText="1"/>
      <protection hidden="1"/>
    </xf>
    <xf numFmtId="0" fontId="87" fillId="0" borderId="41" xfId="0" applyFont="1" applyBorder="1" applyAlignment="1" applyProtection="1">
      <alignment horizontal="center" vertical="center" wrapText="1"/>
      <protection hidden="1"/>
    </xf>
    <xf numFmtId="0" fontId="87" fillId="0" borderId="42" xfId="0" applyFont="1" applyBorder="1" applyAlignment="1" applyProtection="1">
      <alignment horizontal="left" vertical="center" wrapText="1"/>
      <protection hidden="1"/>
    </xf>
    <xf numFmtId="0" fontId="87" fillId="0" borderId="43" xfId="0" applyFont="1" applyBorder="1" applyAlignment="1" applyProtection="1">
      <alignment horizontal="left" vertical="center" wrapText="1"/>
      <protection hidden="1"/>
    </xf>
    <xf numFmtId="0" fontId="82" fillId="0" borderId="54" xfId="0" applyFont="1" applyFill="1" applyBorder="1" applyAlignment="1" applyProtection="1">
      <alignment horizontal="center" vertical="center" wrapText="1"/>
      <protection hidden="1"/>
    </xf>
    <xf numFmtId="0" fontId="82" fillId="0" borderId="56" xfId="0" applyFont="1" applyFill="1" applyBorder="1" applyAlignment="1" applyProtection="1">
      <alignment horizontal="center" vertical="center" wrapText="1"/>
      <protection hidden="1"/>
    </xf>
    <xf numFmtId="1" fontId="82" fillId="0" borderId="54" xfId="0" applyNumberFormat="1" applyFont="1" applyFill="1" applyBorder="1" applyAlignment="1" applyProtection="1">
      <alignment horizontal="center" vertical="center" wrapText="1"/>
      <protection hidden="1"/>
    </xf>
    <xf numFmtId="1" fontId="82" fillId="0" borderId="56" xfId="0" applyNumberFormat="1" applyFont="1" applyFill="1" applyBorder="1" applyAlignment="1" applyProtection="1">
      <alignment horizontal="center" vertical="center" wrapText="1"/>
      <protection hidden="1"/>
    </xf>
    <xf numFmtId="0" fontId="82" fillId="0" borderId="43" xfId="0" applyFont="1" applyFill="1" applyBorder="1" applyAlignment="1" applyProtection="1">
      <alignment horizontal="center" vertical="center" wrapText="1"/>
      <protection hidden="1"/>
    </xf>
    <xf numFmtId="0" fontId="82" fillId="0" borderId="37" xfId="0" applyFont="1" applyFill="1" applyBorder="1" applyAlignment="1" applyProtection="1">
      <alignment horizontal="center" vertical="center" wrapText="1"/>
      <protection hidden="1"/>
    </xf>
    <xf numFmtId="0" fontId="82" fillId="0" borderId="5" xfId="0" applyFont="1" applyFill="1" applyBorder="1" applyAlignment="1" applyProtection="1">
      <alignment horizontal="left" vertical="center" wrapText="1"/>
      <protection hidden="1"/>
    </xf>
    <xf numFmtId="0" fontId="87" fillId="0" borderId="32" xfId="0" applyFont="1" applyBorder="1" applyAlignment="1" applyProtection="1">
      <alignment horizontal="left" vertical="center" wrapText="1"/>
      <protection hidden="1"/>
    </xf>
    <xf numFmtId="0" fontId="87" fillId="0" borderId="9" xfId="0" applyFont="1" applyBorder="1" applyAlignment="1" applyProtection="1">
      <alignment horizontal="left" vertical="center" wrapText="1"/>
      <protection hidden="1"/>
    </xf>
    <xf numFmtId="0" fontId="87" fillId="0" borderId="11" xfId="0" applyFont="1" applyFill="1" applyBorder="1" applyAlignment="1" applyProtection="1">
      <alignment horizontal="center" vertical="center" wrapText="1"/>
      <protection hidden="1"/>
    </xf>
    <xf numFmtId="0" fontId="87" fillId="0" borderId="14" xfId="0" applyFont="1" applyFill="1" applyBorder="1" applyAlignment="1" applyProtection="1">
      <alignment horizontal="center" vertical="center" wrapText="1"/>
      <protection hidden="1"/>
    </xf>
    <xf numFmtId="1" fontId="87" fillId="0" borderId="9" xfId="0" applyNumberFormat="1" applyFont="1" applyBorder="1" applyAlignment="1" applyProtection="1">
      <alignment horizontal="center" vertical="center" wrapText="1"/>
      <protection hidden="1"/>
    </xf>
    <xf numFmtId="0" fontId="87" fillId="0" borderId="9" xfId="0" applyFont="1" applyBorder="1" applyAlignment="1" applyProtection="1">
      <alignment horizontal="center" vertical="center" wrapText="1"/>
      <protection hidden="1"/>
    </xf>
    <xf numFmtId="0" fontId="87" fillId="0" borderId="34" xfId="0" applyFont="1" applyBorder="1" applyAlignment="1" applyProtection="1">
      <alignment horizontal="center" vertical="center" wrapText="1"/>
      <protection hidden="1"/>
    </xf>
    <xf numFmtId="0" fontId="30" fillId="2" borderId="6" xfId="0" applyFont="1" applyFill="1" applyBorder="1" applyAlignment="1" applyProtection="1">
      <alignment horizontal="center" vertical="center" wrapText="1"/>
      <protection hidden="1"/>
    </xf>
    <xf numFmtId="0" fontId="30" fillId="2" borderId="7" xfId="0" applyFont="1" applyFill="1" applyBorder="1" applyAlignment="1" applyProtection="1">
      <alignment horizontal="center" vertical="center" wrapText="1"/>
      <protection hidden="1"/>
    </xf>
    <xf numFmtId="172" fontId="82" fillId="0" borderId="2" xfId="0" applyNumberFormat="1" applyFont="1" applyFill="1" applyBorder="1" applyAlignment="1" applyProtection="1">
      <alignment horizontal="center" vertical="center" wrapText="1"/>
      <protection hidden="1"/>
    </xf>
    <xf numFmtId="172" fontId="82" fillId="0" borderId="4" xfId="0" applyNumberFormat="1" applyFont="1" applyFill="1" applyBorder="1" applyAlignment="1" applyProtection="1">
      <alignment horizontal="center" vertical="center" wrapText="1"/>
      <protection hidden="1"/>
    </xf>
    <xf numFmtId="172" fontId="82" fillId="0" borderId="10" xfId="0" applyNumberFormat="1" applyFont="1" applyFill="1" applyBorder="1" applyAlignment="1" applyProtection="1">
      <alignment horizontal="center" vertical="center" wrapText="1"/>
      <protection hidden="1"/>
    </xf>
    <xf numFmtId="172" fontId="82" fillId="0" borderId="48" xfId="0" applyNumberFormat="1" applyFont="1" applyFill="1" applyBorder="1" applyAlignment="1" applyProtection="1">
      <alignment horizontal="center" vertical="center" wrapText="1"/>
      <protection hidden="1"/>
    </xf>
    <xf numFmtId="172" fontId="82" fillId="0" borderId="46" xfId="0" applyNumberFormat="1" applyFont="1" applyFill="1" applyBorder="1" applyAlignment="1" applyProtection="1">
      <alignment horizontal="center" vertical="center" wrapText="1"/>
      <protection hidden="1"/>
    </xf>
    <xf numFmtId="172" fontId="82" fillId="0" borderId="38" xfId="0" applyNumberFormat="1" applyFont="1" applyFill="1" applyBorder="1" applyAlignment="1" applyProtection="1">
      <alignment horizontal="center" vertical="center" wrapText="1"/>
      <protection hidden="1"/>
    </xf>
    <xf numFmtId="187" fontId="82" fillId="0" borderId="3" xfId="0" applyNumberFormat="1" applyFont="1" applyFill="1" applyBorder="1" applyAlignment="1" applyProtection="1">
      <alignment horizontal="center" vertical="center" wrapText="1"/>
      <protection hidden="1"/>
    </xf>
    <xf numFmtId="0" fontId="84" fillId="0" borderId="70" xfId="0" applyFont="1" applyFill="1" applyBorder="1" applyAlignment="1" applyProtection="1">
      <alignment horizontal="center" vertical="center"/>
      <protection hidden="1"/>
    </xf>
    <xf numFmtId="0" fontId="84" fillId="0" borderId="69" xfId="0" applyFont="1" applyFill="1" applyBorder="1" applyAlignment="1" applyProtection="1">
      <alignment horizontal="center" vertical="center"/>
      <protection hidden="1"/>
    </xf>
    <xf numFmtId="0" fontId="84" fillId="0" borderId="49" xfId="0" applyFont="1" applyFill="1" applyBorder="1" applyAlignment="1" applyProtection="1">
      <alignment horizontal="center" vertical="center"/>
      <protection hidden="1"/>
    </xf>
    <xf numFmtId="176" fontId="82" fillId="0" borderId="3" xfId="0" applyNumberFormat="1" applyFont="1" applyFill="1" applyBorder="1" applyAlignment="1" applyProtection="1">
      <alignment horizontal="center" vertical="center" wrapText="1"/>
      <protection hidden="1"/>
    </xf>
    <xf numFmtId="166" fontId="82" fillId="0" borderId="8" xfId="0" applyNumberFormat="1" applyFont="1" applyFill="1" applyBorder="1" applyAlignment="1" applyProtection="1">
      <alignment horizontal="center" vertical="center" wrapText="1"/>
      <protection hidden="1"/>
    </xf>
    <xf numFmtId="166" fontId="82" fillId="0" borderId="1" xfId="0" applyNumberFormat="1" applyFont="1" applyFill="1" applyBorder="1" applyAlignment="1" applyProtection="1">
      <alignment horizontal="center" vertical="center" wrapText="1"/>
      <protection hidden="1"/>
    </xf>
    <xf numFmtId="0" fontId="30" fillId="0" borderId="7" xfId="0" applyFont="1" applyFill="1" applyBorder="1" applyAlignment="1" applyProtection="1">
      <alignment horizontal="center" vertical="center" wrapText="1"/>
      <protection hidden="1"/>
    </xf>
    <xf numFmtId="0" fontId="30" fillId="2" borderId="8" xfId="0" applyFont="1" applyFill="1" applyBorder="1" applyAlignment="1" applyProtection="1">
      <alignment horizontal="center" vertical="center" wrapText="1"/>
      <protection hidden="1"/>
    </xf>
    <xf numFmtId="0" fontId="84" fillId="0" borderId="70" xfId="0" applyFont="1" applyFill="1" applyBorder="1" applyAlignment="1" applyProtection="1">
      <alignment horizontal="center" vertical="center" wrapText="1"/>
      <protection hidden="1"/>
    </xf>
    <xf numFmtId="0" fontId="84" fillId="0" borderId="69" xfId="0" applyFont="1" applyFill="1" applyBorder="1" applyAlignment="1" applyProtection="1">
      <alignment horizontal="center" vertical="center" wrapText="1"/>
      <protection hidden="1"/>
    </xf>
    <xf numFmtId="0" fontId="84" fillId="0" borderId="49" xfId="0" applyFont="1" applyFill="1" applyBorder="1" applyAlignment="1" applyProtection="1">
      <alignment horizontal="center" vertical="center" wrapText="1"/>
      <protection hidden="1"/>
    </xf>
    <xf numFmtId="165" fontId="82" fillId="0" borderId="8" xfId="0" applyNumberFormat="1" applyFont="1" applyFill="1" applyBorder="1" applyAlignment="1" applyProtection="1">
      <alignment horizontal="center" vertical="center" wrapText="1"/>
      <protection hidden="1"/>
    </xf>
    <xf numFmtId="165" fontId="82" fillId="0" borderId="1" xfId="0" applyNumberFormat="1" applyFont="1" applyFill="1" applyBorder="1" applyAlignment="1" applyProtection="1">
      <alignment horizontal="center" vertical="center" wrapText="1"/>
      <protection hidden="1"/>
    </xf>
    <xf numFmtId="165" fontId="82" fillId="0" borderId="6" xfId="0" applyNumberFormat="1" applyFont="1" applyFill="1" applyBorder="1" applyAlignment="1" applyProtection="1">
      <alignment horizontal="center" vertical="center" wrapText="1"/>
      <protection hidden="1"/>
    </xf>
    <xf numFmtId="0" fontId="27" fillId="2" borderId="0" xfId="0" applyFont="1" applyFill="1" applyBorder="1" applyAlignment="1" applyProtection="1">
      <alignment horizontal="center" vertical="center" wrapText="1"/>
      <protection hidden="1"/>
    </xf>
    <xf numFmtId="0" fontId="28" fillId="0" borderId="0" xfId="0" applyFont="1" applyFill="1" applyBorder="1" applyAlignment="1" applyProtection="1">
      <alignment horizontal="left" vertical="center" wrapText="1"/>
      <protection hidden="1"/>
    </xf>
    <xf numFmtId="0" fontId="50" fillId="2" borderId="0" xfId="0" applyFont="1" applyFill="1" applyAlignment="1" applyProtection="1">
      <alignment horizontal="justify" vertical="justify" wrapText="1"/>
      <protection hidden="1"/>
    </xf>
    <xf numFmtId="1" fontId="28" fillId="2" borderId="0" xfId="0" applyNumberFormat="1" applyFont="1" applyFill="1" applyAlignment="1" applyProtection="1">
      <alignment horizontal="left" vertical="center" wrapText="1"/>
      <protection hidden="1"/>
    </xf>
    <xf numFmtId="0" fontId="28" fillId="2" borderId="0" xfId="0" applyFont="1" applyFill="1" applyAlignment="1" applyProtection="1">
      <alignment horizontal="left" vertical="center" wrapText="1"/>
      <protection hidden="1"/>
    </xf>
    <xf numFmtId="0" fontId="28" fillId="0" borderId="0" xfId="0" applyFont="1" applyFill="1" applyAlignment="1" applyProtection="1">
      <alignment horizontal="left" vertical="center" wrapText="1"/>
      <protection hidden="1"/>
    </xf>
    <xf numFmtId="0" fontId="28" fillId="0" borderId="0" xfId="0" applyFont="1" applyAlignment="1" applyProtection="1">
      <alignment horizontal="left" vertical="center" wrapText="1"/>
      <protection hidden="1"/>
    </xf>
    <xf numFmtId="0" fontId="59" fillId="2" borderId="0" xfId="0" applyFont="1" applyFill="1" applyBorder="1" applyAlignment="1" applyProtection="1">
      <alignment horizontal="center" wrapText="1"/>
      <protection hidden="1"/>
    </xf>
    <xf numFmtId="0" fontId="50" fillId="0" borderId="0" xfId="0" applyFont="1" applyFill="1" applyBorder="1" applyAlignment="1" applyProtection="1">
      <alignment horizontal="left" vertical="center" wrapText="1"/>
      <protection hidden="1"/>
    </xf>
    <xf numFmtId="0" fontId="49" fillId="0" borderId="0" xfId="0" applyFont="1" applyAlignment="1" applyProtection="1">
      <alignment horizontal="right"/>
      <protection hidden="1"/>
    </xf>
    <xf numFmtId="0" fontId="28" fillId="0" borderId="0" xfId="0" applyFont="1" applyAlignment="1" applyProtection="1">
      <alignment horizontal="center"/>
      <protection hidden="1"/>
    </xf>
    <xf numFmtId="0" fontId="49" fillId="0" borderId="13" xfId="0" applyFont="1" applyBorder="1" applyAlignment="1" applyProtection="1">
      <alignment horizontal="center"/>
      <protection hidden="1"/>
    </xf>
    <xf numFmtId="0" fontId="49" fillId="0" borderId="80" xfId="0" applyFont="1" applyBorder="1" applyAlignment="1" applyProtection="1">
      <alignment horizontal="center"/>
      <protection hidden="1"/>
    </xf>
    <xf numFmtId="0" fontId="49" fillId="0" borderId="0" xfId="0" applyFont="1" applyFill="1" applyAlignment="1" applyProtection="1">
      <alignment horizontal="center"/>
      <protection hidden="1"/>
    </xf>
    <xf numFmtId="0" fontId="49" fillId="0" borderId="0" xfId="0" applyFont="1" applyFill="1" applyAlignment="1" applyProtection="1">
      <alignment horizontal="right"/>
      <protection hidden="1"/>
    </xf>
    <xf numFmtId="0" fontId="49" fillId="0" borderId="0" xfId="0" applyFont="1" applyAlignment="1" applyProtection="1">
      <alignment horizontal="center" vertical="center"/>
      <protection hidden="1"/>
    </xf>
    <xf numFmtId="1" fontId="49" fillId="0" borderId="0" xfId="0" applyNumberFormat="1" applyFont="1" applyAlignment="1" applyProtection="1">
      <alignment horizontal="left" vertical="center" wrapText="1"/>
      <protection hidden="1"/>
    </xf>
    <xf numFmtId="0" fontId="86" fillId="0" borderId="80" xfId="0" applyFont="1" applyBorder="1" applyAlignment="1" applyProtection="1">
      <alignment horizontal="center"/>
      <protection hidden="1"/>
    </xf>
    <xf numFmtId="0" fontId="49" fillId="0" borderId="0" xfId="0" applyFont="1" applyFill="1" applyAlignment="1" applyProtection="1">
      <alignment horizontal="left" vertical="justify" wrapText="1"/>
      <protection hidden="1"/>
    </xf>
    <xf numFmtId="0" fontId="49" fillId="0" borderId="0" xfId="0" applyFont="1" applyFill="1" applyAlignment="1" applyProtection="1">
      <alignment horizontal="justify" vertical="justify" wrapText="1"/>
      <protection locked="0" hidden="1"/>
    </xf>
    <xf numFmtId="0" fontId="51" fillId="0" borderId="0" xfId="0" applyFont="1" applyBorder="1" applyAlignment="1" applyProtection="1">
      <alignment horizontal="left" vertical="center" wrapText="1"/>
      <protection hidden="1"/>
    </xf>
  </cellXfs>
  <cellStyles count="12">
    <cellStyle name="Buena 2" xfId="8" xr:uid="{00000000-0005-0000-0000-000001000000}"/>
    <cellStyle name="Bueno" xfId="1" builtinId="26"/>
    <cellStyle name="Estilo 1" xfId="2" xr:uid="{00000000-0005-0000-0000-000002000000}"/>
    <cellStyle name="Estilo 1 2" xfId="9" xr:uid="{00000000-0005-0000-0000-000003000000}"/>
    <cellStyle name="Estilo 2" xfId="3" xr:uid="{00000000-0005-0000-0000-000004000000}"/>
    <cellStyle name="Estilo 2 2" xfId="10" xr:uid="{00000000-0005-0000-0000-000005000000}"/>
    <cellStyle name="Estilo 3" xfId="4" xr:uid="{00000000-0005-0000-0000-000006000000}"/>
    <cellStyle name="Estilo 4" xfId="5" xr:uid="{00000000-0005-0000-0000-000007000000}"/>
    <cellStyle name="Estilo 5" xfId="6" xr:uid="{00000000-0005-0000-0000-000008000000}"/>
    <cellStyle name="Estilo 6" xfId="7" xr:uid="{00000000-0005-0000-0000-000009000000}"/>
    <cellStyle name="Normal" xfId="0" builtinId="0"/>
    <cellStyle name="Porcentaje" xfId="11" builtinId="5"/>
  </cellStyles>
  <dxfs count="10">
    <dxf>
      <font>
        <b/>
        <i val="0"/>
        <color auto="1"/>
      </font>
      <fill>
        <patternFill>
          <bgColor rgb="FFFFC7CE"/>
        </patternFill>
      </fill>
    </dxf>
    <dxf>
      <font>
        <b/>
        <i val="0"/>
      </font>
    </dxf>
    <dxf>
      <font>
        <b/>
        <i val="0"/>
        <color auto="1"/>
      </font>
      <fill>
        <patternFill>
          <bgColor rgb="FFFFC7CE"/>
        </patternFill>
      </fill>
    </dxf>
    <dxf>
      <font>
        <b/>
        <i val="0"/>
      </font>
    </dxf>
    <dxf>
      <font>
        <b/>
        <i val="0"/>
      </font>
      <fill>
        <patternFill>
          <bgColor rgb="FFFF0000"/>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92D050"/>
        </patternFill>
      </fill>
    </dxf>
    <dxf>
      <font>
        <b/>
        <i val="0"/>
      </font>
      <fill>
        <patternFill>
          <bgColor rgb="FFFF0000"/>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92D050"/>
        </patternFill>
      </fill>
    </dxf>
  </dxfs>
  <tableStyles count="1" defaultTableStyle="TableStyleMedium2" defaultPivotStyle="PivotStyleLight16">
    <tableStyle name="Invisible" pivot="0" table="0" count="0" xr9:uid="{00000000-0011-0000-FFFF-FFFF00000000}"/>
  </tableStyles>
  <colors>
    <mruColors>
      <color rgb="FFDDEBF7"/>
      <color rgb="FFFCE4D6"/>
      <color rgb="FF9BC2E6"/>
      <color rgb="FFFF9933"/>
      <color rgb="FFFEFEFC"/>
      <color rgb="FFFFFEFB"/>
      <color rgb="FF81B0E4"/>
      <color rgb="FFDBE7B6"/>
      <color rgb="FFFF9999"/>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#'!$F$77:$F$79</c:f>
              <c:numCache>
                <c:formatCode>0,0</c:formatCode>
                <c:ptCount val="3"/>
                <c:pt idx="0" formatCode="Estándar">
                  <c:v>33.9</c:v>
                </c:pt>
                <c:pt idx="1">
                  <c:v>52</c:v>
                </c:pt>
                <c:pt idx="2">
                  <c:v>79</c:v>
                </c:pt>
              </c:numCache>
            </c:numRef>
          </c:xVal>
          <c:yVal>
            <c:numRef>
              <c:f>'DATOS #'!$H$77:$H$79</c:f>
              <c:numCache>
                <c:formatCode>0,0</c:formatCode>
                <c:ptCount val="3"/>
                <c:pt idx="0" formatCode="Estándar">
                  <c:v>-3.9</c:v>
                </c:pt>
                <c:pt idx="1">
                  <c:v>-2</c:v>
                </c:pt>
                <c:pt idx="2">
                  <c:v>1</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13047936"/>
        <c:axId val="213193088"/>
      </c:scatterChart>
      <c:valAx>
        <c:axId val="2130479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3193088"/>
        <c:crosses val="autoZero"/>
        <c:crossBetween val="midCat"/>
      </c:valAx>
      <c:valAx>
        <c:axId val="2131930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30479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#'!$A$110</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#'!$F$110:$F$112</c:f>
              <c:numCache>
                <c:formatCode>Estándar</c:formatCode>
                <c:ptCount val="3"/>
                <c:pt idx="0">
                  <c:v>32.700000000000003</c:v>
                </c:pt>
                <c:pt idx="1">
                  <c:v>50.5</c:v>
                </c:pt>
                <c:pt idx="2">
                  <c:v>76.7</c:v>
                </c:pt>
              </c:numCache>
            </c:numRef>
          </c:xVal>
          <c:yVal>
            <c:numRef>
              <c:f>'DATOS #'!$H$110:$H$112</c:f>
              <c:numCache>
                <c:formatCode>Estándar</c:formatCode>
                <c:ptCount val="3"/>
                <c:pt idx="0">
                  <c:v>-2.7</c:v>
                </c:pt>
                <c:pt idx="1">
                  <c:v>-0.5</c:v>
                </c:pt>
                <c:pt idx="2">
                  <c:v>3.3</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47037312"/>
        <c:axId val="247039104"/>
      </c:scatterChart>
      <c:valAx>
        <c:axId val="2470373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039104"/>
        <c:crosses val="autoZero"/>
        <c:crossBetween val="midCat"/>
      </c:valAx>
      <c:valAx>
        <c:axId val="2470391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0373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#'!$A$113</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#'!$F$113:$F$115</c:f>
              <c:numCache>
                <c:formatCode>0,000</c:formatCode>
                <c:ptCount val="3"/>
                <c:pt idx="0" formatCode="Estándar">
                  <c:v>399.52300000000002</c:v>
                </c:pt>
                <c:pt idx="1">
                  <c:v>752.18100000000004</c:v>
                </c:pt>
                <c:pt idx="2">
                  <c:v>1099.1110000000001</c:v>
                </c:pt>
              </c:numCache>
            </c:numRef>
          </c:xVal>
          <c:yVal>
            <c:numRef>
              <c:f>'DATOS #'!$H$113:$H$115</c:f>
              <c:numCache>
                <c:formatCode>0,00</c:formatCode>
                <c:ptCount val="3"/>
                <c:pt idx="0" formatCode="Estándar">
                  <c:v>1.96</c:v>
                </c:pt>
                <c:pt idx="1">
                  <c:v>1.1479999999999999</c:v>
                </c:pt>
                <c:pt idx="2" formatCode="Estándar">
                  <c:v>1.0669999999999999</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47347840"/>
        <c:axId val="247353728"/>
      </c:scatterChart>
      <c:valAx>
        <c:axId val="2473478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353728"/>
        <c:crosses val="autoZero"/>
        <c:crossBetween val="midCat"/>
      </c:valAx>
      <c:valAx>
        <c:axId val="2473537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3478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#'!$A$118</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#'!$F$118:$F$120</c:f>
              <c:numCache>
                <c:formatCode>0,0</c:formatCode>
                <c:ptCount val="3"/>
                <c:pt idx="0" formatCode="Estándar">
                  <c:v>15.1</c:v>
                </c:pt>
                <c:pt idx="1">
                  <c:v>24.9</c:v>
                </c:pt>
                <c:pt idx="2">
                  <c:v>34.700000000000003</c:v>
                </c:pt>
              </c:numCache>
            </c:numRef>
          </c:xVal>
          <c:yVal>
            <c:numRef>
              <c:f>'DATOS #'!$H$118:$H$120</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47388032"/>
        <c:axId val="247389568"/>
      </c:scatterChart>
      <c:valAx>
        <c:axId val="2473880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389568"/>
        <c:crosses val="autoZero"/>
        <c:crossBetween val="midCat"/>
      </c:valAx>
      <c:valAx>
        <c:axId val="2473895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3880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#'!$A$121</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#'!$F$121:$F$123</c:f>
              <c:numCache>
                <c:formatCode>Estándar</c:formatCode>
                <c:ptCount val="3"/>
                <c:pt idx="0">
                  <c:v>33</c:v>
                </c:pt>
                <c:pt idx="1">
                  <c:v>50.9</c:v>
                </c:pt>
                <c:pt idx="2">
                  <c:v>79.099999999999994</c:v>
                </c:pt>
              </c:numCache>
            </c:numRef>
          </c:xVal>
          <c:yVal>
            <c:numRef>
              <c:f>'DATOS #'!$H$121:$H$123</c:f>
              <c:numCache>
                <c:formatCode>Estándar</c:formatCode>
                <c:ptCount val="3"/>
                <c:pt idx="0">
                  <c:v>-3</c:v>
                </c:pt>
                <c:pt idx="1">
                  <c:v>-0.9</c:v>
                </c:pt>
                <c:pt idx="2">
                  <c:v>0.9</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47116928"/>
        <c:axId val="247118464"/>
      </c:scatterChart>
      <c:valAx>
        <c:axId val="2471169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118464"/>
        <c:crosses val="autoZero"/>
        <c:crossBetween val="midCat"/>
      </c:valAx>
      <c:valAx>
        <c:axId val="2471184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1169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#'!$A$124</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#'!$F$124:$F$126</c:f>
              <c:numCache>
                <c:formatCode>Estándar</c:formatCode>
                <c:ptCount val="3"/>
                <c:pt idx="0" formatCode="0,000">
                  <c:v>398.61399999999998</c:v>
                </c:pt>
                <c:pt idx="1">
                  <c:v>752.91200000000003</c:v>
                </c:pt>
                <c:pt idx="2" formatCode="0,000">
                  <c:v>801.26800000000003</c:v>
                </c:pt>
              </c:numCache>
            </c:numRef>
          </c:xVal>
          <c:yVal>
            <c:numRef>
              <c:f>'DATOS #'!$H$124:$H$126</c:f>
              <c:numCache>
                <c:formatCode>0,000</c:formatCode>
                <c:ptCount val="3"/>
                <c:pt idx="0" formatCode="Estándar">
                  <c:v>1.64</c:v>
                </c:pt>
                <c:pt idx="1">
                  <c:v>0.877</c:v>
                </c:pt>
                <c:pt idx="2" formatCode="Estándar">
                  <c:v>0.81200000000000006</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47226752"/>
        <c:axId val="247228288"/>
      </c:scatterChart>
      <c:valAx>
        <c:axId val="2472267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228288"/>
        <c:crosses val="autoZero"/>
        <c:crossBetween val="midCat"/>
      </c:valAx>
      <c:valAx>
        <c:axId val="2472282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2267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#'!$B$38</c:f>
              <c:strCache>
                <c:ptCount val="1"/>
                <c:pt idx="0">
                  <c:v>Termómetro utilizado en el liquido del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812470513483076"/>
                  <c:y val="-0.44745456041925741"/>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#'!$F$38:$F$42</c:f>
              <c:numCache>
                <c:formatCode>0,000</c:formatCode>
                <c:ptCount val="5"/>
                <c:pt idx="0">
                  <c:v>14.032999999999999</c:v>
                </c:pt>
                <c:pt idx="1">
                  <c:v>16.036999999999999</c:v>
                </c:pt>
                <c:pt idx="2">
                  <c:v>17.035</c:v>
                </c:pt>
                <c:pt idx="3" formatCode="Estándar">
                  <c:v>18.033999999999999</c:v>
                </c:pt>
                <c:pt idx="4" formatCode="Estándar">
                  <c:v>22.036999999999999</c:v>
                </c:pt>
              </c:numCache>
            </c:numRef>
          </c:xVal>
          <c:yVal>
            <c:numRef>
              <c:f>'DATOS #'!$H$38:$H$42</c:f>
              <c:numCache>
                <c:formatCode>0,000</c:formatCode>
                <c:ptCount val="5"/>
                <c:pt idx="0" formatCode="Estándar">
                  <c:v>-1.9E-2</c:v>
                </c:pt>
                <c:pt idx="1">
                  <c:v>-2.1999999999999999E-2</c:v>
                </c:pt>
                <c:pt idx="2">
                  <c:v>-2.3E-2</c:v>
                </c:pt>
                <c:pt idx="3" formatCode="Estándar">
                  <c:v>-2.5999999999999999E-2</c:v>
                </c:pt>
                <c:pt idx="4" formatCode="Estándar">
                  <c:v>-3.4000000000000002E-2</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247254400"/>
        <c:axId val="247268480"/>
      </c:scatterChart>
      <c:valAx>
        <c:axId val="2472544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268480"/>
        <c:crosses val="autoZero"/>
        <c:crossBetween val="midCat"/>
      </c:valAx>
      <c:valAx>
        <c:axId val="2472684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2544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#'!$B$44</c:f>
              <c:strCache>
                <c:ptCount val="1"/>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#'!$F$44:$F$48</c:f>
              <c:numCache>
                <c:formatCode>0,00</c:formatCode>
                <c:ptCount val="5"/>
                <c:pt idx="0">
                  <c:v>14.069000000000001</c:v>
                </c:pt>
                <c:pt idx="1">
                  <c:v>16.074000000000002</c:v>
                </c:pt>
                <c:pt idx="2">
                  <c:v>17.07</c:v>
                </c:pt>
                <c:pt idx="3">
                  <c:v>18.07</c:v>
                </c:pt>
                <c:pt idx="4">
                  <c:v>22.074000000000002</c:v>
                </c:pt>
              </c:numCache>
            </c:numRef>
          </c:xVal>
          <c:yVal>
            <c:numRef>
              <c:f>'DATOS #'!$H$44:$H$48</c:f>
              <c:numCache>
                <c:formatCode>Estándar</c:formatCode>
                <c:ptCount val="5"/>
                <c:pt idx="0">
                  <c:v>-5.3999999999999999E-2</c:v>
                </c:pt>
                <c:pt idx="1">
                  <c:v>-5.8999999999999997E-2</c:v>
                </c:pt>
                <c:pt idx="2">
                  <c:v>-5.8000000000000003E-2</c:v>
                </c:pt>
                <c:pt idx="3">
                  <c:v>-6.3E-2</c:v>
                </c:pt>
                <c:pt idx="4">
                  <c:v>-7.0999999999999994E-2</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247306880"/>
        <c:axId val="247312768"/>
      </c:scatterChart>
      <c:valAx>
        <c:axId val="2473068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312768"/>
        <c:crosses val="autoZero"/>
        <c:crossBetween val="midCat"/>
      </c:valAx>
      <c:valAx>
        <c:axId val="2473127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3068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a:t>
            </a:r>
            <a:r>
              <a:rPr lang="en-US" baseline="0"/>
              <a:t> C</a:t>
            </a:r>
            <a:endParaRPr lang="en-US"/>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3870693234990389"/>
                  <c:y val="-0.3382168674698795"/>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#'!$F$74:$F$76</c:f>
              <c:numCache>
                <c:formatCode>Estándar</c:formatCode>
                <c:ptCount val="3"/>
                <c:pt idx="0">
                  <c:v>14.9</c:v>
                </c:pt>
                <c:pt idx="1">
                  <c:v>24.9</c:v>
                </c:pt>
                <c:pt idx="2" formatCode="0,0">
                  <c:v>30</c:v>
                </c:pt>
              </c:numCache>
            </c:numRef>
          </c:xVal>
          <c:yVal>
            <c:numRef>
              <c:f>'DATOS #'!$H$74:$H$76</c:f>
              <c:numCache>
                <c:formatCode>0,0</c:formatCode>
                <c:ptCount val="3"/>
                <c:pt idx="0">
                  <c:v>-0.1</c:v>
                </c:pt>
                <c:pt idx="1">
                  <c:v>-0.1</c:v>
                </c:pt>
                <c:pt idx="2">
                  <c:v>-0.1</c:v>
                </c:pt>
              </c:numCache>
            </c:numRef>
          </c:yVal>
          <c:smooth val="0"/>
          <c:extLst>
            <c:ext xmlns:c16="http://schemas.microsoft.com/office/drawing/2014/chart" uri="{C3380CC4-5D6E-409C-BE32-E72D297353CC}">
              <c16:uniqueId val="{00000002-B66F-4600-8622-A727F849230C}"/>
            </c:ext>
          </c:extLst>
        </c:ser>
        <c:dLbls>
          <c:showLegendKey val="0"/>
          <c:showVal val="0"/>
          <c:showCatName val="0"/>
          <c:showSerName val="0"/>
          <c:showPercent val="0"/>
          <c:showBubbleSize val="0"/>
        </c:dLbls>
        <c:axId val="247455744"/>
        <c:axId val="247457280"/>
      </c:scatterChart>
      <c:valAx>
        <c:axId val="2474557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457280"/>
        <c:crosses val="autoZero"/>
        <c:crossBetween val="midCat"/>
      </c:valAx>
      <c:valAx>
        <c:axId val="2474572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4557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V-010</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#'!$B$56:$B$60</c:f>
              <c:strCache>
                <c:ptCount val="5"/>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#'!$F$56:$F$60</c:f>
              <c:numCache>
                <c:formatCode>0,00</c:formatCode>
                <c:ptCount val="5"/>
                <c:pt idx="0">
                  <c:v>13.94</c:v>
                </c:pt>
                <c:pt idx="1">
                  <c:v>15.95</c:v>
                </c:pt>
                <c:pt idx="2">
                  <c:v>16.95</c:v>
                </c:pt>
                <c:pt idx="3">
                  <c:v>17.96</c:v>
                </c:pt>
                <c:pt idx="4">
                  <c:v>21.96</c:v>
                </c:pt>
              </c:numCache>
            </c:numRef>
          </c:xVal>
          <c:yVal>
            <c:numRef>
              <c:f>'DATOS #'!$H$56:$H$60</c:f>
              <c:numCache>
                <c:formatCode>0,000</c:formatCode>
                <c:ptCount val="5"/>
                <c:pt idx="0" formatCode="Estándar">
                  <c:v>6.2E-2</c:v>
                </c:pt>
                <c:pt idx="1">
                  <c:v>5.6000000000000001E-2</c:v>
                </c:pt>
                <c:pt idx="2">
                  <c:v>5.8000000000000003E-2</c:v>
                </c:pt>
                <c:pt idx="3" formatCode="Estándar">
                  <c:v>4.7E-2</c:v>
                </c:pt>
                <c:pt idx="4" formatCode="Estándar">
                  <c:v>4.4999999999999998E-2</c:v>
                </c:pt>
              </c:numCache>
            </c:numRef>
          </c:yVal>
          <c:smooth val="0"/>
          <c:extLst>
            <c:ext xmlns:c16="http://schemas.microsoft.com/office/drawing/2014/chart" uri="{C3380CC4-5D6E-409C-BE32-E72D297353CC}">
              <c16:uniqueId val="{00000002-C1F7-4379-AD31-B2D650666227}"/>
            </c:ext>
          </c:extLst>
        </c:ser>
        <c:dLbls>
          <c:showLegendKey val="0"/>
          <c:showVal val="0"/>
          <c:showCatName val="0"/>
          <c:showSerName val="0"/>
          <c:showPercent val="0"/>
          <c:showBubbleSize val="0"/>
        </c:dLbls>
        <c:axId val="247487872"/>
        <c:axId val="247497856"/>
      </c:scatterChart>
      <c:valAx>
        <c:axId val="2474878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497856"/>
        <c:crosses val="autoZero"/>
        <c:crossBetween val="midCat"/>
      </c:valAx>
      <c:valAx>
        <c:axId val="2474978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4878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V-009</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#'!$B$50:$B$54</c:f>
              <c:strCache>
                <c:ptCount val="5"/>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#'!$F$50:$F$54</c:f>
              <c:numCache>
                <c:formatCode>0,00</c:formatCode>
                <c:ptCount val="5"/>
                <c:pt idx="0">
                  <c:v>13.97</c:v>
                </c:pt>
                <c:pt idx="1">
                  <c:v>15.97</c:v>
                </c:pt>
                <c:pt idx="2">
                  <c:v>16.97</c:v>
                </c:pt>
                <c:pt idx="3">
                  <c:v>17.98</c:v>
                </c:pt>
                <c:pt idx="4">
                  <c:v>21.98</c:v>
                </c:pt>
              </c:numCache>
            </c:numRef>
          </c:xVal>
          <c:yVal>
            <c:numRef>
              <c:f>'DATOS #'!$H$50:$H$54</c:f>
              <c:numCache>
                <c:formatCode>0,000</c:formatCode>
                <c:ptCount val="5"/>
                <c:pt idx="0" formatCode="Estándar">
                  <c:v>3.6999999999999998E-2</c:v>
                </c:pt>
                <c:pt idx="1">
                  <c:v>3.5000000000000003E-2</c:v>
                </c:pt>
                <c:pt idx="2">
                  <c:v>3.6999999999999998E-2</c:v>
                </c:pt>
                <c:pt idx="3" formatCode="Estándar">
                  <c:v>2.5999999999999999E-2</c:v>
                </c:pt>
                <c:pt idx="4" formatCode="Estándar">
                  <c:v>2.3E-2</c:v>
                </c:pt>
              </c:numCache>
            </c:numRef>
          </c:yVal>
          <c:smooth val="0"/>
          <c:extLst>
            <c:ext xmlns:c16="http://schemas.microsoft.com/office/drawing/2014/chart" uri="{C3380CC4-5D6E-409C-BE32-E72D297353CC}">
              <c16:uniqueId val="{00000002-42CC-4DCA-BD7A-4DF0B7D64A0D}"/>
            </c:ext>
          </c:extLst>
        </c:ser>
        <c:dLbls>
          <c:showLegendKey val="0"/>
          <c:showVal val="0"/>
          <c:showCatName val="0"/>
          <c:showSerName val="0"/>
          <c:showPercent val="0"/>
          <c:showBubbleSize val="0"/>
        </c:dLbls>
        <c:axId val="247528448"/>
        <c:axId val="247538432"/>
      </c:scatterChart>
      <c:valAx>
        <c:axId val="2475284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538432"/>
        <c:crosses val="autoZero"/>
        <c:crossBetween val="midCat"/>
      </c:valAx>
      <c:valAx>
        <c:axId val="2475384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75284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#'!$F$80:$F$82</c:f>
              <c:numCache>
                <c:formatCode>Estándar</c:formatCode>
                <c:ptCount val="3"/>
                <c:pt idx="0">
                  <c:v>499.03300000000002</c:v>
                </c:pt>
                <c:pt idx="1">
                  <c:v>752.18100000000004</c:v>
                </c:pt>
                <c:pt idx="2" formatCode="0,000">
                  <c:v>900.66499999999996</c:v>
                </c:pt>
              </c:numCache>
            </c:numRef>
          </c:xVal>
          <c:yVal>
            <c:numRef>
              <c:f>'DATOS #'!$H$80:$H$82</c:f>
              <c:numCache>
                <c:formatCode>0,000</c:formatCode>
                <c:ptCount val="3"/>
                <c:pt idx="0">
                  <c:v>1.706</c:v>
                </c:pt>
                <c:pt idx="1">
                  <c:v>1.087</c:v>
                </c:pt>
                <c:pt idx="2">
                  <c:v>0.94</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13219200"/>
        <c:axId val="213220736"/>
      </c:scatterChart>
      <c:valAx>
        <c:axId val="2132192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3220736"/>
        <c:crosses val="autoZero"/>
        <c:crossBetween val="midCat"/>
      </c:valAx>
      <c:valAx>
        <c:axId val="2132207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32192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#'!$C$8:$C$12</c:f>
              <c:numCache>
                <c:formatCode>0,000</c:formatCode>
                <c:ptCount val="5"/>
                <c:pt idx="0">
                  <c:v>#N/A</c:v>
                </c:pt>
                <c:pt idx="1">
                  <c:v>#N/A</c:v>
                </c:pt>
                <c:pt idx="2">
                  <c:v>#N/A</c:v>
                </c:pt>
                <c:pt idx="3">
                  <c:v>#N/A</c:v>
                </c:pt>
                <c:pt idx="4">
                  <c:v>#N/A</c:v>
                </c:pt>
              </c:numCache>
            </c:numRef>
          </c:xVal>
          <c:yVal>
            <c:numRef>
              <c:f>'RT03-F11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248376704"/>
        <c:axId val="261555328"/>
      </c:scatterChart>
      <c:valAx>
        <c:axId val="24837670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1555328"/>
        <c:crosses val="autoZero"/>
        <c:crossBetween val="midCat"/>
      </c:valAx>
      <c:valAx>
        <c:axId val="2615553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837670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'RT03-F11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#'!$C$13:$C$17</c:f>
              <c:numCache>
                <c:formatCode>0,000</c:formatCode>
                <c:ptCount val="5"/>
                <c:pt idx="0">
                  <c:v>#N/A</c:v>
                </c:pt>
                <c:pt idx="1">
                  <c:v>#N/A</c:v>
                </c:pt>
                <c:pt idx="2">
                  <c:v>#N/A</c:v>
                </c:pt>
                <c:pt idx="3">
                  <c:v>#N/A</c:v>
                </c:pt>
                <c:pt idx="4">
                  <c:v>#N/A</c:v>
                </c:pt>
              </c:numCache>
            </c:numRef>
          </c:xVal>
          <c:yVal>
            <c:numRef>
              <c:f>'RT03-F11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261614208"/>
        <c:axId val="261616000"/>
      </c:scatterChart>
      <c:valAx>
        <c:axId val="26161420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1616000"/>
        <c:crosses val="autoZero"/>
        <c:crossBetween val="midCat"/>
      </c:valAx>
      <c:valAx>
        <c:axId val="26161600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161420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#'!$F$74:$F$76</c:f>
              <c:numCache>
                <c:formatCode>Estándar</c:formatCode>
                <c:ptCount val="3"/>
                <c:pt idx="0">
                  <c:v>14.9</c:v>
                </c:pt>
                <c:pt idx="1">
                  <c:v>24.9</c:v>
                </c:pt>
                <c:pt idx="2" formatCode="0,0">
                  <c:v>30</c:v>
                </c:pt>
              </c:numCache>
            </c:numRef>
          </c:xVal>
          <c:yVal>
            <c:numRef>
              <c:f>'DATOS #'!$H$74:$H$76</c:f>
              <c:numCache>
                <c:formatCode>0,0</c:formatCode>
                <c:ptCount val="3"/>
                <c:pt idx="0">
                  <c:v>-0.1</c:v>
                </c:pt>
                <c:pt idx="1">
                  <c:v>-0.1</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62449024"/>
        <c:axId val="262450560"/>
      </c:scatterChart>
      <c:valAx>
        <c:axId val="2624490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2450560"/>
        <c:crosses val="autoZero"/>
        <c:crossBetween val="midCat"/>
      </c:valAx>
      <c:valAx>
        <c:axId val="2624505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24490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#'!$F$77:$F$79</c:f>
              <c:numCache>
                <c:formatCode>0,0</c:formatCode>
                <c:ptCount val="3"/>
                <c:pt idx="0" formatCode="Estándar">
                  <c:v>33.9</c:v>
                </c:pt>
                <c:pt idx="1">
                  <c:v>52</c:v>
                </c:pt>
                <c:pt idx="2">
                  <c:v>79</c:v>
                </c:pt>
              </c:numCache>
            </c:numRef>
          </c:xVal>
          <c:yVal>
            <c:numRef>
              <c:f>'DATOS #'!$H$77:$H$79</c:f>
              <c:numCache>
                <c:formatCode>0,0</c:formatCode>
                <c:ptCount val="3"/>
                <c:pt idx="0" formatCode="Estándar">
                  <c:v>-3.9</c:v>
                </c:pt>
                <c:pt idx="1">
                  <c:v>-2</c:v>
                </c:pt>
                <c:pt idx="2">
                  <c:v>1</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64459392"/>
        <c:axId val="264460928"/>
      </c:scatterChart>
      <c:valAx>
        <c:axId val="2644593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4460928"/>
        <c:crosses val="autoZero"/>
        <c:crossBetween val="midCat"/>
      </c:valAx>
      <c:valAx>
        <c:axId val="2644609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44593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#'!$F$80:$F$82</c:f>
              <c:numCache>
                <c:formatCode>Estándar</c:formatCode>
                <c:ptCount val="3"/>
                <c:pt idx="0">
                  <c:v>499.03300000000002</c:v>
                </c:pt>
                <c:pt idx="1">
                  <c:v>752.18100000000004</c:v>
                </c:pt>
                <c:pt idx="2" formatCode="0,000">
                  <c:v>900.66499999999996</c:v>
                </c:pt>
              </c:numCache>
            </c:numRef>
          </c:xVal>
          <c:yVal>
            <c:numRef>
              <c:f>'DATOS #'!$H$80:$H$82</c:f>
              <c:numCache>
                <c:formatCode>0,000</c:formatCode>
                <c:ptCount val="3"/>
                <c:pt idx="0">
                  <c:v>1.706</c:v>
                </c:pt>
                <c:pt idx="1">
                  <c:v>1.087</c:v>
                </c:pt>
                <c:pt idx="2">
                  <c:v>0.94</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64113536"/>
        <c:axId val="264123520"/>
      </c:scatterChart>
      <c:valAx>
        <c:axId val="2641135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4123520"/>
        <c:crosses val="autoZero"/>
        <c:crossBetween val="midCat"/>
      </c:valAx>
      <c:valAx>
        <c:axId val="2641235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41135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v>Aporte a la incertidumbre</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22"/>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380D-4773-9381-2343EFCACBC2}"/>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('RT03-F11 #'!$B$89:$C$90,'RT03-F11 #'!$B$93:$C$95,'RT03-F11 #'!$B$98:$C$101,'RT03-F11 #'!$B$103:$C$106,'RT03-F11 #'!$B$108:$C$112,'RT03-F11 #'!$B$115:$C$118)</c:f>
              <c:strCache>
                <c:ptCount val="22"/>
                <c:pt idx="0">
                  <c:v>Calibración </c:v>
                </c:pt>
                <c:pt idx="1">
                  <c:v>Deriva</c:v>
                </c:pt>
                <c:pt idx="2">
                  <c:v>Calibración  " IP "</c:v>
                </c:pt>
                <c:pt idx="3">
                  <c:v>Resolución    " IP "</c:v>
                </c:pt>
                <c:pt idx="4">
                  <c:v>Deriva  " IP "</c:v>
                </c:pt>
                <c:pt idx="5">
                  <c:v>Resolución termómetro</c:v>
                </c:pt>
                <c:pt idx="6">
                  <c:v>Calibración</c:v>
                </c:pt>
                <c:pt idx="7">
                  <c:v>Deriva</c:v>
                </c:pt>
                <c:pt idx="8">
                  <c:v>Inhomogenidad</c:v>
                </c:pt>
                <c:pt idx="9">
                  <c:v>Resolución termómetro</c:v>
                </c:pt>
                <c:pt idx="10">
                  <c:v>Calibración</c:v>
                </c:pt>
                <c:pt idx="11">
                  <c:v>Deriva</c:v>
                </c:pt>
                <c:pt idx="12">
                  <c:v>Inhomogenidad</c:v>
                </c:pt>
                <c:pt idx="13">
                  <c:v>Coeficiente cúbico de expansión térmico del Agua</c:v>
                </c:pt>
                <c:pt idx="14">
                  <c:v>Coeficiente cúbico de expansión térmico del material</c:v>
                </c:pt>
                <c:pt idx="15">
                  <c:v>Coeficiente cúbico de expansión térmico del material</c:v>
                </c:pt>
                <c:pt idx="16">
                  <c:v>Coeficiente cúbico de expansión térmico del material</c:v>
                </c:pt>
                <c:pt idx="17">
                  <c:v>Incertidumbre por repetibilidad del método</c:v>
                </c:pt>
                <c:pt idx="18">
                  <c:v>Lectura del menisco RVP  </c:v>
                </c:pt>
                <c:pt idx="19">
                  <c:v>Lectura del menisco RVC  </c:v>
                </c:pt>
                <c:pt idx="20">
                  <c:v>Delta por repetibilidad</c:v>
                </c:pt>
                <c:pt idx="21">
                  <c:v>Delta de adicionales</c:v>
                </c:pt>
              </c:strCache>
            </c:strRef>
          </c:cat>
          <c:val>
            <c:numRef>
              <c:f>('RT03-F11 #'!$V$87:$V$88,'RT03-F11 #'!$R$93:$R$95,'RT03-F11 #'!$R$98:$R$101,'RT03-F11 #'!$R$103:$R$106,'RT03-F11 #'!$R$108:$R$112,'RT03-F11 #'!$R$114:$R$118)</c:f>
              <c:numCache>
                <c:formatCode>Estándar</c:formatCode>
                <c:ptCount val="23"/>
                <c:pt idx="2" formatCode="0,00%">
                  <c:v>#N/A</c:v>
                </c:pt>
                <c:pt idx="3" formatCode="0,00%">
                  <c:v>#N/A</c:v>
                </c:pt>
                <c:pt idx="4" formatCode="0,00%">
                  <c:v>#N/A</c:v>
                </c:pt>
                <c:pt idx="5" formatCode="0,00%">
                  <c:v>0</c:v>
                </c:pt>
                <c:pt idx="6" formatCode="0,00%">
                  <c:v>0</c:v>
                </c:pt>
                <c:pt idx="7" formatCode="0,00%">
                  <c:v>0</c:v>
                </c:pt>
                <c:pt idx="8" formatCode="0,00%">
                  <c:v>0</c:v>
                </c:pt>
                <c:pt idx="9" formatCode="0,00%">
                  <c:v>0</c:v>
                </c:pt>
                <c:pt idx="10" formatCode="0,00%">
                  <c:v>0</c:v>
                </c:pt>
                <c:pt idx="11" formatCode="0,00%">
                  <c:v>0</c:v>
                </c:pt>
                <c:pt idx="12" formatCode="0,00%">
                  <c:v>0</c:v>
                </c:pt>
                <c:pt idx="13" formatCode="0,00%">
                  <c:v>0</c:v>
                </c:pt>
                <c:pt idx="14" formatCode="0,00%">
                  <c:v>0</c:v>
                </c:pt>
                <c:pt idx="15" formatCode="0,00%">
                  <c:v>0</c:v>
                </c:pt>
                <c:pt idx="16" formatCode="0,00%">
                  <c:v>0</c:v>
                </c:pt>
                <c:pt idx="17" formatCode="0,00%">
                  <c:v>0</c:v>
                </c:pt>
                <c:pt idx="19" formatCode="0,00%">
                  <c:v>0</c:v>
                </c:pt>
                <c:pt idx="20" formatCode="0,00%">
                  <c:v>0</c:v>
                </c:pt>
                <c:pt idx="21" formatCode="0,00%">
                  <c:v>0</c:v>
                </c:pt>
                <c:pt idx="22" formatCode="0,00%">
                  <c:v>0</c:v>
                </c:pt>
              </c:numCache>
            </c:numRef>
          </c:val>
          <c:extLst>
            <c:ext xmlns:c16="http://schemas.microsoft.com/office/drawing/2014/chart" uri="{C3380CC4-5D6E-409C-BE32-E72D297353CC}">
              <c16:uniqueId val="{00000000-64FB-4B28-9DEF-2786E734D1EE}"/>
            </c:ext>
          </c:extLst>
        </c:ser>
        <c:dLbls>
          <c:showLegendKey val="0"/>
          <c:showVal val="0"/>
          <c:showCatName val="0"/>
          <c:showSerName val="0"/>
          <c:showPercent val="0"/>
          <c:showBubbleSize val="0"/>
        </c:dLbls>
        <c:gapWidth val="150"/>
        <c:axId val="264182400"/>
        <c:axId val="264192384"/>
      </c:barChart>
      <c:catAx>
        <c:axId val="264182400"/>
        <c:scaling>
          <c:orientation val="minMax"/>
        </c:scaling>
        <c:delete val="0"/>
        <c:axPos val="b"/>
        <c:numFmt formatCode="Estándar"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64192384"/>
        <c:crosses val="autoZero"/>
        <c:auto val="1"/>
        <c:lblAlgn val="ctr"/>
        <c:lblOffset val="100"/>
        <c:noMultiLvlLbl val="0"/>
      </c:catAx>
      <c:valAx>
        <c:axId val="264192384"/>
        <c:scaling>
          <c:orientation val="minMax"/>
        </c:scaling>
        <c:delete val="0"/>
        <c:axPos val="l"/>
        <c:majorGridlines>
          <c:spPr>
            <a:ln w="9525" cap="flat" cmpd="sng" algn="ctr">
              <a:solidFill>
                <a:schemeClr val="tx2">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title>
        <c:numFmt formatCode="Estándar"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64182400"/>
        <c:crosses val="autoZero"/>
        <c:crossBetween val="between"/>
      </c:valAx>
      <c:spPr>
        <a:noFill/>
        <a:ln>
          <a:noFill/>
        </a:ln>
        <a:effectLst/>
      </c:spPr>
    </c:plotArea>
    <c:plotVisOnly val="1"/>
    <c:dispBlanksAs val="gap"/>
    <c:showDLblsOverMax val="0"/>
  </c:chart>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round/>
    </a:ln>
    <a:effectLst>
      <a:outerShdw blurRad="40000" dist="20000" dir="5400000" rotWithShape="0">
        <a:srgbClr val="000000">
          <a:alpha val="38000"/>
        </a:srgbClr>
      </a:outerShdw>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Indicación RVC  antes</a:t>
            </a:r>
            <a:r>
              <a:rPr lang="es-CO" b="1" baseline="0"/>
              <a:t> de ajuste</a:t>
            </a:r>
            <a:endParaRPr lang="es-CO" b="1"/>
          </a:p>
        </c:rich>
      </c:tx>
      <c:layout>
        <c:manualLayout>
          <c:xMode val="edge"/>
          <c:yMode val="edge"/>
          <c:x val="0.32175481207922302"/>
          <c:y val="2.580645161290322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#'!$B$3</c:f>
              <c:strCache>
                <c:ptCount val="1"/>
                <c:pt idx="0">
                  <c:v>TU (EMP + (mL))</c:v>
                </c:pt>
              </c:strCache>
            </c:strRef>
          </c:tx>
          <c:spPr>
            <a:ln w="22225" cap="rnd">
              <a:solidFill>
                <a:srgbClr val="FF0000"/>
              </a:solidFill>
              <a:round/>
            </a:ln>
            <a:effectLst/>
          </c:spPr>
          <c:marker>
            <c:symbol val="none"/>
          </c:marker>
          <c:cat>
            <c:strRef>
              <c:f>'Pc #'!$A$4:$A$8</c:f>
              <c:strCache>
                <c:ptCount val="5"/>
                <c:pt idx="0">
                  <c:v>1</c:v>
                </c:pt>
                <c:pt idx="1">
                  <c:v>Antes de ajuste</c:v>
                </c:pt>
                <c:pt idx="2">
                  <c:v>Después de ajuste</c:v>
                </c:pt>
                <c:pt idx="3">
                  <c:v>3</c:v>
                </c:pt>
                <c:pt idx="4">
                  <c:v>4</c:v>
                </c:pt>
              </c:strCache>
            </c:strRef>
          </c:cat>
          <c:val>
            <c:numRef>
              <c:f>'Pc #'!$B$4:$B$8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0-B3DE-47A7-95B9-860D569FCA5C}"/>
            </c:ext>
          </c:extLst>
        </c:ser>
        <c:ser>
          <c:idx val="1"/>
          <c:order val="1"/>
          <c:tx>
            <c:strRef>
              <c:f>'Pc #'!$C$3</c:f>
              <c:strCache>
                <c:ptCount val="1"/>
                <c:pt idx="0">
                  <c:v>TL (EMP - (mL))</c:v>
                </c:pt>
              </c:strCache>
            </c:strRef>
          </c:tx>
          <c:spPr>
            <a:ln w="22225" cap="rnd">
              <a:solidFill>
                <a:srgbClr val="FF0000"/>
              </a:solidFill>
              <a:round/>
            </a:ln>
            <a:effectLst/>
          </c:spPr>
          <c:marker>
            <c:symbol val="none"/>
          </c:marker>
          <c:val>
            <c:numRef>
              <c:f>'Pc #'!$C$4:$C$8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1-B3DE-47A7-95B9-860D569FCA5C}"/>
            </c:ext>
          </c:extLst>
        </c:ser>
        <c:ser>
          <c:idx val="2"/>
          <c:order val="2"/>
          <c:tx>
            <c:strRef>
              <c:f>'Pc #'!$D$3</c:f>
              <c:strCache>
                <c:ptCount val="1"/>
                <c:pt idx="0">
                  <c:v>Volumen nominal</c:v>
                </c:pt>
              </c:strCache>
            </c:strRef>
          </c:tx>
          <c:spPr>
            <a:ln w="19050" cap="rnd">
              <a:solidFill>
                <a:srgbClr val="00B050"/>
              </a:solidFill>
              <a:round/>
            </a:ln>
            <a:effectLst/>
          </c:spPr>
          <c:marker>
            <c:symbol val="none"/>
          </c:marker>
          <c:val>
            <c:numRef>
              <c:f>'Pc #'!$D$4:$D$8</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B3DE-47A7-95B9-860D569FCA5C}"/>
            </c:ext>
          </c:extLst>
        </c:ser>
        <c:ser>
          <c:idx val="3"/>
          <c:order val="3"/>
          <c:tx>
            <c:strRef>
              <c:f>'Pc #'!$E$3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#'!$F$5</c:f>
                <c:numCache>
                  <c:formatCode>Estándar</c:formatCode>
                  <c:ptCount val="1"/>
                  <c:pt idx="0">
                    <c:v>#N/A</c:v>
                  </c:pt>
                </c:numCache>
              </c:numRef>
            </c:plus>
            <c:minus>
              <c:numRef>
                <c:f>'Pc #'!$F$5</c:f>
                <c:numCache>
                  <c:formatCode>Estándar</c:formatCode>
                  <c:ptCount val="1"/>
                  <c:pt idx="0">
                    <c:v>#N/A</c:v>
                  </c:pt>
                </c:numCache>
              </c:numRef>
            </c:minus>
            <c:spPr>
              <a:noFill/>
              <a:ln w="9525" cap="flat" cmpd="sng" algn="ctr">
                <a:solidFill>
                  <a:schemeClr val="tx1">
                    <a:lumMod val="65000"/>
                    <a:lumOff val="35000"/>
                  </a:schemeClr>
                </a:solidFill>
                <a:round/>
              </a:ln>
              <a:effectLst/>
            </c:spPr>
          </c:errBars>
          <c:val>
            <c:numRef>
              <c:f>'Pc #'!$E$4:$E$5</c:f>
              <c:numCache>
                <c:formatCode>0,00</c:formatCode>
                <c:ptCount val="2"/>
                <c:pt idx="1">
                  <c:v>#N/A</c:v>
                </c:pt>
              </c:numCache>
            </c:numRef>
          </c:val>
          <c:smooth val="0"/>
          <c:extLst>
            <c:ext xmlns:c16="http://schemas.microsoft.com/office/drawing/2014/chart" uri="{C3380CC4-5D6E-409C-BE32-E72D297353CC}">
              <c16:uniqueId val="{00000003-B3DE-47A7-95B9-860D569FCA5C}"/>
            </c:ext>
          </c:extLst>
        </c:ser>
        <c:dLbls>
          <c:showLegendKey val="0"/>
          <c:showVal val="0"/>
          <c:showCatName val="0"/>
          <c:showSerName val="0"/>
          <c:showPercent val="0"/>
          <c:showBubbleSize val="0"/>
        </c:dLbls>
        <c:smooth val="0"/>
        <c:axId val="264266112"/>
        <c:axId val="264267648"/>
      </c:lineChart>
      <c:catAx>
        <c:axId val="264266112"/>
        <c:scaling>
          <c:orientation val="minMax"/>
        </c:scaling>
        <c:delete val="1"/>
        <c:axPos val="b"/>
        <c:majorGridlines>
          <c:spPr>
            <a:ln w="9525" cap="flat" cmpd="sng" algn="ctr">
              <a:solidFill>
                <a:schemeClr val="tx1">
                  <a:lumMod val="15000"/>
                  <a:lumOff val="85000"/>
                </a:schemeClr>
              </a:solidFill>
              <a:round/>
            </a:ln>
            <a:effectLst/>
          </c:spPr>
        </c:majorGridlines>
        <c:numFmt formatCode="Estándar" sourceLinked="1"/>
        <c:majorTickMark val="none"/>
        <c:minorTickMark val="none"/>
        <c:tickLblPos val="nextTo"/>
        <c:crossAx val="264267648"/>
        <c:crosses val="autoZero"/>
        <c:auto val="1"/>
        <c:lblAlgn val="ctr"/>
        <c:lblOffset val="100"/>
        <c:noMultiLvlLbl val="0"/>
      </c:catAx>
      <c:valAx>
        <c:axId val="264267648"/>
        <c:scaling>
          <c:orientation val="minMax"/>
          <c:min val="-15.01"/>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2642661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'DESPUES DE AJUSTE #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'DESPUES DE AJUSTE # '!$C$8:$C$12</c:f>
              <c:numCache>
                <c:formatCode>0,000</c:formatCode>
                <c:ptCount val="5"/>
                <c:pt idx="0">
                  <c:v>#N/A</c:v>
                </c:pt>
                <c:pt idx="1">
                  <c:v>#N/A</c:v>
                </c:pt>
                <c:pt idx="2">
                  <c:v>#N/A</c:v>
                </c:pt>
                <c:pt idx="3">
                  <c:v>#N/A</c:v>
                </c:pt>
                <c:pt idx="4">
                  <c:v>#N/A</c:v>
                </c:pt>
              </c:numCache>
            </c:numRef>
          </c:xVal>
          <c:yVal>
            <c:numRef>
              <c:f>'DESPUES DE AJUSTE #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057D-44E8-AFC9-05B98FE66FE4}"/>
            </c:ext>
          </c:extLst>
        </c:ser>
        <c:dLbls>
          <c:showLegendKey val="0"/>
          <c:showVal val="0"/>
          <c:showCatName val="0"/>
          <c:showSerName val="0"/>
          <c:showPercent val="0"/>
          <c:showBubbleSize val="0"/>
        </c:dLbls>
        <c:axId val="265509120"/>
        <c:axId val="265510912"/>
      </c:scatterChart>
      <c:valAx>
        <c:axId val="2655091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5510912"/>
        <c:crosses val="autoZero"/>
        <c:crossBetween val="midCat"/>
      </c:valAx>
      <c:valAx>
        <c:axId val="2655109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55091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'DESPUES DE AJUSTE #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'DESPUES DE AJUSTE # '!$C$13:$C$17</c:f>
              <c:numCache>
                <c:formatCode>0,000</c:formatCode>
                <c:ptCount val="5"/>
                <c:pt idx="0">
                  <c:v>#N/A</c:v>
                </c:pt>
                <c:pt idx="1">
                  <c:v>#N/A</c:v>
                </c:pt>
                <c:pt idx="2">
                  <c:v>#N/A</c:v>
                </c:pt>
                <c:pt idx="3">
                  <c:v>#N/A</c:v>
                </c:pt>
                <c:pt idx="4">
                  <c:v>#N/A</c:v>
                </c:pt>
              </c:numCache>
            </c:numRef>
          </c:xVal>
          <c:yVal>
            <c:numRef>
              <c:f>'DESPUES DE AJUSTE #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A452-4024-B7F2-B5CC1E1BE988}"/>
            </c:ext>
          </c:extLst>
        </c:ser>
        <c:dLbls>
          <c:showLegendKey val="0"/>
          <c:showVal val="0"/>
          <c:showCatName val="0"/>
          <c:showSerName val="0"/>
          <c:showPercent val="0"/>
          <c:showBubbleSize val="0"/>
        </c:dLbls>
        <c:axId val="265541120"/>
        <c:axId val="265542656"/>
      </c:scatterChart>
      <c:valAx>
        <c:axId val="2655411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5542656"/>
        <c:crosses val="autoZero"/>
        <c:crossBetween val="midCat"/>
      </c:valAx>
      <c:valAx>
        <c:axId val="2655426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55411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#'!$F$74:$F$76</c:f>
              <c:numCache>
                <c:formatCode>Estándar</c:formatCode>
                <c:ptCount val="3"/>
                <c:pt idx="0">
                  <c:v>14.9</c:v>
                </c:pt>
                <c:pt idx="1">
                  <c:v>24.9</c:v>
                </c:pt>
                <c:pt idx="2" formatCode="0,0">
                  <c:v>30</c:v>
                </c:pt>
              </c:numCache>
            </c:numRef>
          </c:xVal>
          <c:yVal>
            <c:numRef>
              <c:f>'DATOS #'!$H$74:$H$76</c:f>
              <c:numCache>
                <c:formatCode>0,0</c:formatCode>
                <c:ptCount val="3"/>
                <c:pt idx="0">
                  <c:v>-0.1</c:v>
                </c:pt>
                <c:pt idx="1">
                  <c:v>-0.1</c:v>
                </c:pt>
                <c:pt idx="2">
                  <c:v>-0.1</c:v>
                </c:pt>
              </c:numCache>
            </c:numRef>
          </c:yVal>
          <c:smooth val="0"/>
          <c:extLst>
            <c:ext xmlns:c16="http://schemas.microsoft.com/office/drawing/2014/chart" uri="{C3380CC4-5D6E-409C-BE32-E72D297353CC}">
              <c16:uniqueId val="{00000002-F961-49D5-A112-40B08AAB0294}"/>
            </c:ext>
          </c:extLst>
        </c:ser>
        <c:dLbls>
          <c:showLegendKey val="0"/>
          <c:showVal val="0"/>
          <c:showCatName val="0"/>
          <c:showSerName val="0"/>
          <c:showPercent val="0"/>
          <c:showBubbleSize val="0"/>
        </c:dLbls>
        <c:axId val="265286400"/>
        <c:axId val="265287936"/>
      </c:scatterChart>
      <c:valAx>
        <c:axId val="2652864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5287936"/>
        <c:crosses val="autoZero"/>
        <c:crossBetween val="midCat"/>
      </c:valAx>
      <c:valAx>
        <c:axId val="2652879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52864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#'!$A$85</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#'!$F$85:$F$87</c:f>
              <c:numCache>
                <c:formatCode>Estándar</c:formatCode>
                <c:ptCount val="3"/>
                <c:pt idx="0" formatCode="0,0">
                  <c:v>14.9</c:v>
                </c:pt>
                <c:pt idx="1">
                  <c:v>24.9</c:v>
                </c:pt>
                <c:pt idx="2">
                  <c:v>30</c:v>
                </c:pt>
              </c:numCache>
            </c:numRef>
          </c:xVal>
          <c:yVal>
            <c:numRef>
              <c:f>'DATOS #'!$H$85:$H$87</c:f>
              <c:numCache>
                <c:formatCode>Estándar</c:formatCode>
                <c:ptCount val="3"/>
                <c:pt idx="0">
                  <c:v>-0.1</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14312064"/>
        <c:axId val="214313600"/>
      </c:scatterChart>
      <c:valAx>
        <c:axId val="21431206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4313600"/>
        <c:crosses val="autoZero"/>
        <c:crossBetween val="midCat"/>
      </c:valAx>
      <c:valAx>
        <c:axId val="21431360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431206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#'!$F$77:$F$79</c:f>
              <c:numCache>
                <c:formatCode>0,0</c:formatCode>
                <c:ptCount val="3"/>
                <c:pt idx="0" formatCode="Estándar">
                  <c:v>33.9</c:v>
                </c:pt>
                <c:pt idx="1">
                  <c:v>52</c:v>
                </c:pt>
                <c:pt idx="2">
                  <c:v>79</c:v>
                </c:pt>
              </c:numCache>
            </c:numRef>
          </c:xVal>
          <c:yVal>
            <c:numRef>
              <c:f>'DATOS #'!$H$77:$H$79</c:f>
              <c:numCache>
                <c:formatCode>0,0</c:formatCode>
                <c:ptCount val="3"/>
                <c:pt idx="0" formatCode="Estándar">
                  <c:v>-3.9</c:v>
                </c:pt>
                <c:pt idx="1">
                  <c:v>-2</c:v>
                </c:pt>
                <c:pt idx="2">
                  <c:v>1</c:v>
                </c:pt>
              </c:numCache>
            </c:numRef>
          </c:yVal>
          <c:smooth val="0"/>
          <c:extLst>
            <c:ext xmlns:c16="http://schemas.microsoft.com/office/drawing/2014/chart" uri="{C3380CC4-5D6E-409C-BE32-E72D297353CC}">
              <c16:uniqueId val="{00000002-ACF6-4C67-A8BF-22CEC2FB72BB}"/>
            </c:ext>
          </c:extLst>
        </c:ser>
        <c:dLbls>
          <c:showLegendKey val="0"/>
          <c:showVal val="0"/>
          <c:showCatName val="0"/>
          <c:showSerName val="0"/>
          <c:showPercent val="0"/>
          <c:showBubbleSize val="0"/>
        </c:dLbls>
        <c:axId val="265338880"/>
        <c:axId val="265340416"/>
      </c:scatterChart>
      <c:valAx>
        <c:axId val="2653388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5340416"/>
        <c:crosses val="autoZero"/>
        <c:crossBetween val="midCat"/>
      </c:valAx>
      <c:valAx>
        <c:axId val="2653404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53388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#'!$F$80:$F$82</c:f>
              <c:numCache>
                <c:formatCode>Estándar</c:formatCode>
                <c:ptCount val="3"/>
                <c:pt idx="0">
                  <c:v>499.03300000000002</c:v>
                </c:pt>
                <c:pt idx="1">
                  <c:v>752.18100000000004</c:v>
                </c:pt>
                <c:pt idx="2" formatCode="0,000">
                  <c:v>900.66499999999996</c:v>
                </c:pt>
              </c:numCache>
            </c:numRef>
          </c:xVal>
          <c:yVal>
            <c:numRef>
              <c:f>'DATOS #'!$H$80:$H$82</c:f>
              <c:numCache>
                <c:formatCode>0,000</c:formatCode>
                <c:ptCount val="3"/>
                <c:pt idx="0">
                  <c:v>1.706</c:v>
                </c:pt>
                <c:pt idx="1">
                  <c:v>1.087</c:v>
                </c:pt>
                <c:pt idx="2">
                  <c:v>0.94</c:v>
                </c:pt>
              </c:numCache>
            </c:numRef>
          </c:yVal>
          <c:smooth val="0"/>
          <c:extLst>
            <c:ext xmlns:c16="http://schemas.microsoft.com/office/drawing/2014/chart" uri="{C3380CC4-5D6E-409C-BE32-E72D297353CC}">
              <c16:uniqueId val="{00000002-40B4-4906-B688-385DDF1C7ABE}"/>
            </c:ext>
          </c:extLst>
        </c:ser>
        <c:dLbls>
          <c:showLegendKey val="0"/>
          <c:showVal val="0"/>
          <c:showCatName val="0"/>
          <c:showSerName val="0"/>
          <c:showPercent val="0"/>
          <c:showBubbleSize val="0"/>
        </c:dLbls>
        <c:axId val="265370240"/>
        <c:axId val="265376128"/>
      </c:scatterChart>
      <c:valAx>
        <c:axId val="2653702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5376128"/>
        <c:crosses val="autoZero"/>
        <c:crossBetween val="midCat"/>
      </c:valAx>
      <c:valAx>
        <c:axId val="2653761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653702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v>Aporte a la incertidumbre</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22"/>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E713-4AD1-94E8-37C2C460B3B8}"/>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('DESPUES DE AJUSTE # '!$B$89:$C$90,'DESPUES DE AJUSTE # '!$B$93:$C$95,'DESPUES DE AJUSTE # '!$B$98:$C$101,'DESPUES DE AJUSTE # '!$B$103:$C$106,'DESPUES DE AJUSTE # '!$B$108:$C$112,'DESPUES DE AJUSTE # '!$B$115:$C$118)</c:f>
              <c:strCache>
                <c:ptCount val="22"/>
                <c:pt idx="0">
                  <c:v>Calibración </c:v>
                </c:pt>
                <c:pt idx="1">
                  <c:v>Deriva</c:v>
                </c:pt>
                <c:pt idx="2">
                  <c:v>Calibración  " IP "</c:v>
                </c:pt>
                <c:pt idx="3">
                  <c:v>Resolución    " IP "</c:v>
                </c:pt>
                <c:pt idx="4">
                  <c:v>Deriva  " IP "</c:v>
                </c:pt>
                <c:pt idx="5">
                  <c:v>Resolución termómetro</c:v>
                </c:pt>
                <c:pt idx="6">
                  <c:v>Calibración</c:v>
                </c:pt>
                <c:pt idx="7">
                  <c:v>Deriva</c:v>
                </c:pt>
                <c:pt idx="8">
                  <c:v>Inhomogenidad</c:v>
                </c:pt>
                <c:pt idx="9">
                  <c:v>Resolución termómetro</c:v>
                </c:pt>
                <c:pt idx="10">
                  <c:v>Calibración</c:v>
                </c:pt>
                <c:pt idx="11">
                  <c:v>Deriva</c:v>
                </c:pt>
                <c:pt idx="12">
                  <c:v>Inhomogenidad</c:v>
                </c:pt>
                <c:pt idx="13">
                  <c:v>Coeficiente cúbico de expansión térmico del Agua</c:v>
                </c:pt>
                <c:pt idx="14">
                  <c:v>Coeficiente cúbico de expansión térmico del material</c:v>
                </c:pt>
                <c:pt idx="15">
                  <c:v>Coeficiente cúbico de expansión térmico del material</c:v>
                </c:pt>
                <c:pt idx="16">
                  <c:v>Coeficiente cúbico de expansión térmico del material</c:v>
                </c:pt>
                <c:pt idx="17">
                  <c:v>Incertidumbre por repetibilidad del método</c:v>
                </c:pt>
                <c:pt idx="18">
                  <c:v>Lectura del menisco RVP  </c:v>
                </c:pt>
                <c:pt idx="19">
                  <c:v>Lectura del menisco RVC  </c:v>
                </c:pt>
                <c:pt idx="20">
                  <c:v>Delta por repetibilidad</c:v>
                </c:pt>
                <c:pt idx="21">
                  <c:v>Delta de adicionales</c:v>
                </c:pt>
              </c:strCache>
            </c:strRef>
          </c:cat>
          <c:val>
            <c:numRef>
              <c:f>('DESPUES DE AJUSTE # '!$V$87:$V$88,'DESPUES DE AJUSTE # '!$R$93:$R$95,'DESPUES DE AJUSTE # '!$R$98:$R$101,'DESPUES DE AJUSTE # '!$R$103:$R$106,'DESPUES DE AJUSTE # '!$R$108:$R$112,'DESPUES DE AJUSTE # '!$R$114:$R$118)</c:f>
              <c:numCache>
                <c:formatCode>Estándar</c:formatCode>
                <c:ptCount val="23"/>
                <c:pt idx="2" formatCode="0,00%">
                  <c:v>#N/A</c:v>
                </c:pt>
                <c:pt idx="3" formatCode="0,00%">
                  <c:v>#N/A</c:v>
                </c:pt>
                <c:pt idx="4" formatCode="0,00%">
                  <c:v>#N/A</c:v>
                </c:pt>
                <c:pt idx="5" formatCode="0,00%">
                  <c:v>0</c:v>
                </c:pt>
                <c:pt idx="6" formatCode="0,00%">
                  <c:v>0</c:v>
                </c:pt>
                <c:pt idx="7" formatCode="0,00%">
                  <c:v>0</c:v>
                </c:pt>
                <c:pt idx="8" formatCode="0,00%">
                  <c:v>0</c:v>
                </c:pt>
                <c:pt idx="9" formatCode="0,00%">
                  <c:v>0</c:v>
                </c:pt>
                <c:pt idx="10" formatCode="0,00%">
                  <c:v>0</c:v>
                </c:pt>
                <c:pt idx="11" formatCode="0,00%">
                  <c:v>0</c:v>
                </c:pt>
                <c:pt idx="12" formatCode="0,00%">
                  <c:v>0</c:v>
                </c:pt>
                <c:pt idx="13" formatCode="0,00%">
                  <c:v>0</c:v>
                </c:pt>
                <c:pt idx="14" formatCode="0,00%">
                  <c:v>0</c:v>
                </c:pt>
                <c:pt idx="15" formatCode="0,00%">
                  <c:v>0</c:v>
                </c:pt>
                <c:pt idx="16" formatCode="0,00%">
                  <c:v>0</c:v>
                </c:pt>
                <c:pt idx="17" formatCode="0,00%">
                  <c:v>0</c:v>
                </c:pt>
                <c:pt idx="19" formatCode="0,00%">
                  <c:v>0</c:v>
                </c:pt>
                <c:pt idx="20" formatCode="0,00%">
                  <c:v>0</c:v>
                </c:pt>
                <c:pt idx="21" formatCode="0,00%">
                  <c:v>0</c:v>
                </c:pt>
                <c:pt idx="22" formatCode="0,00%">
                  <c:v>0</c:v>
                </c:pt>
              </c:numCache>
            </c:numRef>
          </c:val>
          <c:extLst>
            <c:ext xmlns:c16="http://schemas.microsoft.com/office/drawing/2014/chart" uri="{C3380CC4-5D6E-409C-BE32-E72D297353CC}">
              <c16:uniqueId val="{00000001-E713-4AD1-94E8-37C2C460B3B8}"/>
            </c:ext>
          </c:extLst>
        </c:ser>
        <c:dLbls>
          <c:showLegendKey val="0"/>
          <c:showVal val="0"/>
          <c:showCatName val="0"/>
          <c:showSerName val="0"/>
          <c:showPercent val="0"/>
          <c:showBubbleSize val="0"/>
        </c:dLbls>
        <c:gapWidth val="150"/>
        <c:axId val="265824128"/>
        <c:axId val="265825664"/>
      </c:barChart>
      <c:catAx>
        <c:axId val="265824128"/>
        <c:scaling>
          <c:orientation val="minMax"/>
        </c:scaling>
        <c:delete val="0"/>
        <c:axPos val="b"/>
        <c:numFmt formatCode="Estándar"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65825664"/>
        <c:crosses val="autoZero"/>
        <c:auto val="1"/>
        <c:lblAlgn val="ctr"/>
        <c:lblOffset val="100"/>
        <c:noMultiLvlLbl val="0"/>
      </c:catAx>
      <c:valAx>
        <c:axId val="265825664"/>
        <c:scaling>
          <c:orientation val="minMax"/>
        </c:scaling>
        <c:delete val="0"/>
        <c:axPos val="l"/>
        <c:majorGridlines>
          <c:spPr>
            <a:ln w="9525" cap="flat" cmpd="sng" algn="ctr">
              <a:solidFill>
                <a:schemeClr val="tx2">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title>
        <c:numFmt formatCode="Estándar"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65824128"/>
        <c:crosses val="autoZero"/>
        <c:crossBetween val="between"/>
      </c:valAx>
      <c:spPr>
        <a:noFill/>
        <a:ln>
          <a:noFill/>
        </a:ln>
        <a:effectLst/>
      </c:spPr>
    </c:plotArea>
    <c:plotVisOnly val="1"/>
    <c:dispBlanksAs val="gap"/>
    <c:showDLblsOverMax val="0"/>
  </c:chart>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round/>
    </a:ln>
    <a:effectLst>
      <a:outerShdw blurRad="40000" dist="20000" dir="5400000" rotWithShape="0">
        <a:srgbClr val="000000">
          <a:alpha val="38000"/>
        </a:srgbClr>
      </a:outerShdw>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Indicación del  RVC </a:t>
            </a:r>
            <a:r>
              <a:rPr lang="es-CO" b="1" baseline="0"/>
              <a:t> ajustado</a:t>
            </a:r>
            <a:endParaRPr lang="es-CO" b="1"/>
          </a:p>
        </c:rich>
      </c:tx>
      <c:layout>
        <c:manualLayout>
          <c:xMode val="edge"/>
          <c:yMode val="edge"/>
          <c:x val="0.32175481207922302"/>
          <c:y val="2.580645161290322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#'!$B$3</c:f>
              <c:strCache>
                <c:ptCount val="1"/>
                <c:pt idx="0">
                  <c:v>TU (EMP + (mL))</c:v>
                </c:pt>
              </c:strCache>
            </c:strRef>
          </c:tx>
          <c:spPr>
            <a:ln w="22225" cap="rnd">
              <a:solidFill>
                <a:srgbClr val="FF0000"/>
              </a:solidFill>
              <a:round/>
            </a:ln>
            <a:effectLst/>
          </c:spPr>
          <c:marker>
            <c:symbol val="none"/>
          </c:marker>
          <c:cat>
            <c:strRef>
              <c:f>'Pc #'!$A$4:$A$8</c:f>
              <c:strCache>
                <c:ptCount val="5"/>
                <c:pt idx="0">
                  <c:v>1</c:v>
                </c:pt>
                <c:pt idx="1">
                  <c:v>Antes de ajuste</c:v>
                </c:pt>
                <c:pt idx="2">
                  <c:v>Después de ajuste</c:v>
                </c:pt>
                <c:pt idx="3">
                  <c:v>3</c:v>
                </c:pt>
                <c:pt idx="4">
                  <c:v>4</c:v>
                </c:pt>
              </c:strCache>
            </c:strRef>
          </c:cat>
          <c:val>
            <c:numRef>
              <c:f>'Pc #'!$B$4:$B$8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0-974E-42BC-8482-26536DCA367D}"/>
            </c:ext>
          </c:extLst>
        </c:ser>
        <c:ser>
          <c:idx val="1"/>
          <c:order val="1"/>
          <c:tx>
            <c:strRef>
              <c:f>'Pc #'!$C$3</c:f>
              <c:strCache>
                <c:ptCount val="1"/>
                <c:pt idx="0">
                  <c:v>TL (EMP - (mL))</c:v>
                </c:pt>
              </c:strCache>
            </c:strRef>
          </c:tx>
          <c:spPr>
            <a:ln w="22225" cap="rnd">
              <a:solidFill>
                <a:srgbClr val="FF0000"/>
              </a:solidFill>
              <a:round/>
            </a:ln>
            <a:effectLst/>
          </c:spPr>
          <c:marker>
            <c:symbol val="none"/>
          </c:marker>
          <c:val>
            <c:numRef>
              <c:f>'Pc #'!$C$4:$C$8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1-974E-42BC-8482-26536DCA367D}"/>
            </c:ext>
          </c:extLst>
        </c:ser>
        <c:ser>
          <c:idx val="2"/>
          <c:order val="2"/>
          <c:tx>
            <c:strRef>
              <c:f>'Pc #'!$D$3</c:f>
              <c:strCache>
                <c:ptCount val="1"/>
                <c:pt idx="0">
                  <c:v>Volumen nominal</c:v>
                </c:pt>
              </c:strCache>
            </c:strRef>
          </c:tx>
          <c:spPr>
            <a:ln w="19050" cap="rnd">
              <a:solidFill>
                <a:srgbClr val="00B050"/>
              </a:solidFill>
              <a:round/>
            </a:ln>
            <a:effectLst/>
          </c:spPr>
          <c:marker>
            <c:symbol val="none"/>
          </c:marker>
          <c:val>
            <c:numRef>
              <c:f>'Pc #'!$D$4:$D$8</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974E-42BC-8482-26536DCA367D}"/>
            </c:ext>
          </c:extLst>
        </c:ser>
        <c:ser>
          <c:idx val="3"/>
          <c:order val="3"/>
          <c:tx>
            <c:strRef>
              <c:f>'Pc #'!$E$3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#'!$F$6</c:f>
                <c:numCache>
                  <c:formatCode>Estándar</c:formatCode>
                  <c:ptCount val="1"/>
                  <c:pt idx="0">
                    <c:v>#N/A</c:v>
                  </c:pt>
                </c:numCache>
              </c:numRef>
            </c:plus>
            <c:minus>
              <c:numRef>
                <c:f>'Pc #'!$F$6</c:f>
                <c:numCache>
                  <c:formatCode>Estándar</c:formatCode>
                  <c:ptCount val="1"/>
                  <c:pt idx="0">
                    <c:v>#N/A</c:v>
                  </c:pt>
                </c:numCache>
              </c:numRef>
            </c:minus>
            <c:spPr>
              <a:noFill/>
              <a:ln w="9525" cap="flat" cmpd="sng" algn="ctr">
                <a:solidFill>
                  <a:schemeClr val="tx1">
                    <a:lumMod val="65000"/>
                    <a:lumOff val="35000"/>
                  </a:schemeClr>
                </a:solidFill>
                <a:round/>
              </a:ln>
              <a:effectLst/>
            </c:spPr>
          </c:errBars>
          <c:val>
            <c:numRef>
              <c:f>'Pc #'!$E$6:$E$7</c:f>
              <c:numCache>
                <c:formatCode>Estándar</c:formatCode>
                <c:ptCount val="2"/>
                <c:pt idx="0" formatCode="0,00">
                  <c:v>#N/A</c:v>
                </c:pt>
              </c:numCache>
            </c:numRef>
          </c:val>
          <c:smooth val="0"/>
          <c:extLst>
            <c:ext xmlns:c16="http://schemas.microsoft.com/office/drawing/2014/chart" uri="{C3380CC4-5D6E-409C-BE32-E72D297353CC}">
              <c16:uniqueId val="{00000003-974E-42BC-8482-26536DCA367D}"/>
            </c:ext>
          </c:extLst>
        </c:ser>
        <c:dLbls>
          <c:showLegendKey val="0"/>
          <c:showVal val="0"/>
          <c:showCatName val="0"/>
          <c:showSerName val="0"/>
          <c:showPercent val="0"/>
          <c:showBubbleSize val="0"/>
        </c:dLbls>
        <c:smooth val="0"/>
        <c:axId val="265588736"/>
        <c:axId val="265590272"/>
      </c:lineChart>
      <c:catAx>
        <c:axId val="265588736"/>
        <c:scaling>
          <c:orientation val="minMax"/>
        </c:scaling>
        <c:delete val="1"/>
        <c:axPos val="b"/>
        <c:majorGridlines>
          <c:spPr>
            <a:ln w="9525" cap="flat" cmpd="sng" algn="ctr">
              <a:solidFill>
                <a:schemeClr val="tx1">
                  <a:lumMod val="15000"/>
                  <a:lumOff val="85000"/>
                </a:schemeClr>
              </a:solidFill>
              <a:round/>
            </a:ln>
            <a:effectLst/>
          </c:spPr>
        </c:majorGridlines>
        <c:numFmt formatCode="Estándar" sourceLinked="1"/>
        <c:majorTickMark val="none"/>
        <c:minorTickMark val="none"/>
        <c:tickLblPos val="nextTo"/>
        <c:crossAx val="265590272"/>
        <c:crosses val="autoZero"/>
        <c:auto val="1"/>
        <c:lblAlgn val="ctr"/>
        <c:lblOffset val="100"/>
        <c:noMultiLvlLbl val="0"/>
      </c:catAx>
      <c:valAx>
        <c:axId val="265590272"/>
        <c:scaling>
          <c:orientation val="minMax"/>
          <c:min val="-15.01"/>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2655887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Probabilidad de Conformidad y no Conformidad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#'!$B$3</c:f>
              <c:strCache>
                <c:ptCount val="1"/>
                <c:pt idx="0">
                  <c:v>TU (EMP + (mL))</c:v>
                </c:pt>
              </c:strCache>
            </c:strRef>
          </c:tx>
          <c:spPr>
            <a:ln w="22225" cap="rnd">
              <a:solidFill>
                <a:srgbClr val="FF0000"/>
              </a:solidFill>
              <a:round/>
            </a:ln>
            <a:effectLst/>
          </c:spPr>
          <c:marker>
            <c:symbol val="none"/>
          </c:marker>
          <c:cat>
            <c:strRef>
              <c:f>'Pc #'!$A$4:$A$8</c:f>
              <c:strCache>
                <c:ptCount val="5"/>
                <c:pt idx="0">
                  <c:v>1</c:v>
                </c:pt>
                <c:pt idx="1">
                  <c:v>Antes de ajuste</c:v>
                </c:pt>
                <c:pt idx="2">
                  <c:v>Después de ajuste</c:v>
                </c:pt>
                <c:pt idx="3">
                  <c:v>3</c:v>
                </c:pt>
                <c:pt idx="4">
                  <c:v>4</c:v>
                </c:pt>
              </c:strCache>
            </c:strRef>
          </c:cat>
          <c:val>
            <c:numRef>
              <c:f>'Pc #'!$B$4:$B$8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0-88E6-47F5-85D4-1AB2F91DFFC0}"/>
            </c:ext>
          </c:extLst>
        </c:ser>
        <c:ser>
          <c:idx val="1"/>
          <c:order val="1"/>
          <c:tx>
            <c:strRef>
              <c:f>'Pc #'!$C$3</c:f>
              <c:strCache>
                <c:ptCount val="1"/>
                <c:pt idx="0">
                  <c:v>TL (EMP - (mL))</c:v>
                </c:pt>
              </c:strCache>
            </c:strRef>
          </c:tx>
          <c:spPr>
            <a:ln w="22225" cap="rnd">
              <a:solidFill>
                <a:srgbClr val="FF0000"/>
              </a:solidFill>
              <a:round/>
            </a:ln>
            <a:effectLst/>
          </c:spPr>
          <c:marker>
            <c:symbol val="none"/>
          </c:marker>
          <c:val>
            <c:numRef>
              <c:f>'Pc #'!$C$4:$C$8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2-88E6-47F5-85D4-1AB2F91DFFC0}"/>
            </c:ext>
          </c:extLst>
        </c:ser>
        <c:ser>
          <c:idx val="2"/>
          <c:order val="2"/>
          <c:tx>
            <c:strRef>
              <c:f>'Pc #'!$D$3</c:f>
              <c:strCache>
                <c:ptCount val="1"/>
                <c:pt idx="0">
                  <c:v>Volumen nominal</c:v>
                </c:pt>
              </c:strCache>
            </c:strRef>
          </c:tx>
          <c:spPr>
            <a:ln w="19050" cap="rnd">
              <a:solidFill>
                <a:srgbClr val="00B050"/>
              </a:solidFill>
              <a:round/>
            </a:ln>
            <a:effectLst/>
          </c:spPr>
          <c:marker>
            <c:symbol val="none"/>
          </c:marker>
          <c:val>
            <c:numRef>
              <c:f>'Pc #'!$D$4:$D$8</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88E6-47F5-85D4-1AB2F91DFFC0}"/>
            </c:ext>
          </c:extLst>
        </c:ser>
        <c:ser>
          <c:idx val="3"/>
          <c:order val="3"/>
          <c:tx>
            <c:strRef>
              <c:f>'Pc #'!$E$3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#'!$F$4:$F$8</c:f>
                <c:numCache>
                  <c:formatCode>Estándar</c:formatCode>
                  <c:ptCount val="5"/>
                  <c:pt idx="1">
                    <c:v>#N/A</c:v>
                  </c:pt>
                  <c:pt idx="2">
                    <c:v>#N/A</c:v>
                  </c:pt>
                </c:numCache>
              </c:numRef>
            </c:plus>
            <c:minus>
              <c:numRef>
                <c:f>'Pc #'!$F$4:$F$8</c:f>
                <c:numCache>
                  <c:formatCode>Estándar</c:formatCode>
                  <c:ptCount val="5"/>
                  <c:pt idx="1">
                    <c:v>#N/A</c:v>
                  </c:pt>
                  <c:pt idx="2">
                    <c:v>#N/A</c:v>
                  </c:pt>
                </c:numCache>
              </c:numRef>
            </c:minus>
            <c:spPr>
              <a:noFill/>
              <a:ln w="9525" cap="flat" cmpd="sng" algn="ctr">
                <a:solidFill>
                  <a:schemeClr val="tx1">
                    <a:lumMod val="65000"/>
                    <a:lumOff val="35000"/>
                  </a:schemeClr>
                </a:solidFill>
                <a:round/>
              </a:ln>
              <a:effectLst/>
            </c:spPr>
          </c:errBars>
          <c:val>
            <c:numRef>
              <c:f>'Pc #'!$E$4:$E$8</c:f>
              <c:numCache>
                <c:formatCode>0,00</c:formatCode>
                <c:ptCount val="5"/>
                <c:pt idx="1">
                  <c:v>#N/A</c:v>
                </c:pt>
                <c:pt idx="2">
                  <c:v>#N/A</c:v>
                </c:pt>
              </c:numCache>
            </c:numRef>
          </c:val>
          <c:smooth val="0"/>
          <c:extLst>
            <c:ext xmlns:c16="http://schemas.microsoft.com/office/drawing/2014/chart" uri="{C3380CC4-5D6E-409C-BE32-E72D297353CC}">
              <c16:uniqueId val="{00000004-88E6-47F5-85D4-1AB2F91DFFC0}"/>
            </c:ext>
          </c:extLst>
        </c:ser>
        <c:dLbls>
          <c:showLegendKey val="0"/>
          <c:showVal val="0"/>
          <c:showCatName val="0"/>
          <c:showSerName val="0"/>
          <c:showPercent val="0"/>
          <c:showBubbleSize val="0"/>
        </c:dLbls>
        <c:smooth val="0"/>
        <c:axId val="266608000"/>
        <c:axId val="266613888"/>
      </c:lineChart>
      <c:catAx>
        <c:axId val="266608000"/>
        <c:scaling>
          <c:orientation val="minMax"/>
        </c:scaling>
        <c:delete val="0"/>
        <c:axPos val="b"/>
        <c:majorGridlines>
          <c:spPr>
            <a:ln w="9525" cap="flat" cmpd="sng" algn="ctr">
              <a:solidFill>
                <a:schemeClr val="tx1">
                  <a:lumMod val="15000"/>
                  <a:lumOff val="85000"/>
                </a:schemeClr>
              </a:solidFill>
              <a:round/>
            </a:ln>
            <a:effectLst/>
          </c:spPr>
        </c:majorGridlines>
        <c:numFmt formatCode="Estándar"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66613888"/>
        <c:crosses val="autoZero"/>
        <c:auto val="1"/>
        <c:lblAlgn val="ctr"/>
        <c:lblOffset val="100"/>
        <c:noMultiLvlLbl val="0"/>
      </c:catAx>
      <c:valAx>
        <c:axId val="266613888"/>
        <c:scaling>
          <c:orientation val="minMax"/>
          <c:min val="-15.0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666080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dk1"/>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#'!$A$88</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#'!$F$88:$F$90</c:f>
              <c:numCache>
                <c:formatCode>Estándar</c:formatCode>
                <c:ptCount val="3"/>
                <c:pt idx="0">
                  <c:v>33.4</c:v>
                </c:pt>
                <c:pt idx="1">
                  <c:v>51.1</c:v>
                </c:pt>
                <c:pt idx="2">
                  <c:v>77.2</c:v>
                </c:pt>
              </c:numCache>
            </c:numRef>
          </c:xVal>
          <c:yVal>
            <c:numRef>
              <c:f>'DATOS #'!$H$88:$H$90</c:f>
              <c:numCache>
                <c:formatCode>#.##0,0</c:formatCode>
                <c:ptCount val="3"/>
                <c:pt idx="0">
                  <c:v>-3.4</c:v>
                </c:pt>
                <c:pt idx="1">
                  <c:v>-1.2</c:v>
                </c:pt>
                <c:pt idx="2">
                  <c:v>2.8</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14364544"/>
        <c:axId val="214366080"/>
      </c:scatterChart>
      <c:valAx>
        <c:axId val="2143645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4366080"/>
        <c:crosses val="autoZero"/>
        <c:crossBetween val="midCat"/>
      </c:valAx>
      <c:valAx>
        <c:axId val="2143660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143645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#'!$A$91</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#'!$F$91:$F$93</c:f>
              <c:numCache>
                <c:formatCode>0,000</c:formatCode>
                <c:ptCount val="3"/>
                <c:pt idx="0">
                  <c:v>499.346</c:v>
                </c:pt>
                <c:pt idx="1">
                  <c:v>752.18</c:v>
                </c:pt>
                <c:pt idx="2">
                  <c:v>900.64499999999998</c:v>
                </c:pt>
              </c:numCache>
            </c:numRef>
          </c:xVal>
          <c:yVal>
            <c:numRef>
              <c:f>'DATOS #'!$H$91:$H$93</c:f>
              <c:numCache>
                <c:formatCode>#.##0,00</c:formatCode>
                <c:ptCount val="3"/>
                <c:pt idx="0">
                  <c:v>1.6890000000000001</c:v>
                </c:pt>
                <c:pt idx="1">
                  <c:v>1.0169999999999999</c:v>
                </c:pt>
                <c:pt idx="2">
                  <c:v>0.80700000000000005</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46588544"/>
        <c:axId val="246590080"/>
      </c:scatterChart>
      <c:valAx>
        <c:axId val="2465885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6590080"/>
        <c:crosses val="autoZero"/>
        <c:crossBetween val="midCat"/>
      </c:valAx>
      <c:valAx>
        <c:axId val="2465900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65885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#'!$A$96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#'!$F$96:$F$98</c:f>
              <c:numCache>
                <c:formatCode>Estándar</c:formatCode>
                <c:ptCount val="3"/>
                <c:pt idx="0" formatCode="0,0">
                  <c:v>14.8</c:v>
                </c:pt>
                <c:pt idx="1">
                  <c:v>24.8</c:v>
                </c:pt>
                <c:pt idx="2">
                  <c:v>29.8</c:v>
                </c:pt>
              </c:numCache>
            </c:numRef>
          </c:xVal>
          <c:yVal>
            <c:numRef>
              <c:f>'DATOS #'!$H$96:$H$98</c:f>
              <c:numCache>
                <c:formatCode>0,0</c:formatCode>
                <c:ptCount val="3"/>
                <c:pt idx="0">
                  <c:v>0</c:v>
                </c:pt>
                <c:pt idx="1">
                  <c:v>0.1</c:v>
                </c:pt>
                <c:pt idx="2" formatCode="Estándar">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46641408"/>
        <c:axId val="246642944"/>
      </c:scatterChart>
      <c:valAx>
        <c:axId val="24664140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6642944"/>
        <c:crosses val="autoZero"/>
        <c:crossBetween val="midCat"/>
      </c:valAx>
      <c:valAx>
        <c:axId val="2466429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664140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#'!$A$99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#'!$F$99:$F$101</c:f>
              <c:numCache>
                <c:formatCode>Estándar</c:formatCode>
                <c:ptCount val="3"/>
                <c:pt idx="0">
                  <c:v>33.4</c:v>
                </c:pt>
                <c:pt idx="1">
                  <c:v>51.1</c:v>
                </c:pt>
                <c:pt idx="2">
                  <c:v>76.8</c:v>
                </c:pt>
              </c:numCache>
            </c:numRef>
          </c:xVal>
          <c:yVal>
            <c:numRef>
              <c:f>'DATOS #'!$H$99:$H$101</c:f>
              <c:numCache>
                <c:formatCode>Estándar</c:formatCode>
                <c:ptCount val="3"/>
                <c:pt idx="0">
                  <c:v>-3.4</c:v>
                </c:pt>
                <c:pt idx="1">
                  <c:v>-1.1000000000000001</c:v>
                </c:pt>
                <c:pt idx="2">
                  <c:v>3.2</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46689152"/>
        <c:axId val="246690944"/>
      </c:scatterChart>
      <c:valAx>
        <c:axId val="2466891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6690944"/>
        <c:crosses val="autoZero"/>
        <c:crossBetween val="midCat"/>
      </c:valAx>
      <c:valAx>
        <c:axId val="2466909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66891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#'!$A$102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#'!$F$102:$F$104</c:f>
              <c:numCache>
                <c:formatCode>Estándar</c:formatCode>
                <c:ptCount val="3"/>
                <c:pt idx="0" formatCode="0,0">
                  <c:v>499.02600000000001</c:v>
                </c:pt>
                <c:pt idx="1">
                  <c:v>752.18100000000004</c:v>
                </c:pt>
                <c:pt idx="2">
                  <c:v>900.66499999999996</c:v>
                </c:pt>
              </c:numCache>
            </c:numRef>
          </c:xVal>
          <c:yVal>
            <c:numRef>
              <c:f>'DATOS #'!$H$102:$H$104</c:f>
              <c:numCache>
                <c:formatCode>0,000</c:formatCode>
                <c:ptCount val="3"/>
                <c:pt idx="0" formatCode="0,00">
                  <c:v>1.573</c:v>
                </c:pt>
                <c:pt idx="1">
                  <c:v>1.0469999999999999</c:v>
                </c:pt>
                <c:pt idx="2" formatCode="0,00">
                  <c:v>0.73699999999999999</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46731904"/>
        <c:axId val="246733440"/>
      </c:scatterChart>
      <c:valAx>
        <c:axId val="24673190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6733440"/>
        <c:crosses val="autoZero"/>
        <c:crossBetween val="midCat"/>
      </c:valAx>
      <c:valAx>
        <c:axId val="2467334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673190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#'!$A$107</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Estándar"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#'!$F$107:$F$109</c:f>
              <c:numCache>
                <c:formatCode>Estándar</c:formatCode>
                <c:ptCount val="3"/>
                <c:pt idx="0">
                  <c:v>15.1</c:v>
                </c:pt>
                <c:pt idx="1">
                  <c:v>24.9</c:v>
                </c:pt>
                <c:pt idx="2" formatCode="0,0">
                  <c:v>34.700000000000003</c:v>
                </c:pt>
              </c:numCache>
            </c:numRef>
          </c:xVal>
          <c:yVal>
            <c:numRef>
              <c:f>'DATOS #'!$H$107:$H$109</c:f>
              <c:numCache>
                <c:formatCode>0,0</c:formatCode>
                <c:ptCount val="3"/>
                <c:pt idx="0">
                  <c:v>0</c:v>
                </c:pt>
                <c:pt idx="1">
                  <c:v>0</c:v>
                </c:pt>
                <c:pt idx="2">
                  <c:v>0</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46989184"/>
        <c:axId val="246990720"/>
      </c:scatterChart>
      <c:valAx>
        <c:axId val="2469891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Estándar"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6990720"/>
        <c:crosses val="autoZero"/>
        <c:crossBetween val="midCat"/>
      </c:valAx>
      <c:valAx>
        <c:axId val="2469907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469891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image" Target="../media/image1.png"/><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1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8.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2.xml"/><Relationship Id="rId7" Type="http://schemas.openxmlformats.org/officeDocument/2006/relationships/image" Target="../media/image2.png"/><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chart" Target="../charts/chart29.xml"/><Relationship Id="rId7" Type="http://schemas.openxmlformats.org/officeDocument/2006/relationships/image" Target="../media/image2.png"/><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image" Target="../media/image3.png"/><Relationship Id="rId5" Type="http://schemas.microsoft.com/office/2007/relationships/hdphoto" Target="../media/hdphoto2.wdp"/><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7.png"/><Relationship Id="rId7" Type="http://schemas.openxmlformats.org/officeDocument/2006/relationships/chart" Target="../charts/chart34.xml"/><Relationship Id="rId2" Type="http://schemas.microsoft.com/office/2007/relationships/hdphoto" Target="../media/hdphoto3.wdp"/><Relationship Id="rId1" Type="http://schemas.openxmlformats.org/officeDocument/2006/relationships/image" Target="../media/image6.png"/><Relationship Id="rId6" Type="http://schemas.microsoft.com/office/2007/relationships/hdphoto" Target="../media/hdphoto5.wdp"/><Relationship Id="rId5" Type="http://schemas.openxmlformats.org/officeDocument/2006/relationships/image" Target="../media/image8.png"/><Relationship Id="rId4" Type="http://schemas.microsoft.com/office/2007/relationships/hdphoto" Target="../media/hdphoto4.wdp"/></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13</xdr:col>
      <xdr:colOff>2199822</xdr:colOff>
      <xdr:row>76</xdr:row>
      <xdr:rowOff>269875</xdr:rowOff>
    </xdr:from>
    <xdr:to>
      <xdr:col>15</xdr:col>
      <xdr:colOff>508000</xdr:colOff>
      <xdr:row>80</xdr:row>
      <xdr:rowOff>63500</xdr:rowOff>
    </xdr:to>
    <xdr:graphicFrame macro="">
      <xdr:nvGraphicFramePr>
        <xdr:cNvPr id="6" name="Gráfico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887640</xdr:colOff>
      <xdr:row>76</xdr:row>
      <xdr:rowOff>285750</xdr:rowOff>
    </xdr:from>
    <xdr:to>
      <xdr:col>17</xdr:col>
      <xdr:colOff>571501</xdr:colOff>
      <xdr:row>80</xdr:row>
      <xdr:rowOff>40822</xdr:rowOff>
    </xdr:to>
    <xdr:graphicFrame macro="">
      <xdr:nvGraphicFramePr>
        <xdr:cNvPr id="7" name="Gráfico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1281339</xdr:colOff>
      <xdr:row>87</xdr:row>
      <xdr:rowOff>174624</xdr:rowOff>
    </xdr:from>
    <xdr:to>
      <xdr:col>13</xdr:col>
      <xdr:colOff>1968501</xdr:colOff>
      <xdr:row>90</xdr:row>
      <xdr:rowOff>272143</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9073</xdr:colOff>
      <xdr:row>87</xdr:row>
      <xdr:rowOff>142874</xdr:rowOff>
    </xdr:from>
    <xdr:to>
      <xdr:col>15</xdr:col>
      <xdr:colOff>571501</xdr:colOff>
      <xdr:row>90</xdr:row>
      <xdr:rowOff>269875</xdr:rowOff>
    </xdr:to>
    <xdr:graphicFrame macro="">
      <xdr:nvGraphicFramePr>
        <xdr:cNvPr id="10" name="Gráfico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995590</xdr:colOff>
      <xdr:row>87</xdr:row>
      <xdr:rowOff>142875</xdr:rowOff>
    </xdr:from>
    <xdr:to>
      <xdr:col>17</xdr:col>
      <xdr:colOff>762000</xdr:colOff>
      <xdr:row>90</xdr:row>
      <xdr:rowOff>254000</xdr:rowOff>
    </xdr:to>
    <xdr:graphicFrame macro="">
      <xdr:nvGraphicFramePr>
        <xdr:cNvPr id="11" name="Gráfico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1344839</xdr:colOff>
      <xdr:row>98</xdr:row>
      <xdr:rowOff>238125</xdr:rowOff>
    </xdr:from>
    <xdr:to>
      <xdr:col>13</xdr:col>
      <xdr:colOff>2035175</xdr:colOff>
      <xdr:row>101</xdr:row>
      <xdr:rowOff>308429</xdr:rowOff>
    </xdr:to>
    <xdr:graphicFrame macro="">
      <xdr:nvGraphicFramePr>
        <xdr:cNvPr id="13" name="Gráfico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6804</xdr:colOff>
      <xdr:row>98</xdr:row>
      <xdr:rowOff>238124</xdr:rowOff>
    </xdr:from>
    <xdr:to>
      <xdr:col>15</xdr:col>
      <xdr:colOff>746125</xdr:colOff>
      <xdr:row>101</xdr:row>
      <xdr:rowOff>297089</xdr:rowOff>
    </xdr:to>
    <xdr:graphicFrame macro="">
      <xdr:nvGraphicFramePr>
        <xdr:cNvPr id="15" name="Gráfico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54429</xdr:colOff>
      <xdr:row>98</xdr:row>
      <xdr:rowOff>206375</xdr:rowOff>
    </xdr:from>
    <xdr:to>
      <xdr:col>17</xdr:col>
      <xdr:colOff>809625</xdr:colOff>
      <xdr:row>101</xdr:row>
      <xdr:rowOff>349250</xdr:rowOff>
    </xdr:to>
    <xdr:graphicFrame macro="">
      <xdr:nvGraphicFramePr>
        <xdr:cNvPr id="16" name="Gráfico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1301750</xdr:colOff>
      <xdr:row>109</xdr:row>
      <xdr:rowOff>206374</xdr:rowOff>
    </xdr:from>
    <xdr:to>
      <xdr:col>13</xdr:col>
      <xdr:colOff>1952626</xdr:colOff>
      <xdr:row>113</xdr:row>
      <xdr:rowOff>190500</xdr:rowOff>
    </xdr:to>
    <xdr:graphicFrame macro="">
      <xdr:nvGraphicFramePr>
        <xdr:cNvPr id="17" name="Gráfico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79374</xdr:colOff>
      <xdr:row>109</xdr:row>
      <xdr:rowOff>238125</xdr:rowOff>
    </xdr:from>
    <xdr:to>
      <xdr:col>15</xdr:col>
      <xdr:colOff>619124</xdr:colOff>
      <xdr:row>113</xdr:row>
      <xdr:rowOff>111125</xdr:rowOff>
    </xdr:to>
    <xdr:graphicFrame macro="">
      <xdr:nvGraphicFramePr>
        <xdr:cNvPr id="18" name="Gráfico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1079500</xdr:colOff>
      <xdr:row>109</xdr:row>
      <xdr:rowOff>222250</xdr:rowOff>
    </xdr:from>
    <xdr:to>
      <xdr:col>17</xdr:col>
      <xdr:colOff>762000</xdr:colOff>
      <xdr:row>113</xdr:row>
      <xdr:rowOff>63500</xdr:rowOff>
    </xdr:to>
    <xdr:graphicFrame macro="">
      <xdr:nvGraphicFramePr>
        <xdr:cNvPr id="19" name="Gráfico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1270001</xdr:colOff>
      <xdr:row>120</xdr:row>
      <xdr:rowOff>301624</xdr:rowOff>
    </xdr:from>
    <xdr:to>
      <xdr:col>13</xdr:col>
      <xdr:colOff>1984376</xdr:colOff>
      <xdr:row>124</xdr:row>
      <xdr:rowOff>269875</xdr:rowOff>
    </xdr:to>
    <xdr:graphicFrame macro="">
      <xdr:nvGraphicFramePr>
        <xdr:cNvPr id="20" name="Gráfico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31750</xdr:colOff>
      <xdr:row>120</xdr:row>
      <xdr:rowOff>317499</xdr:rowOff>
    </xdr:from>
    <xdr:to>
      <xdr:col>15</xdr:col>
      <xdr:colOff>720725</xdr:colOff>
      <xdr:row>124</xdr:row>
      <xdr:rowOff>222250</xdr:rowOff>
    </xdr:to>
    <xdr:graphicFrame macro="">
      <xdr:nvGraphicFramePr>
        <xdr:cNvPr id="22" name="Gráfico 21">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1063625</xdr:colOff>
      <xdr:row>120</xdr:row>
      <xdr:rowOff>285750</xdr:rowOff>
    </xdr:from>
    <xdr:to>
      <xdr:col>17</xdr:col>
      <xdr:colOff>714376</xdr:colOff>
      <xdr:row>124</xdr:row>
      <xdr:rowOff>222250</xdr:rowOff>
    </xdr:to>
    <xdr:graphicFrame macro="">
      <xdr:nvGraphicFramePr>
        <xdr:cNvPr id="23" name="Gráfico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1074965</xdr:colOff>
      <xdr:row>36</xdr:row>
      <xdr:rowOff>503464</xdr:rowOff>
    </xdr:from>
    <xdr:to>
      <xdr:col>22</xdr:col>
      <xdr:colOff>613833</xdr:colOff>
      <xdr:row>42</xdr:row>
      <xdr:rowOff>54429</xdr:rowOff>
    </xdr:to>
    <xdr:graphicFrame macro="">
      <xdr:nvGraphicFramePr>
        <xdr:cNvPr id="24" name="Gráfico 23">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27214</xdr:colOff>
      <xdr:row>42</xdr:row>
      <xdr:rowOff>299356</xdr:rowOff>
    </xdr:from>
    <xdr:to>
      <xdr:col>22</xdr:col>
      <xdr:colOff>557892</xdr:colOff>
      <xdr:row>47</xdr:row>
      <xdr:rowOff>462643</xdr:rowOff>
    </xdr:to>
    <xdr:graphicFrame macro="">
      <xdr:nvGraphicFramePr>
        <xdr:cNvPr id="26" name="Gráfico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964407</xdr:colOff>
      <xdr:row>0</xdr:row>
      <xdr:rowOff>154782</xdr:rowOff>
    </xdr:from>
    <xdr:to>
      <xdr:col>2</xdr:col>
      <xdr:colOff>1000126</xdr:colOff>
      <xdr:row>0</xdr:row>
      <xdr:rowOff>1056650</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7"/>
        <a:stretch>
          <a:fillRect/>
        </a:stretch>
      </xdr:blipFill>
      <xdr:spPr>
        <a:xfrm>
          <a:off x="964407" y="154782"/>
          <a:ext cx="2131219" cy="901868"/>
        </a:xfrm>
        <a:prstGeom prst="rect">
          <a:avLst/>
        </a:prstGeom>
      </xdr:spPr>
    </xdr:pic>
    <xdr:clientData/>
  </xdr:twoCellAnchor>
  <xdr:twoCellAnchor>
    <xdr:from>
      <xdr:col>13</xdr:col>
      <xdr:colOff>39688</xdr:colOff>
      <xdr:row>76</xdr:row>
      <xdr:rowOff>293687</xdr:rowOff>
    </xdr:from>
    <xdr:to>
      <xdr:col>13</xdr:col>
      <xdr:colOff>1824491</xdr:colOff>
      <xdr:row>80</xdr:row>
      <xdr:rowOff>87312</xdr:rowOff>
    </xdr:to>
    <xdr:graphicFrame macro="">
      <xdr:nvGraphicFramePr>
        <xdr:cNvPr id="21" name="Gráfico 20">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1061358</xdr:colOff>
      <xdr:row>54</xdr:row>
      <xdr:rowOff>462644</xdr:rowOff>
    </xdr:from>
    <xdr:to>
      <xdr:col>22</xdr:col>
      <xdr:colOff>557892</xdr:colOff>
      <xdr:row>60</xdr:row>
      <xdr:rowOff>14364</xdr:rowOff>
    </xdr:to>
    <xdr:graphicFrame macro="">
      <xdr:nvGraphicFramePr>
        <xdr:cNvPr id="25" name="Gráfico 24">
          <a:extLst>
            <a:ext uri="{FF2B5EF4-FFF2-40B4-BE49-F238E27FC236}">
              <a16:creationId xmlns:a16="http://schemas.microsoft.com/office/drawing/2014/main" id="{D52AC6DE-7501-478B-A88E-151A6AA33F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0</xdr:colOff>
      <xdr:row>49</xdr:row>
      <xdr:rowOff>0</xdr:rowOff>
    </xdr:from>
    <xdr:to>
      <xdr:col>22</xdr:col>
      <xdr:colOff>598713</xdr:colOff>
      <xdr:row>54</xdr:row>
      <xdr:rowOff>55185</xdr:rowOff>
    </xdr:to>
    <xdr:graphicFrame macro="">
      <xdr:nvGraphicFramePr>
        <xdr:cNvPr id="28" name="Gráfico 27">
          <a:extLst>
            <a:ext uri="{FF2B5EF4-FFF2-40B4-BE49-F238E27FC236}">
              <a16:creationId xmlns:a16="http://schemas.microsoft.com/office/drawing/2014/main" id="{9E0089C1-58EB-4EF9-8D60-C4D2F13697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809580</xdr:colOff>
      <xdr:row>66</xdr:row>
      <xdr:rowOff>23476</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809481</xdr:colOff>
      <xdr:row>68</xdr:row>
      <xdr:rowOff>17691</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691775</xdr:colOff>
      <xdr:row>71</xdr:row>
      <xdr:rowOff>12151</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mn-lt"/>
                  <a:ea typeface="+mn-ea"/>
                  <a:cs typeface="+mn-cs"/>
                </a:rPr>
                <a:t>𝒕</a:t>
              </a:r>
              <a:r>
                <a:rPr lang="es-CO" sz="1100" b="1" i="0" baseline="-25000">
                  <a:solidFill>
                    <a:schemeClr val="tx1"/>
                  </a:solidFill>
                  <a:effectLst/>
                  <a:latin typeface="+mn-lt"/>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92399</xdr:colOff>
      <xdr:row>73</xdr:row>
      <xdr:rowOff>1361</xdr:rowOff>
    </xdr:from>
    <xdr:ext cx="30195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MX" sz="1100" b="1" i="1" baseline="-25000">
                        <a:latin typeface="Cambria Math" panose="02040503050406030204" pitchFamily="18" charset="0"/>
                      </a:rPr>
                      <m:t>𝟎</m:t>
                    </m:r>
                    <m:r>
                      <a:rPr lang="es-MX" sz="1100" b="1" i="1" baseline="-25000">
                        <a:latin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MX" sz="1100" b="1" i="0" baseline="-25000">
                  <a:latin typeface="Cambria Math" panose="02040503050406030204" pitchFamily="18" charset="0"/>
                </a:rPr>
                <a:t>𝟎𝑺𝑪𝑴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766083</xdr:colOff>
      <xdr:row>74</xdr:row>
      <xdr:rowOff>51641</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376443</xdr:colOff>
      <xdr:row>77</xdr:row>
      <xdr:rowOff>1361</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305087</xdr:colOff>
      <xdr:row>79</xdr:row>
      <xdr:rowOff>35860</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358887</xdr:colOff>
      <xdr:row>81</xdr:row>
      <xdr:rowOff>5761</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1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1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1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1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1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1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1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1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5</xdr:col>
      <xdr:colOff>104402</xdr:colOff>
      <xdr:row>64</xdr:row>
      <xdr:rowOff>369368</xdr:rowOff>
    </xdr:from>
    <xdr:ext cx="4533485" cy="36628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4" name="CuadroTexto 23">
              <a:extLst>
                <a:ext uri="{FF2B5EF4-FFF2-40B4-BE49-F238E27FC236}">
                  <a16:creationId xmlns:a16="http://schemas.microsoft.com/office/drawing/2014/main" xmlns="" xmlns:a14="http://schemas.microsoft.com/office/drawing/2010/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+𝜷∗</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solidFill>
                    <a:schemeClr val="tx1"/>
                  </a:solidFill>
                  <a:effectLst/>
                  <a:latin typeface="Cambria Math" panose="02040503050406030204" pitchFamily="18" charset="0"/>
                  <a:ea typeface="+mn-ea"/>
                  <a:cs typeface="+mn-cs"/>
                </a:rPr>
                <a:t>]</a:t>
              </a:r>
              <a:endParaRPr lang="es-CO">
                <a:effectLst/>
              </a:endParaRPr>
            </a:p>
            <a:p>
              <a:endParaRPr lang="es-CO" sz="1100"/>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100-000019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115</xdr:row>
      <xdr:rowOff>75320</xdr:rowOff>
    </xdr:from>
    <xdr:ext cx="583746" cy="258055"/>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100-00001A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116</xdr:row>
      <xdr:rowOff>121736</xdr:rowOff>
    </xdr:from>
    <xdr:ext cx="446562" cy="27658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1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50006</xdr:colOff>
      <xdr:row>116</xdr:row>
      <xdr:rowOff>494279</xdr:rowOff>
    </xdr:from>
    <xdr:ext cx="960204" cy="50584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1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panose="02040503050406030204" pitchFamily="18" charset="0"/>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evaporacion,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11</xdr:col>
      <xdr:colOff>62531</xdr:colOff>
      <xdr:row>118</xdr:row>
      <xdr:rowOff>49428</xdr:rowOff>
    </xdr:from>
    <xdr:ext cx="1344704" cy="493060"/>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100-00001D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15</xdr:col>
      <xdr:colOff>628650</xdr:colOff>
      <xdr:row>125</xdr:row>
      <xdr:rowOff>0</xdr:rowOff>
    </xdr:from>
    <xdr:ext cx="65" cy="172227"/>
    <xdr:sp macro="" textlink="">
      <xdr:nvSpPr>
        <xdr:cNvPr id="30" name="CuadroTexto 29">
          <a:extLst>
            <a:ext uri="{FF2B5EF4-FFF2-40B4-BE49-F238E27FC236}">
              <a16:creationId xmlns:a16="http://schemas.microsoft.com/office/drawing/2014/main" id="{00000000-0008-0000-0100-00001E000000}"/>
            </a:ext>
          </a:extLst>
        </xdr:cNvPr>
        <xdr:cNvSpPr txBox="1"/>
      </xdr:nvSpPr>
      <xdr:spPr>
        <a:xfrm>
          <a:off x="15506700" y="4829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id="{00000000-0008-0000-0100-00001F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31" name="CuadroTexto 30">
              <a:extLst>
                <a:ext uri="{FF2B5EF4-FFF2-40B4-BE49-F238E27FC236}">
                  <a16:creationId xmlns="" xmlns:a16="http://schemas.microsoft.com/office/drawing/2014/main" xmlns:a14="http://schemas.microsoft.com/office/drawing/2010/main" id="{00000000-0008-0000-0200-000022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id="{00000000-0008-0000-0100-000020000000}"/>
            </a:ext>
          </a:extLst>
        </xdr:cNvPr>
        <xdr:cNvSpPr txBox="1"/>
      </xdr:nvSpPr>
      <xdr:spPr>
        <a:xfrm>
          <a:off x="50958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id="{00000000-0008-0000-0100-000021000000}"/>
            </a:ext>
          </a:extLst>
        </xdr:cNvPr>
        <xdr:cNvSpPr txBox="1"/>
      </xdr:nvSpPr>
      <xdr:spPr>
        <a:xfrm>
          <a:off x="59436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id="{00000000-0008-0000-0100-000022000000}"/>
            </a:ext>
          </a:extLst>
        </xdr:cNvPr>
        <xdr:cNvSpPr txBox="1"/>
      </xdr:nvSpPr>
      <xdr:spPr>
        <a:xfrm>
          <a:off x="67151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id="{00000000-0008-0000-0100-000023000000}"/>
            </a:ext>
          </a:extLst>
        </xdr:cNvPr>
        <xdr:cNvSpPr txBox="1"/>
      </xdr:nvSpPr>
      <xdr:spPr>
        <a:xfrm>
          <a:off x="74866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id="{00000000-0008-0000-0100-000024000000}"/>
            </a:ext>
          </a:extLst>
        </xdr:cNvPr>
        <xdr:cNvSpPr txBox="1"/>
      </xdr:nvSpPr>
      <xdr:spPr>
        <a:xfrm>
          <a:off x="83343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id="{00000000-0008-0000-0100-000025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id="{00000000-0008-0000-0100-000026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id="{00000000-0008-0000-0100-000027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id="{00000000-0008-0000-0100-000028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41" name="CuadroTexto 40">
          <a:extLst>
            <a:ext uri="{FF2B5EF4-FFF2-40B4-BE49-F238E27FC236}">
              <a16:creationId xmlns:a16="http://schemas.microsoft.com/office/drawing/2014/main" id="{00000000-0008-0000-0100-000029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2" name="CuadroTexto 41">
          <a:extLst>
            <a:ext uri="{FF2B5EF4-FFF2-40B4-BE49-F238E27FC236}">
              <a16:creationId xmlns:a16="http://schemas.microsoft.com/office/drawing/2014/main" id="{00000000-0008-0000-0100-00002A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3" name="CuadroTexto 42">
          <a:extLst>
            <a:ext uri="{FF2B5EF4-FFF2-40B4-BE49-F238E27FC236}">
              <a16:creationId xmlns:a16="http://schemas.microsoft.com/office/drawing/2014/main" id="{00000000-0008-0000-0100-00002B000000}"/>
            </a:ext>
          </a:extLst>
        </xdr:cNvPr>
        <xdr:cNvSpPr txBox="1"/>
      </xdr:nvSpPr>
      <xdr:spPr>
        <a:xfrm>
          <a:off x="11649075" y="2127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4" name="Rectángulo redondeado 43">
          <a:extLst>
            <a:ext uri="{FF2B5EF4-FFF2-40B4-BE49-F238E27FC236}">
              <a16:creationId xmlns:a16="http://schemas.microsoft.com/office/drawing/2014/main" id="{00000000-0008-0000-0100-00002C000000}"/>
            </a:ext>
          </a:extLst>
        </xdr:cNvPr>
        <xdr:cNvSpPr/>
      </xdr:nvSpPr>
      <xdr:spPr>
        <a:xfrm>
          <a:off x="733766" y="19270776"/>
          <a:ext cx="16242722"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147299</xdr:colOff>
      <xdr:row>49</xdr:row>
      <xdr:rowOff>50347</xdr:rowOff>
    </xdr:from>
    <xdr:ext cx="14948649" cy="519544"/>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45" name="CuadroTexto 44">
              <a:extLst>
                <a:ext uri="{FF2B5EF4-FFF2-40B4-BE49-F238E27FC236}">
                  <a16:creationId xmlns:a16="http://schemas.microsoft.com/office/drawing/2014/main" xmlns:a14="http://schemas.microsoft.com/office/drawing/2010/main" xmlns=""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𝟏−𝜸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𝑹𝒔</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𝟎𝑹𝑺  − 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𝑹𝑺</a:t>
              </a:r>
              <a:r>
                <a:rPr lang="es-MX"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+𝜷</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𝒕−𝒕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𝒎𝒆𝒏+ 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𝒓𝒆𝒑+𝜹𝑽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0100-00003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2" name="CuadroTexto 51">
              <a:extLst>
                <a:ext uri="{FF2B5EF4-FFF2-40B4-BE49-F238E27FC236}">
                  <a16:creationId xmlns="" xmlns:a16="http://schemas.microsoft.com/office/drawing/2014/main" xmlns:a14="http://schemas.microsoft.com/office/drawing/2010/main" id="{00000000-0008-0000-0200-00004A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id="{00000000-0008-0000-0100-000035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3" name="CuadroTexto 52">
              <a:extLst>
                <a:ext uri="{FF2B5EF4-FFF2-40B4-BE49-F238E27FC236}">
                  <a16:creationId xmlns="" xmlns:a16="http://schemas.microsoft.com/office/drawing/2014/main" xmlns:a14="http://schemas.microsoft.com/office/drawing/2010/main" id="{00000000-0008-0000-0200-00004B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4" name="Gráfico 53">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5" name="Gráfico 54">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440530</xdr:colOff>
      <xdr:row>39</xdr:row>
      <xdr:rowOff>285750</xdr:rowOff>
    </xdr:from>
    <xdr:to>
      <xdr:col>17</xdr:col>
      <xdr:colOff>583405</xdr:colOff>
      <xdr:row>43</xdr:row>
      <xdr:rowOff>32886</xdr:rowOff>
    </xdr:to>
    <xdr:graphicFrame macro="">
      <xdr:nvGraphicFramePr>
        <xdr:cNvPr id="56" name="Gráfico 55">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885031</xdr:colOff>
      <xdr:row>39</xdr:row>
      <xdr:rowOff>297655</xdr:rowOff>
    </xdr:from>
    <xdr:to>
      <xdr:col>20</xdr:col>
      <xdr:colOff>368713</xdr:colOff>
      <xdr:row>43</xdr:row>
      <xdr:rowOff>24947</xdr:rowOff>
    </xdr:to>
    <xdr:graphicFrame macro="">
      <xdr:nvGraphicFramePr>
        <xdr:cNvPr id="57" name="Gráfico 56">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750094</xdr:colOff>
      <xdr:row>39</xdr:row>
      <xdr:rowOff>309562</xdr:rowOff>
    </xdr:from>
    <xdr:to>
      <xdr:col>24</xdr:col>
      <xdr:colOff>95250</xdr:colOff>
      <xdr:row>43</xdr:row>
      <xdr:rowOff>13042</xdr:rowOff>
    </xdr:to>
    <xdr:graphicFrame macro="">
      <xdr:nvGraphicFramePr>
        <xdr:cNvPr id="58" name="Gráfico 57">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10</xdr:col>
      <xdr:colOff>40482</xdr:colOff>
      <xdr:row>5</xdr:row>
      <xdr:rowOff>257175</xdr:rowOff>
    </xdr:from>
    <xdr:ext cx="707536" cy="236155"/>
    <mc:AlternateContent xmlns:mc="http://schemas.openxmlformats.org/markup-compatibility/2006" xmlns:a14="http://schemas.microsoft.com/office/drawing/2010/main">
      <mc:Choice Requires="a14">
        <xdr:sp macro="" textlink="">
          <xdr:nvSpPr>
            <xdr:cNvPr id="59" name="CuadroTexto 58">
              <a:extLst>
                <a:ext uri="{FF2B5EF4-FFF2-40B4-BE49-F238E27FC236}">
                  <a16:creationId xmlns:a16="http://schemas.microsoft.com/office/drawing/2014/main" id="{00000000-0008-0000-0100-00003B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59" name="CuadroTexto 58">
              <a:extLst>
                <a:ext uri="{FF2B5EF4-FFF2-40B4-BE49-F238E27FC236}">
                  <a16:creationId xmlns:a16="http://schemas.microsoft.com/office/drawing/2014/main" xmlns:a14="http://schemas.microsoft.com/office/drawing/2010/main" xmlns="" id="{00000000-0008-0000-0300-000015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(𝜹</a:t>
              </a:r>
              <a:r>
                <a:rPr lang="es-CO" sz="1400" b="1" i="0">
                  <a:latin typeface="Cambria Math"/>
                  <a:ea typeface="Cambria Math" panose="02040503050406030204" pitchFamily="18" charset="0"/>
                </a:rPr>
                <a:t>〗_(</a:t>
              </a:r>
              <a:r>
                <a:rPr lang="es-CO" sz="1400" b="1" i="0">
                  <a:latin typeface="Cambria Math" panose="02040503050406030204" pitchFamily="18" charset="0"/>
                  <a:ea typeface="Cambria Math" panose="02040503050406030204" pitchFamily="18" charset="0"/>
                </a:rPr>
                <a:t>𝒅𝒓𝒊𝒇𝒕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a:t>
              </a:r>
              <a:endParaRPr lang="es-CO" sz="1400" b="1"/>
            </a:p>
          </xdr:txBody>
        </xdr:sp>
      </mc:Fallback>
    </mc:AlternateContent>
    <xdr:clientData/>
  </xdr:oneCellAnchor>
  <xdr:twoCellAnchor>
    <xdr:from>
      <xdr:col>18</xdr:col>
      <xdr:colOff>702469</xdr:colOff>
      <xdr:row>91</xdr:row>
      <xdr:rowOff>130968</xdr:rowOff>
    </xdr:from>
    <xdr:to>
      <xdr:col>24</xdr:col>
      <xdr:colOff>571499</xdr:colOff>
      <xdr:row>97</xdr:row>
      <xdr:rowOff>321468</xdr:rowOff>
    </xdr:to>
    <xdr:graphicFrame macro="">
      <xdr:nvGraphicFramePr>
        <xdr:cNvPr id="60" name="Gráfico 59">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112059</xdr:colOff>
      <xdr:row>111</xdr:row>
      <xdr:rowOff>190501</xdr:rowOff>
    </xdr:from>
    <xdr:ext cx="885265" cy="246531"/>
    <mc:AlternateContent xmlns:mc="http://schemas.openxmlformats.org/markup-compatibility/2006" xmlns:a14="http://schemas.microsoft.com/office/drawing/2010/main">
      <mc:Choice Requires="a14">
        <xdr:sp macro="" textlink="">
          <xdr:nvSpPr>
            <xdr:cNvPr id="61" name="CuadroTexto 60">
              <a:extLst>
                <a:ext uri="{FF2B5EF4-FFF2-40B4-BE49-F238E27FC236}">
                  <a16:creationId xmlns:a16="http://schemas.microsoft.com/office/drawing/2014/main" id="{00000000-0008-0000-0100-00003D000000}"/>
                </a:ext>
              </a:extLst>
            </xdr:cNvPr>
            <xdr:cNvSpPr txBox="1"/>
          </xdr:nvSpPr>
          <xdr:spPr>
            <a:xfrm>
              <a:off x="3832412" y="4545106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1" i="1">
                        <a:solidFill>
                          <a:schemeClr val="tx1"/>
                        </a:solidFill>
                        <a:effectLst/>
                        <a:latin typeface="Cambria Math"/>
                        <a:ea typeface="+mn-ea"/>
                        <a:cs typeface="+mn-cs"/>
                      </a:rPr>
                      <m:t>𝒖</m:t>
                    </m:r>
                    <m:d>
                      <m:dPr>
                        <m:ctrlPr>
                          <a:rPr lang="es-CO" sz="1100" b="1" i="1">
                            <a:solidFill>
                              <a:schemeClr val="tx1"/>
                            </a:solidFill>
                            <a:effectLst/>
                            <a:latin typeface="Cambria Math" panose="02040503050406030204" pitchFamily="18" charset="0"/>
                            <a:ea typeface="+mn-ea"/>
                            <a:cs typeface="+mn-cs"/>
                          </a:rPr>
                        </m:ctrlPr>
                      </m:dPr>
                      <m:e>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a:ea typeface="+mn-ea"/>
                                <a:cs typeface="+mn-cs"/>
                              </a:rPr>
                              <m:t>𝜹</m:t>
                            </m:r>
                          </m:e>
                          <m:sub>
                            <m:r>
                              <a:rPr lang="es-CO" sz="1100" b="1" i="1">
                                <a:solidFill>
                                  <a:schemeClr val="tx1"/>
                                </a:solidFill>
                                <a:effectLst/>
                                <a:latin typeface="Cambria Math"/>
                                <a:ea typeface="+mn-ea"/>
                                <a:cs typeface="+mn-cs"/>
                              </a:rPr>
                              <m:t>𝒎𝒓</m:t>
                            </m:r>
                          </m:sub>
                        </m:sSub>
                      </m:e>
                    </m:d>
                  </m:oMath>
                </m:oMathPara>
              </a14:m>
              <a:endParaRPr lang="es-CO" sz="1200" b="1">
                <a:solidFill>
                  <a:schemeClr val="tx1"/>
                </a:solidFill>
              </a:endParaRPr>
            </a:p>
          </xdr:txBody>
        </xdr:sp>
      </mc:Choice>
      <mc:Fallback xmlns="">
        <xdr:sp macro="" textlink="">
          <xdr:nvSpPr>
            <xdr:cNvPr id="61" name="CuadroTexto 60">
              <a:extLst>
                <a:ext uri="{FF2B5EF4-FFF2-40B4-BE49-F238E27FC236}">
                  <a16:creationId xmlns:a16="http://schemas.microsoft.com/office/drawing/2014/main" id="{00000000-0008-0000-0100-00003D000000}"/>
                </a:ext>
              </a:extLst>
            </xdr:cNvPr>
            <xdr:cNvSpPr txBox="1"/>
          </xdr:nvSpPr>
          <xdr:spPr>
            <a:xfrm>
              <a:off x="3832412" y="4545106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solidFill>
                    <a:schemeClr val="tx1"/>
                  </a:solidFill>
                  <a:effectLst/>
                  <a:latin typeface="Cambria Math"/>
                  <a:ea typeface="+mn-ea"/>
                  <a:cs typeface="+mn-cs"/>
                </a:rPr>
                <a:t>𝒖</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𝜹</a:t>
              </a:r>
              <a:r>
                <a:rPr lang="es-CO" sz="1100" b="1" i="0">
                  <a:solidFill>
                    <a:schemeClr val="tx1"/>
                  </a:solidFill>
                  <a:effectLst/>
                  <a:latin typeface="Cambria Math" panose="02040503050406030204" pitchFamily="18" charset="0"/>
                  <a:ea typeface="+mn-ea"/>
                  <a:cs typeface="+mn-cs"/>
                </a:rPr>
                <a:t>_</a:t>
              </a:r>
              <a:r>
                <a:rPr lang="es-CO" sz="1100" b="1" i="0">
                  <a:solidFill>
                    <a:schemeClr val="tx1"/>
                  </a:solidFill>
                  <a:effectLst/>
                  <a:latin typeface="Cambria Math"/>
                  <a:ea typeface="+mn-ea"/>
                  <a:cs typeface="+mn-cs"/>
                </a:rPr>
                <a:t>𝒎𝒓</a:t>
              </a:r>
              <a:r>
                <a:rPr lang="es-CO" sz="1100" b="1" i="0">
                  <a:solidFill>
                    <a:schemeClr val="tx1"/>
                  </a:solidFill>
                  <a:effectLst/>
                  <a:latin typeface="Cambria Math" panose="02040503050406030204" pitchFamily="18" charset="0"/>
                  <a:ea typeface="+mn-ea"/>
                  <a:cs typeface="+mn-cs"/>
                </a:rPr>
                <a:t> )</a:t>
              </a:r>
              <a:endParaRPr lang="es-CO" sz="1200" b="1">
                <a:solidFill>
                  <a:schemeClr val="tx1"/>
                </a:solidFill>
              </a:endParaRPr>
            </a:p>
          </xdr:txBody>
        </xdr:sp>
      </mc:Fallback>
    </mc:AlternateContent>
    <xdr:clientData/>
  </xdr:oneCellAnchor>
  <xdr:twoCellAnchor editAs="oneCell">
    <xdr:from>
      <xdr:col>0</xdr:col>
      <xdr:colOff>962987</xdr:colOff>
      <xdr:row>0</xdr:row>
      <xdr:rowOff>58316</xdr:rowOff>
    </xdr:from>
    <xdr:to>
      <xdr:col>2</xdr:col>
      <xdr:colOff>174948</xdr:colOff>
      <xdr:row>0</xdr:row>
      <xdr:rowOff>894184</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7"/>
        <a:stretch>
          <a:fillRect/>
        </a:stretch>
      </xdr:blipFill>
      <xdr:spPr>
        <a:xfrm>
          <a:off x="962987" y="58316"/>
          <a:ext cx="1787599" cy="835868"/>
        </a:xfrm>
        <a:prstGeom prst="rect">
          <a:avLst/>
        </a:prstGeom>
      </xdr:spPr>
    </xdr:pic>
    <xdr:clientData/>
  </xdr:twoCellAnchor>
  <xdr:twoCellAnchor>
    <xdr:from>
      <xdr:col>14</xdr:col>
      <xdr:colOff>142875</xdr:colOff>
      <xdr:row>52</xdr:row>
      <xdr:rowOff>0</xdr:rowOff>
    </xdr:from>
    <xdr:to>
      <xdr:col>18</xdr:col>
      <xdr:colOff>261938</xdr:colOff>
      <xdr:row>59</xdr:row>
      <xdr:rowOff>285750</xdr:rowOff>
    </xdr:to>
    <xdr:graphicFrame macro="">
      <xdr:nvGraphicFramePr>
        <xdr:cNvPr id="62" name="Gráfico 61">
          <a:extLst>
            <a:ext uri="{FF2B5EF4-FFF2-40B4-BE49-F238E27FC236}">
              <a16:creationId xmlns:a16="http://schemas.microsoft.com/office/drawing/2014/main" id="{7BEA3FEA-8AC5-430E-98D8-9E7D0ED7B9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989AAEC1-2194-404D-836E-50B4A17DC449}"/>
                </a:ext>
              </a:extLst>
            </xdr:cNvPr>
            <xdr:cNvSpPr txBox="1"/>
          </xdr:nvSpPr>
          <xdr:spPr>
            <a:xfrm>
              <a:off x="5612339" y="2544845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2" name="CuadroTexto 1">
              <a:extLst>
                <a:ext uri="{FF2B5EF4-FFF2-40B4-BE49-F238E27FC236}">
                  <a16:creationId xmlns:a16="http://schemas.microsoft.com/office/drawing/2014/main" id="{989AAEC1-2194-404D-836E-50B4A17DC449}"/>
                </a:ext>
              </a:extLst>
            </xdr:cNvPr>
            <xdr:cNvSpPr txBox="1"/>
          </xdr:nvSpPr>
          <xdr:spPr>
            <a:xfrm>
              <a:off x="5612339" y="2544845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F1BBA06F-3F7A-4C26-AD25-C88BC9FFFC70}"/>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3" name="CuadroTexto 2">
              <a:extLst>
                <a:ext uri="{FF2B5EF4-FFF2-40B4-BE49-F238E27FC236}">
                  <a16:creationId xmlns:a16="http://schemas.microsoft.com/office/drawing/2014/main" id="{F1BBA06F-3F7A-4C26-AD25-C88BC9FFFC70}"/>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809580</xdr:colOff>
      <xdr:row>66</xdr:row>
      <xdr:rowOff>23476</xdr:rowOff>
    </xdr:from>
    <xdr:ext cx="1810415" cy="401066"/>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2F7A68F9-7CA6-4D09-9E81-E5AD009DB9ED}"/>
                </a:ext>
              </a:extLst>
            </xdr:cNvPr>
            <xdr:cNvSpPr txBox="1"/>
          </xdr:nvSpPr>
          <xdr:spPr>
            <a:xfrm>
              <a:off x="8534355" y="27988876"/>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a16="http://schemas.microsoft.com/office/drawing/2014/main" id="{2F7A68F9-7CA6-4D09-9E81-E5AD009DB9ED}"/>
                </a:ext>
              </a:extLst>
            </xdr:cNvPr>
            <xdr:cNvSpPr txBox="1"/>
          </xdr:nvSpPr>
          <xdr:spPr>
            <a:xfrm>
              <a:off x="8534355" y="27988876"/>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809481</xdr:colOff>
      <xdr:row>68</xdr:row>
      <xdr:rowOff>17691</xdr:rowOff>
    </xdr:from>
    <xdr:ext cx="1702892" cy="461594"/>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A9CD814F-E5F0-4B19-80C4-AD3CFB3E2406}"/>
                </a:ext>
              </a:extLst>
            </xdr:cNvPr>
            <xdr:cNvSpPr txBox="1"/>
          </xdr:nvSpPr>
          <xdr:spPr>
            <a:xfrm>
              <a:off x="8534256" y="28421241"/>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id="{A9CD814F-E5F0-4B19-80C4-AD3CFB3E2406}"/>
                </a:ext>
              </a:extLst>
            </xdr:cNvPr>
            <xdr:cNvSpPr txBox="1"/>
          </xdr:nvSpPr>
          <xdr:spPr>
            <a:xfrm>
              <a:off x="8534256" y="28421241"/>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691775</xdr:colOff>
      <xdr:row>71</xdr:row>
      <xdr:rowOff>12151</xdr:rowOff>
    </xdr:from>
    <xdr:ext cx="1894821" cy="44422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2FFCC806-AB7D-4F4D-B6B4-AF50C1560024}"/>
                </a:ext>
              </a:extLst>
            </xdr:cNvPr>
            <xdr:cNvSpPr txBox="1"/>
          </xdr:nvSpPr>
          <xdr:spPr>
            <a:xfrm>
              <a:off x="8416550" y="28911001"/>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id="{2FFCC806-AB7D-4F4D-B6B4-AF50C1560024}"/>
                </a:ext>
              </a:extLst>
            </xdr:cNvPr>
            <xdr:cNvSpPr txBox="1"/>
          </xdr:nvSpPr>
          <xdr:spPr>
            <a:xfrm>
              <a:off x="8416550" y="28911001"/>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92399</xdr:colOff>
      <xdr:row>73</xdr:row>
      <xdr:rowOff>1361</xdr:rowOff>
    </xdr:from>
    <xdr:ext cx="3019556" cy="420794"/>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9D1F98A2-320E-4984-B4C2-E785CC78C95D}"/>
                </a:ext>
              </a:extLst>
            </xdr:cNvPr>
            <xdr:cNvSpPr txBox="1"/>
          </xdr:nvSpPr>
          <xdr:spPr>
            <a:xfrm>
              <a:off x="7817174" y="29338361"/>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MX" sz="1100" b="1" i="1" baseline="-25000">
                        <a:latin typeface="Cambria Math" panose="02040503050406030204" pitchFamily="18" charset="0"/>
                      </a:rPr>
                      <m:t>𝟎</m:t>
                    </m:r>
                    <m:r>
                      <a:rPr lang="es-MX" sz="1100" b="1" i="1" baseline="-25000">
                        <a:latin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id="{9D1F98A2-320E-4984-B4C2-E785CC78C95D}"/>
                </a:ext>
              </a:extLst>
            </xdr:cNvPr>
            <xdr:cNvSpPr txBox="1"/>
          </xdr:nvSpPr>
          <xdr:spPr>
            <a:xfrm>
              <a:off x="7817174" y="29338361"/>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MX" sz="1100" b="1" i="0" baseline="-25000">
                  <a:latin typeface="Cambria Math" panose="02040503050406030204" pitchFamily="18" charset="0"/>
                </a:rPr>
                <a:t>𝟎𝑺𝑪𝑴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766083</xdr:colOff>
      <xdr:row>74</xdr:row>
      <xdr:rowOff>51641</xdr:rowOff>
    </xdr:from>
    <xdr:ext cx="2019300" cy="411878"/>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80602910-1F73-4D55-B525-7B5B0E129802}"/>
                </a:ext>
              </a:extLst>
            </xdr:cNvPr>
            <xdr:cNvSpPr txBox="1"/>
          </xdr:nvSpPr>
          <xdr:spPr>
            <a:xfrm>
              <a:off x="8490858" y="29769641"/>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id="{80602910-1F73-4D55-B525-7B5B0E129802}"/>
                </a:ext>
              </a:extLst>
            </xdr:cNvPr>
            <xdr:cNvSpPr txBox="1"/>
          </xdr:nvSpPr>
          <xdr:spPr>
            <a:xfrm>
              <a:off x="8490858" y="29769641"/>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376443</xdr:colOff>
      <xdr:row>77</xdr:row>
      <xdr:rowOff>1361</xdr:rowOff>
    </xdr:from>
    <xdr:ext cx="951614" cy="386655"/>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FD113313-40A0-4125-8B3A-7328440734E1}"/>
                </a:ext>
              </a:extLst>
            </xdr:cNvPr>
            <xdr:cNvSpPr txBox="1"/>
          </xdr:nvSpPr>
          <xdr:spPr>
            <a:xfrm>
              <a:off x="9272793" y="3021466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id="{FD113313-40A0-4125-8B3A-7328440734E1}"/>
                </a:ext>
              </a:extLst>
            </xdr:cNvPr>
            <xdr:cNvSpPr txBox="1"/>
          </xdr:nvSpPr>
          <xdr:spPr>
            <a:xfrm>
              <a:off x="9272793" y="3021466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305087</xdr:colOff>
      <xdr:row>79</xdr:row>
      <xdr:rowOff>35860</xdr:rowOff>
    </xdr:from>
    <xdr:ext cx="1115500" cy="395793"/>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7DB2743-9359-4395-AB67-2E4934389EE9}"/>
                </a:ext>
              </a:extLst>
            </xdr:cNvPr>
            <xdr:cNvSpPr txBox="1"/>
          </xdr:nvSpPr>
          <xdr:spPr>
            <a:xfrm>
              <a:off x="9201437" y="30687310"/>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id="{07DB2743-9359-4395-AB67-2E4934389EE9}"/>
                </a:ext>
              </a:extLst>
            </xdr:cNvPr>
            <xdr:cNvSpPr txBox="1"/>
          </xdr:nvSpPr>
          <xdr:spPr>
            <a:xfrm>
              <a:off x="9201437" y="30687310"/>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358887</xdr:colOff>
      <xdr:row>81</xdr:row>
      <xdr:rowOff>5761</xdr:rowOff>
    </xdr:from>
    <xdr:ext cx="1111805" cy="392205"/>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51763FC6-D91F-46BB-8F1C-DCBAABAA4331}"/>
                </a:ext>
              </a:extLst>
            </xdr:cNvPr>
            <xdr:cNvSpPr txBox="1"/>
          </xdr:nvSpPr>
          <xdr:spPr>
            <a:xfrm>
              <a:off x="9255237" y="3109536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id="{51763FC6-D91F-46BB-8F1C-DCBAABAA4331}"/>
                </a:ext>
              </a:extLst>
            </xdr:cNvPr>
            <xdr:cNvSpPr txBox="1"/>
          </xdr:nvSpPr>
          <xdr:spPr>
            <a:xfrm>
              <a:off x="9255237" y="3109536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71D206CB-3FDF-421A-8F40-12DF24C0A5DE}"/>
                </a:ext>
              </a:extLst>
            </xdr:cNvPr>
            <xdr:cNvSpPr txBox="1"/>
          </xdr:nvSpPr>
          <xdr:spPr>
            <a:xfrm>
              <a:off x="14540070" y="2933898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2" name="CuadroTexto 11">
              <a:extLst>
                <a:ext uri="{FF2B5EF4-FFF2-40B4-BE49-F238E27FC236}">
                  <a16:creationId xmlns:a16="http://schemas.microsoft.com/office/drawing/2014/main" id="{71D206CB-3FDF-421A-8F40-12DF24C0A5DE}"/>
                </a:ext>
              </a:extLst>
            </xdr:cNvPr>
            <xdr:cNvSpPr txBox="1"/>
          </xdr:nvSpPr>
          <xdr:spPr>
            <a:xfrm>
              <a:off x="14540070" y="2933898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C3035EF1-308B-4CA0-8C66-11C4D28781F7}"/>
                </a:ext>
              </a:extLst>
            </xdr:cNvPr>
            <xdr:cNvSpPr txBox="1"/>
          </xdr:nvSpPr>
          <xdr:spPr>
            <a:xfrm>
              <a:off x="14507516" y="2889885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a16="http://schemas.microsoft.com/office/drawing/2014/main" id="{C3035EF1-308B-4CA0-8C66-11C4D28781F7}"/>
                </a:ext>
              </a:extLst>
            </xdr:cNvPr>
            <xdr:cNvSpPr txBox="1"/>
          </xdr:nvSpPr>
          <xdr:spPr>
            <a:xfrm>
              <a:off x="14507516" y="2889885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D3AB1A3-BB17-439A-8246-A306887A9292}"/>
                </a:ext>
              </a:extLst>
            </xdr:cNvPr>
            <xdr:cNvSpPr txBox="1"/>
          </xdr:nvSpPr>
          <xdr:spPr>
            <a:xfrm flipH="1">
              <a:off x="14482394" y="2801961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4" name="CuadroTexto 13">
              <a:extLst>
                <a:ext uri="{FF2B5EF4-FFF2-40B4-BE49-F238E27FC236}">
                  <a16:creationId xmlns:a16="http://schemas.microsoft.com/office/drawing/2014/main" id="{0D3AB1A3-BB17-439A-8246-A306887A9292}"/>
                </a:ext>
              </a:extLst>
            </xdr:cNvPr>
            <xdr:cNvSpPr txBox="1"/>
          </xdr:nvSpPr>
          <xdr:spPr>
            <a:xfrm flipH="1">
              <a:off x="14482394" y="2801961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590CBC38-E698-4271-8194-85F01297CF21}"/>
                </a:ext>
              </a:extLst>
            </xdr:cNvPr>
            <xdr:cNvSpPr txBox="1"/>
          </xdr:nvSpPr>
          <xdr:spPr>
            <a:xfrm>
              <a:off x="14537035" y="3023894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5" name="CuadroTexto 14">
              <a:extLst>
                <a:ext uri="{FF2B5EF4-FFF2-40B4-BE49-F238E27FC236}">
                  <a16:creationId xmlns:a16="http://schemas.microsoft.com/office/drawing/2014/main" id="{590CBC38-E698-4271-8194-85F01297CF21}"/>
                </a:ext>
              </a:extLst>
            </xdr:cNvPr>
            <xdr:cNvSpPr txBox="1"/>
          </xdr:nvSpPr>
          <xdr:spPr>
            <a:xfrm>
              <a:off x="14537035" y="3023894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C631A7E4-602F-4E43-8211-D5DF4060BDA6}"/>
                </a:ext>
              </a:extLst>
            </xdr:cNvPr>
            <xdr:cNvSpPr txBox="1"/>
          </xdr:nvSpPr>
          <xdr:spPr>
            <a:xfrm>
              <a:off x="14484700" y="2845818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6" name="CuadroTexto 15">
              <a:extLst>
                <a:ext uri="{FF2B5EF4-FFF2-40B4-BE49-F238E27FC236}">
                  <a16:creationId xmlns:a16="http://schemas.microsoft.com/office/drawing/2014/main" id="{C631A7E4-602F-4E43-8211-D5DF4060BDA6}"/>
                </a:ext>
              </a:extLst>
            </xdr:cNvPr>
            <xdr:cNvSpPr txBox="1"/>
          </xdr:nvSpPr>
          <xdr:spPr>
            <a:xfrm>
              <a:off x="14484700" y="2845818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7FF691A0-391E-448B-AB68-9D89B3FE029D}"/>
                </a:ext>
              </a:extLst>
            </xdr:cNvPr>
            <xdr:cNvSpPr txBox="1"/>
          </xdr:nvSpPr>
          <xdr:spPr>
            <a:xfrm>
              <a:off x="14480828" y="2977881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a16="http://schemas.microsoft.com/office/drawing/2014/main" id="{7FF691A0-391E-448B-AB68-9D89B3FE029D}"/>
                </a:ext>
              </a:extLst>
            </xdr:cNvPr>
            <xdr:cNvSpPr txBox="1"/>
          </xdr:nvSpPr>
          <xdr:spPr>
            <a:xfrm>
              <a:off x="14480828" y="2977881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FFED372D-D3EE-46BC-82AB-D8A7DF5BABBE}"/>
                </a:ext>
              </a:extLst>
            </xdr:cNvPr>
            <xdr:cNvSpPr txBox="1"/>
          </xdr:nvSpPr>
          <xdr:spPr>
            <a:xfrm>
              <a:off x="14451623" y="2762647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8" name="CuadroTexto 17">
              <a:extLst>
                <a:ext uri="{FF2B5EF4-FFF2-40B4-BE49-F238E27FC236}">
                  <a16:creationId xmlns:a16="http://schemas.microsoft.com/office/drawing/2014/main" id="{FFED372D-D3EE-46BC-82AB-D8A7DF5BABBE}"/>
                </a:ext>
              </a:extLst>
            </xdr:cNvPr>
            <xdr:cNvSpPr txBox="1"/>
          </xdr:nvSpPr>
          <xdr:spPr>
            <a:xfrm>
              <a:off x="14451623" y="2762647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E3EE32A9-FCFE-4FE2-8E9E-A9A87422D9EC}"/>
                </a:ext>
              </a:extLst>
            </xdr:cNvPr>
            <xdr:cNvSpPr txBox="1"/>
          </xdr:nvSpPr>
          <xdr:spPr>
            <a:xfrm>
              <a:off x="14511389" y="3075622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19" name="CuadroTexto 18">
              <a:extLst>
                <a:ext uri="{FF2B5EF4-FFF2-40B4-BE49-F238E27FC236}">
                  <a16:creationId xmlns:a16="http://schemas.microsoft.com/office/drawing/2014/main" id="{E3EE32A9-FCFE-4FE2-8E9E-A9A87422D9EC}"/>
                </a:ext>
              </a:extLst>
            </xdr:cNvPr>
            <xdr:cNvSpPr txBox="1"/>
          </xdr:nvSpPr>
          <xdr:spPr>
            <a:xfrm>
              <a:off x="14511389" y="3075622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5</xdr:col>
      <xdr:colOff>104402</xdr:colOff>
      <xdr:row>64</xdr:row>
      <xdr:rowOff>369368</xdr:rowOff>
    </xdr:from>
    <xdr:ext cx="4533485" cy="36628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D0DB22CE-B67F-471D-A6F3-587DCA1078CB}"/>
                </a:ext>
              </a:extLst>
            </xdr:cNvPr>
            <xdr:cNvSpPr txBox="1"/>
          </xdr:nvSpPr>
          <xdr:spPr>
            <a:xfrm>
              <a:off x="6095627" y="27572768"/>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0" name="CuadroTexto 19">
              <a:extLst>
                <a:ext uri="{FF2B5EF4-FFF2-40B4-BE49-F238E27FC236}">
                  <a16:creationId xmlns:a16="http://schemas.microsoft.com/office/drawing/2014/main" id="{D0DB22CE-B67F-471D-A6F3-587DCA1078CB}"/>
                </a:ext>
              </a:extLst>
            </xdr:cNvPr>
            <xdr:cNvSpPr txBox="1"/>
          </xdr:nvSpPr>
          <xdr:spPr>
            <a:xfrm>
              <a:off x="6095627" y="27572768"/>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+𝜷∗(𝒕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a:t>
              </a:r>
              <a:endParaRPr lang="es-CO">
                <a:effectLst/>
              </a:endParaRPr>
            </a:p>
            <a:p>
              <a:endParaRPr lang="es-CO" sz="1100"/>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id="{3551F78F-D864-42B1-A898-0024C249D4BA}"/>
                </a:ext>
              </a:extLst>
            </xdr:cNvPr>
            <xdr:cNvSpPr txBox="1"/>
          </xdr:nvSpPr>
          <xdr:spPr>
            <a:xfrm>
              <a:off x="3956957" y="467325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1" name="CuadroTexto 20">
              <a:extLst>
                <a:ext uri="{FF2B5EF4-FFF2-40B4-BE49-F238E27FC236}">
                  <a16:creationId xmlns:a16="http://schemas.microsoft.com/office/drawing/2014/main" id="{3551F78F-D864-42B1-A898-0024C249D4BA}"/>
                </a:ext>
              </a:extLst>
            </xdr:cNvPr>
            <xdr:cNvSpPr txBox="1"/>
          </xdr:nvSpPr>
          <xdr:spPr>
            <a:xfrm>
              <a:off x="3956957" y="467325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115</xdr:row>
      <xdr:rowOff>75320</xdr:rowOff>
    </xdr:from>
    <xdr:ext cx="583746" cy="258055"/>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8C793A5-F0AB-4793-9F8F-8B2BB5817AE5}"/>
                </a:ext>
              </a:extLst>
            </xdr:cNvPr>
            <xdr:cNvSpPr txBox="1"/>
          </xdr:nvSpPr>
          <xdr:spPr>
            <a:xfrm>
              <a:off x="3952874" y="471097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2" name="CuadroTexto 21">
              <a:extLst>
                <a:ext uri="{FF2B5EF4-FFF2-40B4-BE49-F238E27FC236}">
                  <a16:creationId xmlns:a16="http://schemas.microsoft.com/office/drawing/2014/main" id="{08C793A5-F0AB-4793-9F8F-8B2BB5817AE5}"/>
                </a:ext>
              </a:extLst>
            </xdr:cNvPr>
            <xdr:cNvSpPr txBox="1"/>
          </xdr:nvSpPr>
          <xdr:spPr>
            <a:xfrm>
              <a:off x="3952874" y="471097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116</xdr:row>
      <xdr:rowOff>121736</xdr:rowOff>
    </xdr:from>
    <xdr:ext cx="446562" cy="276583"/>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B52C3497-8BED-4E12-9048-2CD028DAD205}"/>
                </a:ext>
              </a:extLst>
            </xdr:cNvPr>
            <xdr:cNvSpPr txBox="1"/>
          </xdr:nvSpPr>
          <xdr:spPr>
            <a:xfrm>
              <a:off x="4031054" y="47537186"/>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3" name="CuadroTexto 22">
              <a:extLst>
                <a:ext uri="{FF2B5EF4-FFF2-40B4-BE49-F238E27FC236}">
                  <a16:creationId xmlns:a16="http://schemas.microsoft.com/office/drawing/2014/main" id="{B52C3497-8BED-4E12-9048-2CD028DAD205}"/>
                </a:ext>
              </a:extLst>
            </xdr:cNvPr>
            <xdr:cNvSpPr txBox="1"/>
          </xdr:nvSpPr>
          <xdr:spPr>
            <a:xfrm>
              <a:off x="4031054" y="47537186"/>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50006</xdr:colOff>
      <xdr:row>116</xdr:row>
      <xdr:rowOff>494279</xdr:rowOff>
    </xdr:from>
    <xdr:ext cx="960204" cy="505845"/>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E03450A0-9612-4B71-9A81-6BF4AEC9D4FE}"/>
                </a:ext>
              </a:extLst>
            </xdr:cNvPr>
            <xdr:cNvSpPr txBox="1"/>
          </xdr:nvSpPr>
          <xdr:spPr>
            <a:xfrm>
              <a:off x="3774281" y="4790972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panose="02040503050406030204" pitchFamily="18" charset="0"/>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24" name="CuadroTexto 23">
              <a:extLst>
                <a:ext uri="{FF2B5EF4-FFF2-40B4-BE49-F238E27FC236}">
                  <a16:creationId xmlns:a16="http://schemas.microsoft.com/office/drawing/2014/main" id="{E03450A0-9612-4B71-9A81-6BF4AEC9D4FE}"/>
                </a:ext>
              </a:extLst>
            </xdr:cNvPr>
            <xdr:cNvSpPr txBox="1"/>
          </xdr:nvSpPr>
          <xdr:spPr>
            <a:xfrm>
              <a:off x="3774281" y="4790972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11</xdr:col>
      <xdr:colOff>62531</xdr:colOff>
      <xdr:row>118</xdr:row>
      <xdr:rowOff>49428</xdr:rowOff>
    </xdr:from>
    <xdr:ext cx="1344704" cy="493060"/>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6496A850-D4AC-475B-8434-19E79E55BAF0}"/>
                </a:ext>
              </a:extLst>
            </xdr:cNvPr>
            <xdr:cNvSpPr txBox="1"/>
          </xdr:nvSpPr>
          <xdr:spPr>
            <a:xfrm>
              <a:off x="11978306" y="483507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5" name="CuadroTexto 24">
              <a:extLst>
                <a:ext uri="{FF2B5EF4-FFF2-40B4-BE49-F238E27FC236}">
                  <a16:creationId xmlns:a16="http://schemas.microsoft.com/office/drawing/2014/main" id="{6496A850-D4AC-475B-8434-19E79E55BAF0}"/>
                </a:ext>
              </a:extLst>
            </xdr:cNvPr>
            <xdr:cNvSpPr txBox="1"/>
          </xdr:nvSpPr>
          <xdr:spPr>
            <a:xfrm>
              <a:off x="11978306" y="483507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15</xdr:col>
      <xdr:colOff>628650</xdr:colOff>
      <xdr:row>125</xdr:row>
      <xdr:rowOff>0</xdr:rowOff>
    </xdr:from>
    <xdr:ext cx="65" cy="172227"/>
    <xdr:sp macro="" textlink="">
      <xdr:nvSpPr>
        <xdr:cNvPr id="26" name="CuadroTexto 25">
          <a:extLst>
            <a:ext uri="{FF2B5EF4-FFF2-40B4-BE49-F238E27FC236}">
              <a16:creationId xmlns:a16="http://schemas.microsoft.com/office/drawing/2014/main" id="{FE1AA77D-B226-4035-9DD1-C7CA5B7CDD95}"/>
            </a:ext>
          </a:extLst>
        </xdr:cNvPr>
        <xdr:cNvSpPr txBox="1"/>
      </xdr:nvSpPr>
      <xdr:spPr>
        <a:xfrm>
          <a:off x="24936450" y="462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990808D3-AC57-48DF-B9E7-009043A5058F}"/>
                </a:ext>
              </a:extLst>
            </xdr:cNvPr>
            <xdr:cNvSpPr txBox="1"/>
          </xdr:nvSpPr>
          <xdr:spPr>
            <a:xfrm>
              <a:off x="3230662" y="3394255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27" name="CuadroTexto 26">
              <a:extLst>
                <a:ext uri="{FF2B5EF4-FFF2-40B4-BE49-F238E27FC236}">
                  <a16:creationId xmlns:a16="http://schemas.microsoft.com/office/drawing/2014/main" id="{990808D3-AC57-48DF-B9E7-009043A5058F}"/>
                </a:ext>
              </a:extLst>
            </xdr:cNvPr>
            <xdr:cNvSpPr txBox="1"/>
          </xdr:nvSpPr>
          <xdr:spPr>
            <a:xfrm>
              <a:off x="3230662" y="3394255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28" name="CuadroTexto 27">
          <a:extLst>
            <a:ext uri="{FF2B5EF4-FFF2-40B4-BE49-F238E27FC236}">
              <a16:creationId xmlns:a16="http://schemas.microsoft.com/office/drawing/2014/main" id="{FF15C489-A1AC-4859-BC1F-7FCBE8521EB2}"/>
            </a:ext>
          </a:extLst>
        </xdr:cNvPr>
        <xdr:cNvSpPr txBox="1"/>
      </xdr:nvSpPr>
      <xdr:spPr>
        <a:xfrm>
          <a:off x="546735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29" name="CuadroTexto 28">
          <a:extLst>
            <a:ext uri="{FF2B5EF4-FFF2-40B4-BE49-F238E27FC236}">
              <a16:creationId xmlns:a16="http://schemas.microsoft.com/office/drawing/2014/main" id="{9D701EFD-73F0-4144-A52C-44F5C0C00637}"/>
            </a:ext>
          </a:extLst>
        </xdr:cNvPr>
        <xdr:cNvSpPr txBox="1"/>
      </xdr:nvSpPr>
      <xdr:spPr>
        <a:xfrm>
          <a:off x="66198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0" name="CuadroTexto 29">
          <a:extLst>
            <a:ext uri="{FF2B5EF4-FFF2-40B4-BE49-F238E27FC236}">
              <a16:creationId xmlns:a16="http://schemas.microsoft.com/office/drawing/2014/main" id="{A7F7FC9E-D8C6-4DBE-AE58-EF07E7D06A13}"/>
            </a:ext>
          </a:extLst>
        </xdr:cNvPr>
        <xdr:cNvSpPr txBox="1"/>
      </xdr:nvSpPr>
      <xdr:spPr>
        <a:xfrm>
          <a:off x="739140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1" name="CuadroTexto 30">
          <a:extLst>
            <a:ext uri="{FF2B5EF4-FFF2-40B4-BE49-F238E27FC236}">
              <a16:creationId xmlns:a16="http://schemas.microsoft.com/office/drawing/2014/main" id="{DD91709E-CC74-41DA-BBD4-2030B186E0C2}"/>
            </a:ext>
          </a:extLst>
        </xdr:cNvPr>
        <xdr:cNvSpPr txBox="1"/>
      </xdr:nvSpPr>
      <xdr:spPr>
        <a:xfrm>
          <a:off x="8353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id="{7A946FB0-96EE-4056-B836-58222A526DA0}"/>
            </a:ext>
          </a:extLst>
        </xdr:cNvPr>
        <xdr:cNvSpPr txBox="1"/>
      </xdr:nvSpPr>
      <xdr:spPr>
        <a:xfrm>
          <a:off x="952500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id="{D060BE96-522E-4AC7-8383-2157B3493DD1}"/>
            </a:ext>
          </a:extLst>
        </xdr:cNvPr>
        <xdr:cNvSpPr txBox="1"/>
      </xdr:nvSpPr>
      <xdr:spPr>
        <a:xfrm>
          <a:off x="106013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id="{5641CAD3-5CD3-4B5D-9BC0-8DBE227460B2}"/>
            </a:ext>
          </a:extLst>
        </xdr:cNvPr>
        <xdr:cNvSpPr txBox="1"/>
      </xdr:nvSpPr>
      <xdr:spPr>
        <a:xfrm>
          <a:off x="116490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id="{CD90D78F-3B13-4D03-A788-018CB1AB54C0}"/>
            </a:ext>
          </a:extLst>
        </xdr:cNvPr>
        <xdr:cNvSpPr txBox="1"/>
      </xdr:nvSpPr>
      <xdr:spPr>
        <a:xfrm>
          <a:off x="12544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id="{43A55A35-D164-410A-8F1A-6D9880AE9BF3}"/>
            </a:ext>
          </a:extLst>
        </xdr:cNvPr>
        <xdr:cNvSpPr txBox="1"/>
      </xdr:nvSpPr>
      <xdr:spPr>
        <a:xfrm>
          <a:off x="106013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id="{22E640E6-1D6B-46BF-8273-6E8C1E4FBE2E}"/>
            </a:ext>
          </a:extLst>
        </xdr:cNvPr>
        <xdr:cNvSpPr txBox="1"/>
      </xdr:nvSpPr>
      <xdr:spPr>
        <a:xfrm>
          <a:off x="116490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id="{757FB8F3-1D52-4042-8004-E659E00DF16A}"/>
            </a:ext>
          </a:extLst>
        </xdr:cNvPr>
        <xdr:cNvSpPr txBox="1"/>
      </xdr:nvSpPr>
      <xdr:spPr>
        <a:xfrm>
          <a:off x="12544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39" name="CuadroTexto 38">
          <a:extLst>
            <a:ext uri="{FF2B5EF4-FFF2-40B4-BE49-F238E27FC236}">
              <a16:creationId xmlns:a16="http://schemas.microsoft.com/office/drawing/2014/main" id="{AFB2DE79-EB5A-4397-8F38-BBA2045231AE}"/>
            </a:ext>
          </a:extLst>
        </xdr:cNvPr>
        <xdr:cNvSpPr txBox="1"/>
      </xdr:nvSpPr>
      <xdr:spPr>
        <a:xfrm>
          <a:off x="13639800" y="2339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0" name="Rectángulo redondeado 43">
          <a:extLst>
            <a:ext uri="{FF2B5EF4-FFF2-40B4-BE49-F238E27FC236}">
              <a16:creationId xmlns:a16="http://schemas.microsoft.com/office/drawing/2014/main" id="{3AC14B0F-4FBC-4615-BF61-D91E3B0A6102}"/>
            </a:ext>
          </a:extLst>
        </xdr:cNvPr>
        <xdr:cNvSpPr/>
      </xdr:nvSpPr>
      <xdr:spPr>
        <a:xfrm>
          <a:off x="733766" y="21394851"/>
          <a:ext cx="19728872"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147299</xdr:colOff>
      <xdr:row>49</xdr:row>
      <xdr:rowOff>50347</xdr:rowOff>
    </xdr:from>
    <xdr:ext cx="14948649" cy="519544"/>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1A47B3C9-1332-4818-9EB1-7232BDD955B0}"/>
                </a:ext>
              </a:extLst>
            </xdr:cNvPr>
            <xdr:cNvSpPr txBox="1"/>
          </xdr:nvSpPr>
          <xdr:spPr>
            <a:xfrm>
              <a:off x="1528424" y="21691147"/>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41" name="CuadroTexto 40">
              <a:extLst>
                <a:ext uri="{FF2B5EF4-FFF2-40B4-BE49-F238E27FC236}">
                  <a16:creationId xmlns:a16="http://schemas.microsoft.com/office/drawing/2014/main" id="{1A47B3C9-1332-4818-9EB1-7232BDD955B0}"/>
                </a:ext>
              </a:extLst>
            </xdr:cNvPr>
            <xdr:cNvSpPr txBox="1"/>
          </xdr:nvSpPr>
          <xdr:spPr>
            <a:xfrm>
              <a:off x="1528424" y="21691147"/>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𝑽_𝒕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𝑽_█(𝟎  @ ) [█(𝟏−𝜸_𝑹𝒔 ) (𝒕_𝟎𝑹𝑺  − 𝒕_</a:t>
              </a:r>
              <a:r>
                <a:rPr lang="es-MX"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panose="02040503050406030204" pitchFamily="18" charset="0"/>
                  <a:ea typeface="+mn-ea"/>
                  <a:cs typeface="+mn-cs"/>
                </a:rPr>
                <a:t>+𝜷(𝒕_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−𝒕_𝑹𝑺  )+𝜸_𝑺𝑪𝑴  ( 𝒕−𝒕_𝑺𝑪𝑴 )]+𝜹𝑽_𝒎𝒆𝒏+ 𝜹𝑽_𝒓𝒆𝒑+𝜹𝑽_𝒂𝒅𝒅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867366CC-17DD-43B6-852F-9E45C379C621}"/>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2" name="CuadroTexto 41">
              <a:extLst>
                <a:ext uri="{FF2B5EF4-FFF2-40B4-BE49-F238E27FC236}">
                  <a16:creationId xmlns:a16="http://schemas.microsoft.com/office/drawing/2014/main" id="{867366CC-17DD-43B6-852F-9E45C379C621}"/>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D42C6415-F459-4F5F-9524-523AF7FFE5BD}"/>
                </a:ext>
              </a:extLst>
            </xdr:cNvPr>
            <xdr:cNvSpPr txBox="1"/>
          </xdr:nvSpPr>
          <xdr:spPr>
            <a:xfrm>
              <a:off x="5298871" y="2545347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43" name="CuadroTexto 42">
              <a:extLst>
                <a:ext uri="{FF2B5EF4-FFF2-40B4-BE49-F238E27FC236}">
                  <a16:creationId xmlns:a16="http://schemas.microsoft.com/office/drawing/2014/main" id="{D42C6415-F459-4F5F-9524-523AF7FFE5BD}"/>
                </a:ext>
              </a:extLst>
            </xdr:cNvPr>
            <xdr:cNvSpPr txBox="1"/>
          </xdr:nvSpPr>
          <xdr:spPr>
            <a:xfrm>
              <a:off x="5298871" y="2545347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44" name="Gráfico 43">
          <a:extLst>
            <a:ext uri="{FF2B5EF4-FFF2-40B4-BE49-F238E27FC236}">
              <a16:creationId xmlns:a16="http://schemas.microsoft.com/office/drawing/2014/main" id="{04B1E14A-8DD3-40A7-819A-540484C7F2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45" name="Gráfico 44">
          <a:extLst>
            <a:ext uri="{FF2B5EF4-FFF2-40B4-BE49-F238E27FC236}">
              <a16:creationId xmlns:a16="http://schemas.microsoft.com/office/drawing/2014/main" id="{8529EB29-032C-4AF6-B41A-D460BC326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440530</xdr:colOff>
      <xdr:row>39</xdr:row>
      <xdr:rowOff>285750</xdr:rowOff>
    </xdr:from>
    <xdr:to>
      <xdr:col>17</xdr:col>
      <xdr:colOff>583405</xdr:colOff>
      <xdr:row>43</xdr:row>
      <xdr:rowOff>32886</xdr:rowOff>
    </xdr:to>
    <xdr:graphicFrame macro="">
      <xdr:nvGraphicFramePr>
        <xdr:cNvPr id="46" name="Gráfico 45">
          <a:extLst>
            <a:ext uri="{FF2B5EF4-FFF2-40B4-BE49-F238E27FC236}">
              <a16:creationId xmlns:a16="http://schemas.microsoft.com/office/drawing/2014/main" id="{3AF37C5E-01C0-49B4-95A4-E41796F02E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885031</xdr:colOff>
      <xdr:row>39</xdr:row>
      <xdr:rowOff>297655</xdr:rowOff>
    </xdr:from>
    <xdr:to>
      <xdr:col>20</xdr:col>
      <xdr:colOff>368713</xdr:colOff>
      <xdr:row>43</xdr:row>
      <xdr:rowOff>24947</xdr:rowOff>
    </xdr:to>
    <xdr:graphicFrame macro="">
      <xdr:nvGraphicFramePr>
        <xdr:cNvPr id="47" name="Gráfico 46">
          <a:extLst>
            <a:ext uri="{FF2B5EF4-FFF2-40B4-BE49-F238E27FC236}">
              <a16:creationId xmlns:a16="http://schemas.microsoft.com/office/drawing/2014/main" id="{F971D489-5630-4F8E-AE84-D3BB450A2D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750094</xdr:colOff>
      <xdr:row>39</xdr:row>
      <xdr:rowOff>309562</xdr:rowOff>
    </xdr:from>
    <xdr:to>
      <xdr:col>24</xdr:col>
      <xdr:colOff>95250</xdr:colOff>
      <xdr:row>43</xdr:row>
      <xdr:rowOff>13042</xdr:rowOff>
    </xdr:to>
    <xdr:graphicFrame macro="">
      <xdr:nvGraphicFramePr>
        <xdr:cNvPr id="48" name="Gráfico 47">
          <a:extLst>
            <a:ext uri="{FF2B5EF4-FFF2-40B4-BE49-F238E27FC236}">
              <a16:creationId xmlns:a16="http://schemas.microsoft.com/office/drawing/2014/main" id="{6206EDF3-8892-4742-A9E7-23F972ACE3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10</xdr:col>
      <xdr:colOff>40482</xdr:colOff>
      <xdr:row>5</xdr:row>
      <xdr:rowOff>257175</xdr:rowOff>
    </xdr:from>
    <xdr:ext cx="707536" cy="23615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C6CF70C7-01AE-4AED-B678-CDF8CD7DAB9C}"/>
                </a:ext>
              </a:extLst>
            </xdr:cNvPr>
            <xdr:cNvSpPr txBox="1"/>
          </xdr:nvSpPr>
          <xdr:spPr>
            <a:xfrm>
              <a:off x="11060907" y="2105025"/>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49" name="CuadroTexto 48">
              <a:extLst>
                <a:ext uri="{FF2B5EF4-FFF2-40B4-BE49-F238E27FC236}">
                  <a16:creationId xmlns:a16="http://schemas.microsoft.com/office/drawing/2014/main" id="{C6CF70C7-01AE-4AED-B678-CDF8CD7DAB9C}"/>
                </a:ext>
              </a:extLst>
            </xdr:cNvPr>
            <xdr:cNvSpPr txBox="1"/>
          </xdr:nvSpPr>
          <xdr:spPr>
            <a:xfrm>
              <a:off x="11060907" y="2105025"/>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〖(𝜹〗_(𝒅𝒓𝒊𝒇𝒕 ))</a:t>
              </a:r>
              <a:endParaRPr lang="es-CO" sz="1400" b="1"/>
            </a:p>
          </xdr:txBody>
        </xdr:sp>
      </mc:Fallback>
    </mc:AlternateContent>
    <xdr:clientData/>
  </xdr:oneCellAnchor>
  <xdr:twoCellAnchor>
    <xdr:from>
      <xdr:col>18</xdr:col>
      <xdr:colOff>702469</xdr:colOff>
      <xdr:row>91</xdr:row>
      <xdr:rowOff>130968</xdr:rowOff>
    </xdr:from>
    <xdr:to>
      <xdr:col>24</xdr:col>
      <xdr:colOff>571499</xdr:colOff>
      <xdr:row>97</xdr:row>
      <xdr:rowOff>321468</xdr:rowOff>
    </xdr:to>
    <xdr:graphicFrame macro="">
      <xdr:nvGraphicFramePr>
        <xdr:cNvPr id="50" name="Gráfico 49">
          <a:extLst>
            <a:ext uri="{FF2B5EF4-FFF2-40B4-BE49-F238E27FC236}">
              <a16:creationId xmlns:a16="http://schemas.microsoft.com/office/drawing/2014/main" id="{0B08C916-D7FF-4324-842A-88128BC529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112059</xdr:colOff>
      <xdr:row>111</xdr:row>
      <xdr:rowOff>190501</xdr:rowOff>
    </xdr:from>
    <xdr:ext cx="885265" cy="246531"/>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30438994-B768-44B1-9F8F-8F2FB8D04CEE}"/>
                </a:ext>
              </a:extLst>
            </xdr:cNvPr>
            <xdr:cNvSpPr txBox="1"/>
          </xdr:nvSpPr>
          <xdr:spPr>
            <a:xfrm>
              <a:off x="3836334" y="45500926"/>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1" i="1">
                        <a:solidFill>
                          <a:schemeClr val="tx1"/>
                        </a:solidFill>
                        <a:effectLst/>
                        <a:latin typeface="Cambria Math"/>
                        <a:ea typeface="+mn-ea"/>
                        <a:cs typeface="+mn-cs"/>
                      </a:rPr>
                      <m:t>𝒖</m:t>
                    </m:r>
                    <m:d>
                      <m:dPr>
                        <m:ctrlPr>
                          <a:rPr lang="es-CO" sz="1100" b="1" i="1">
                            <a:solidFill>
                              <a:schemeClr val="tx1"/>
                            </a:solidFill>
                            <a:effectLst/>
                            <a:latin typeface="Cambria Math" panose="02040503050406030204" pitchFamily="18" charset="0"/>
                            <a:ea typeface="+mn-ea"/>
                            <a:cs typeface="+mn-cs"/>
                          </a:rPr>
                        </m:ctrlPr>
                      </m:dPr>
                      <m:e>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a:ea typeface="+mn-ea"/>
                                <a:cs typeface="+mn-cs"/>
                              </a:rPr>
                              <m:t>𝜹</m:t>
                            </m:r>
                          </m:e>
                          <m:sub>
                            <m:r>
                              <a:rPr lang="es-CO" sz="1100" b="1" i="1">
                                <a:solidFill>
                                  <a:schemeClr val="tx1"/>
                                </a:solidFill>
                                <a:effectLst/>
                                <a:latin typeface="Cambria Math"/>
                                <a:ea typeface="+mn-ea"/>
                                <a:cs typeface="+mn-cs"/>
                              </a:rPr>
                              <m:t>𝒎𝒓</m:t>
                            </m:r>
                          </m:sub>
                        </m:sSub>
                      </m:e>
                    </m:d>
                  </m:oMath>
                </m:oMathPara>
              </a14:m>
              <a:endParaRPr lang="es-CO" sz="1200" b="1">
                <a:solidFill>
                  <a:schemeClr val="tx1"/>
                </a:solidFill>
              </a:endParaRPr>
            </a:p>
          </xdr:txBody>
        </xdr:sp>
      </mc:Choice>
      <mc:Fallback xmlns="">
        <xdr:sp macro="" textlink="">
          <xdr:nvSpPr>
            <xdr:cNvPr id="51" name="CuadroTexto 50">
              <a:extLst>
                <a:ext uri="{FF2B5EF4-FFF2-40B4-BE49-F238E27FC236}">
                  <a16:creationId xmlns:a16="http://schemas.microsoft.com/office/drawing/2014/main" id="{30438994-B768-44B1-9F8F-8F2FB8D04CEE}"/>
                </a:ext>
              </a:extLst>
            </xdr:cNvPr>
            <xdr:cNvSpPr txBox="1"/>
          </xdr:nvSpPr>
          <xdr:spPr>
            <a:xfrm>
              <a:off x="3836334" y="45500926"/>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solidFill>
                    <a:schemeClr val="tx1"/>
                  </a:solidFill>
                  <a:effectLst/>
                  <a:latin typeface="Cambria Math"/>
                  <a:ea typeface="+mn-ea"/>
                  <a:cs typeface="+mn-cs"/>
                </a:rPr>
                <a:t>𝒖</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𝜹</a:t>
              </a:r>
              <a:r>
                <a:rPr lang="es-CO" sz="1100" b="1" i="0">
                  <a:solidFill>
                    <a:schemeClr val="tx1"/>
                  </a:solidFill>
                  <a:effectLst/>
                  <a:latin typeface="Cambria Math" panose="02040503050406030204" pitchFamily="18" charset="0"/>
                  <a:ea typeface="+mn-ea"/>
                  <a:cs typeface="+mn-cs"/>
                </a:rPr>
                <a:t>_</a:t>
              </a:r>
              <a:r>
                <a:rPr lang="es-CO" sz="1100" b="1" i="0">
                  <a:solidFill>
                    <a:schemeClr val="tx1"/>
                  </a:solidFill>
                  <a:effectLst/>
                  <a:latin typeface="Cambria Math"/>
                  <a:ea typeface="+mn-ea"/>
                  <a:cs typeface="+mn-cs"/>
                </a:rPr>
                <a:t>𝒎𝒓</a:t>
              </a:r>
              <a:r>
                <a:rPr lang="es-CO" sz="1100" b="1" i="0">
                  <a:solidFill>
                    <a:schemeClr val="tx1"/>
                  </a:solidFill>
                  <a:effectLst/>
                  <a:latin typeface="Cambria Math" panose="02040503050406030204" pitchFamily="18" charset="0"/>
                  <a:ea typeface="+mn-ea"/>
                  <a:cs typeface="+mn-cs"/>
                </a:rPr>
                <a:t> )</a:t>
              </a:r>
              <a:endParaRPr lang="es-CO" sz="1200" b="1">
                <a:solidFill>
                  <a:schemeClr val="tx1"/>
                </a:solidFill>
              </a:endParaRPr>
            </a:p>
          </xdr:txBody>
        </xdr:sp>
      </mc:Fallback>
    </mc:AlternateContent>
    <xdr:clientData/>
  </xdr:oneCellAnchor>
  <xdr:twoCellAnchor editAs="oneCell">
    <xdr:from>
      <xdr:col>0</xdr:col>
      <xdr:colOff>962987</xdr:colOff>
      <xdr:row>0</xdr:row>
      <xdr:rowOff>58316</xdr:rowOff>
    </xdr:from>
    <xdr:to>
      <xdr:col>2</xdr:col>
      <xdr:colOff>174948</xdr:colOff>
      <xdr:row>0</xdr:row>
      <xdr:rowOff>894184</xdr:rowOff>
    </xdr:to>
    <xdr:pic>
      <xdr:nvPicPr>
        <xdr:cNvPr id="52" name="1 Imagen">
          <a:extLst>
            <a:ext uri="{FF2B5EF4-FFF2-40B4-BE49-F238E27FC236}">
              <a16:creationId xmlns:a16="http://schemas.microsoft.com/office/drawing/2014/main" id="{7FFBBCC0-FC67-49DA-93B2-F0083AE01A6B}"/>
            </a:ext>
          </a:extLst>
        </xdr:cNvPr>
        <xdr:cNvPicPr>
          <a:picLocks noChangeAspect="1"/>
        </xdr:cNvPicPr>
      </xdr:nvPicPr>
      <xdr:blipFill>
        <a:blip xmlns:r="http://schemas.openxmlformats.org/officeDocument/2006/relationships" r:embed="rId7"/>
        <a:stretch>
          <a:fillRect/>
        </a:stretch>
      </xdr:blipFill>
      <xdr:spPr>
        <a:xfrm>
          <a:off x="962987" y="58316"/>
          <a:ext cx="1793236" cy="835868"/>
        </a:xfrm>
        <a:prstGeom prst="rect">
          <a:avLst/>
        </a:prstGeom>
      </xdr:spPr>
    </xdr:pic>
    <xdr:clientData/>
  </xdr:twoCellAnchor>
  <xdr:twoCellAnchor>
    <xdr:from>
      <xdr:col>14</xdr:col>
      <xdr:colOff>0</xdr:colOff>
      <xdr:row>51</xdr:row>
      <xdr:rowOff>202407</xdr:rowOff>
    </xdr:from>
    <xdr:to>
      <xdr:col>18</xdr:col>
      <xdr:colOff>119063</xdr:colOff>
      <xdr:row>59</xdr:row>
      <xdr:rowOff>166688</xdr:rowOff>
    </xdr:to>
    <xdr:graphicFrame macro="">
      <xdr:nvGraphicFramePr>
        <xdr:cNvPr id="53" name="Gráfico 52">
          <a:extLst>
            <a:ext uri="{FF2B5EF4-FFF2-40B4-BE49-F238E27FC236}">
              <a16:creationId xmlns:a16="http://schemas.microsoft.com/office/drawing/2014/main" id="{D49A07E9-896D-488A-A456-D1CA5C98F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5</xdr:col>
      <xdr:colOff>180976</xdr:colOff>
      <xdr:row>26</xdr:row>
      <xdr:rowOff>37084</xdr:rowOff>
    </xdr:from>
    <xdr:ext cx="2343149" cy="4010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400-000002000000}"/>
                </a:ext>
              </a:extLst>
            </xdr:cNvPr>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𝑽𝒎𝒊𝒏</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2" name="CuadroTexto 1"/>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𝝏𝑫/𝝏𝑽𝒎𝒊𝒏=−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422406</xdr:colOff>
      <xdr:row>29</xdr:row>
      <xdr:rowOff>8282</xdr:rowOff>
    </xdr:from>
    <xdr:ext cx="1880159" cy="3313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𝑽𝒎𝒂𝒙𝒍𝒆𝒄𝒕𝒖𝒓𝒂</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𝑽𝒎𝒂𝒙𝒍𝒆𝒄𝒕𝒖𝒓𝒂=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373865</xdr:colOff>
      <xdr:row>30</xdr:row>
      <xdr:rowOff>46250</xdr:rowOff>
    </xdr:from>
    <xdr:ext cx="1920794" cy="39579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𝑽𝒎𝒊𝒏𝒍𝒆𝒄𝒕𝒖𝒓𝒂</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𝑽𝒎𝒊𝒏𝒍𝒆𝒄𝒕𝒖𝒓𝒂=  𝟏/𝒏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697334</xdr:colOff>
      <xdr:row>35</xdr:row>
      <xdr:rowOff>37181</xdr:rowOff>
    </xdr:from>
    <xdr:ext cx="1111805" cy="39220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400-000005000000}"/>
                </a:ext>
              </a:extLst>
            </xdr:cNvPr>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𝑽𝑫𝒎𝒆𝒕𝒐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𝝏𝑫/𝝏𝑽𝑫𝒎𝒆𝒕𝒐=𝟏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444212</xdr:colOff>
      <xdr:row>25</xdr:row>
      <xdr:rowOff>60614</xdr:rowOff>
    </xdr:from>
    <xdr:ext cx="1842654" cy="35329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𝑽𝒎𝒂𝒙</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Choice>
      <mc:Fallback xmlns="">
        <xdr:sp macro="" textlink="">
          <xdr:nvSpPr>
            <xdr:cNvPr id="6" name="CuadroTexto 5"/>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𝝏𝑫/𝝏𝑽𝒎𝒂𝒙=  𝟏/𝒏</a:t>
              </a:r>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Fallback>
    </mc:AlternateContent>
    <xdr:clientData/>
  </xdr:oneCellAnchor>
  <xdr:oneCellAnchor>
    <xdr:from>
      <xdr:col>5</xdr:col>
      <xdr:colOff>734083</xdr:colOff>
      <xdr:row>33</xdr:row>
      <xdr:rowOff>38458</xdr:rowOff>
    </xdr:from>
    <xdr:ext cx="1115500" cy="395793"/>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m:t>
                        </m:r>
                        <m:r>
                          <a:rPr lang="es-CO" sz="1100" b="1" i="1">
                            <a:solidFill>
                              <a:schemeClr val="tx1"/>
                            </a:solidFill>
                            <a:effectLst/>
                            <a:latin typeface="Cambria Math" panose="02040503050406030204" pitchFamily="18" charset="0"/>
                            <a:ea typeface="+mn-ea"/>
                            <a:cs typeface="+mn-cs"/>
                          </a:rPr>
                          <m:t> </m:t>
                        </m:r>
                        <m:r>
                          <a:rPr lang="es-CO" sz="1100" b="1" i="1">
                            <a:solidFill>
                              <a:schemeClr val="tx1"/>
                            </a:solidFill>
                            <a:effectLst/>
                            <a:latin typeface="Cambria Math" panose="02040503050406030204" pitchFamily="18" charset="0"/>
                            <a:ea typeface="+mn-ea"/>
                            <a:cs typeface="+mn-cs"/>
                          </a:rPr>
                          <m:t>𝒊𝒏𝒉𝒐𝒎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 𝒊𝒏𝒉𝒐𝒎)=𝟏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20</xdr:col>
      <xdr:colOff>183089</xdr:colOff>
      <xdr:row>15</xdr:row>
      <xdr:rowOff>54808</xdr:rowOff>
    </xdr:from>
    <xdr:ext cx="485775" cy="27176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13</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4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9" name="CuadroTexto 8">
              <a:extLst>
                <a:ext uri="{FF2B5EF4-FFF2-40B4-BE49-F238E27FC236}">
                  <a16:creationId xmlns:a16="http://schemas.microsoft.com/office/drawing/2014/main" id="{00000000-0008-0000-04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12</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10</xdr:col>
      <xdr:colOff>275038</xdr:colOff>
      <xdr:row>49</xdr:row>
      <xdr:rowOff>317276</xdr:rowOff>
    </xdr:from>
    <xdr:ext cx="1582337" cy="647129"/>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𝒔𝒑</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𝑽𝒔𝒑</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(𝑽_𝒔𝒑)∑_𝒊▒(𝝏𝑽𝒔𝒑/𝝏𝒙𝒊(𝒙𝒊))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20</xdr:col>
      <xdr:colOff>212913</xdr:colOff>
      <xdr:row>14</xdr:row>
      <xdr:rowOff>39654</xdr:rowOff>
    </xdr:from>
    <xdr:ext cx="610160" cy="184474"/>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4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14:m>
                <m:oMathPara xmlns:m="http://schemas.openxmlformats.org/officeDocument/2006/math">
                  <m:oMathParaPr>
                    <m:jc m:val="centerGroup"/>
                  </m:oMathParaPr>
                  <m:oMath xmlns:m="http://schemas.openxmlformats.org/officeDocument/2006/math">
                    <m:sSub>
                      <m:sSubPr>
                        <m:ctrlPr>
                          <a:rPr lang="es-CO" sz="1100" b="1" i="1">
                            <a:solidFill>
                              <a:schemeClr val="bg1"/>
                            </a:solidFill>
                            <a:latin typeface="Cambria Math" panose="02040503050406030204" pitchFamily="18" charset="0"/>
                            <a:cs typeface="Times New Roman" panose="02020603050405020304" pitchFamily="18" charset="0"/>
                          </a:rPr>
                        </m:ctrlPr>
                      </m:sSubPr>
                      <m:e>
                        <m:r>
                          <m:rPr>
                            <m:nor/>
                          </m:rPr>
                          <a:rPr lang="es-CO" sz="1100" b="1" i="1">
                            <a:solidFill>
                              <a:schemeClr val="bg1"/>
                            </a:solidFill>
                            <a:effectLst/>
                            <a:latin typeface="+mn-lt"/>
                            <a:ea typeface="+mn-ea"/>
                            <a:cs typeface="+mn-cs"/>
                          </a:rPr>
                          <m:t>s</m:t>
                        </m:r>
                        <m:r>
                          <m:rPr>
                            <m:nor/>
                          </m:rPr>
                          <a:rPr lang="es-CO" sz="1100" b="1" i="1">
                            <a:solidFill>
                              <a:schemeClr val="bg1"/>
                            </a:solidFill>
                            <a:effectLst/>
                            <a:latin typeface="+mn-lt"/>
                            <a:ea typeface="+mn-ea"/>
                            <a:cs typeface="+mn-cs"/>
                          </a:rPr>
                          <m:t>  </m:t>
                        </m:r>
                        <m:r>
                          <m:rPr>
                            <m:nor/>
                          </m:rPr>
                          <a:rPr lang="es-CO" sz="1100" b="1" i="1">
                            <a:solidFill>
                              <a:schemeClr val="bg1"/>
                            </a:solidFill>
                            <a:effectLst/>
                            <a:latin typeface="+mn-lt"/>
                            <a:ea typeface="+mn-ea"/>
                            <a:cs typeface="+mn-cs"/>
                          </a:rPr>
                          <m:t>D</m:t>
                        </m:r>
                      </m:e>
                      <m:sub>
                        <m:r>
                          <a:rPr lang="es-CO" sz="1100" b="1" i="1">
                            <a:solidFill>
                              <a:schemeClr val="bg1"/>
                            </a:solidFill>
                            <a:latin typeface="Cambria Math" panose="02040503050406030204" pitchFamily="18" charset="0"/>
                            <a:cs typeface="Times New Roman" panose="02020603050405020304" pitchFamily="18" charset="0"/>
                          </a:rPr>
                          <m:t>𝒑𝒓𝒐𝒎</m:t>
                        </m:r>
                      </m:sub>
                    </m:sSub>
                  </m:oMath>
                </m:oMathPara>
              </a14:m>
              <a:endParaRPr lang="es-CO" sz="1100" b="1" i="1">
                <a:solidFill>
                  <a:schemeClr val="bg1"/>
                </a:solidFill>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a16="http://schemas.microsoft.com/office/drawing/2014/main" id="{00000000-0008-0000-04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s-CO" sz="1100" b="1" i="0">
                  <a:solidFill>
                    <a:schemeClr val="bg1"/>
                  </a:solidFill>
                  <a:latin typeface="Cambria Math" panose="02040503050406030204" pitchFamily="18" charset="0"/>
                  <a:cs typeface="Times New Roman" panose="02020603050405020304" pitchFamily="18" charset="0"/>
                </a:rPr>
                <a:t>〖</a:t>
              </a:r>
              <a:r>
                <a:rPr lang="es-CO" sz="1100" b="1" i="0">
                  <a:solidFill>
                    <a:schemeClr val="bg1"/>
                  </a:solidFill>
                  <a:effectLst/>
                  <a:latin typeface="+mn-lt"/>
                  <a:ea typeface="+mn-ea"/>
                  <a:cs typeface="+mn-cs"/>
                </a:rPr>
                <a:t>"s  D</a:t>
              </a:r>
              <a:r>
                <a:rPr lang="es-CO" sz="1100" b="1" i="0">
                  <a:solidFill>
                    <a:schemeClr val="bg1"/>
                  </a:solidFill>
                  <a:effectLst/>
                  <a:latin typeface="Cambria Math" panose="02040503050406030204" pitchFamily="18" charset="0"/>
                  <a:ea typeface="+mn-ea"/>
                  <a:cs typeface="+mn-cs"/>
                </a:rPr>
                <a:t>" 〗_</a:t>
              </a:r>
              <a:r>
                <a:rPr lang="es-CO" sz="1100" b="1" i="0">
                  <a:solidFill>
                    <a:schemeClr val="bg1"/>
                  </a:solidFill>
                  <a:latin typeface="Cambria Math" panose="02040503050406030204" pitchFamily="18" charset="0"/>
                  <a:cs typeface="Times New Roman" panose="02020603050405020304" pitchFamily="18" charset="0"/>
                </a:rPr>
                <a:t>𝒑𝒓𝒐𝒎</a:t>
              </a:r>
              <a:endParaRPr lang="es-CO" sz="1100" b="1" i="1">
                <a:solidFill>
                  <a:schemeClr val="bg1"/>
                </a:solidFill>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xdr:col>
      <xdr:colOff>275905</xdr:colOff>
      <xdr:row>31</xdr:row>
      <xdr:rowOff>95250</xdr:rowOff>
    </xdr:from>
    <xdr:ext cx="2540773" cy="284693"/>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400-000010000000}"/>
                </a:ext>
              </a:extLst>
            </xdr:cNvPr>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1100" i="1">
                          <a:latin typeface="Cambria Math" panose="02040503050406030204" pitchFamily="18" charset="0"/>
                        </a:rPr>
                      </m:ctrlPr>
                    </m:sSupPr>
                    <m:e>
                      <m:r>
                        <m:rPr>
                          <m:nor/>
                        </m:rPr>
                        <a:rPr lang="es-CO" sz="1100">
                          <a:solidFill>
                            <a:schemeClr val="tx1"/>
                          </a:solidFill>
                          <a:effectLst/>
                          <a:latin typeface="+mn-lt"/>
                          <a:ea typeface="+mn-ea"/>
                          <a:cs typeface="+mn-cs"/>
                        </a:rPr>
                        <m:t>(</m:t>
                      </m:r>
                      <m:f>
                        <m:fPr>
                          <m:ctrlPr>
                            <a:rPr lang="es-CO" sz="1100" b="1" i="1">
                              <a:solidFill>
                                <a:schemeClr val="tx1"/>
                              </a:solidFill>
                              <a:effectLst/>
                              <a:latin typeface="Cambria Math" panose="02040503050406030204" pitchFamily="18" charset="0"/>
                              <a:ea typeface="+mn-ea"/>
                              <a:cs typeface="+mn-cs"/>
                            </a:rPr>
                          </m:ctrlPr>
                        </m:fPr>
                        <m:num>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𝑴𝒂𝒙</m:t>
                              </m:r>
                            </m:sub>
                          </m:sSub>
                          <m:r>
                            <a:rPr lang="es-CO" sz="1100" b="1" i="1">
                              <a:solidFill>
                                <a:schemeClr val="tx1"/>
                              </a:solidFill>
                              <a:effectLst/>
                              <a:latin typeface="Cambria Math" panose="02040503050406030204" pitchFamily="18" charset="0"/>
                              <a:ea typeface="+mn-ea"/>
                              <a:cs typeface="+mn-cs"/>
                            </a:rPr>
                            <m:t> − </m:t>
                          </m:r>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𝑴𝒊𝒏</m:t>
                              </m:r>
                            </m:sub>
                          </m:sSub>
                        </m:num>
                        <m:den>
                          <m:rad>
                            <m:radPr>
                              <m:degHide m:val="on"/>
                              <m:ctrlPr>
                                <a:rPr lang="es-CO" sz="1100" b="1" i="1">
                                  <a:solidFill>
                                    <a:schemeClr val="tx1"/>
                                  </a:solidFill>
                                  <a:effectLst/>
                                  <a:latin typeface="Cambria Math" panose="02040503050406030204" pitchFamily="18" charset="0"/>
                                  <a:ea typeface="+mn-ea"/>
                                  <a:cs typeface="+mn-cs"/>
                                </a:rPr>
                              </m:ctrlPr>
                            </m:radPr>
                            <m:deg/>
                            <m:e>
                              <m:r>
                                <a:rPr lang="es-CO" sz="1100" b="1" i="1">
                                  <a:solidFill>
                                    <a:schemeClr val="tx1"/>
                                  </a:solidFill>
                                  <a:effectLst/>
                                  <a:latin typeface="Cambria Math" panose="02040503050406030204" pitchFamily="18" charset="0"/>
                                  <a:ea typeface="+mn-ea"/>
                                  <a:cs typeface="+mn-cs"/>
                                </a:rPr>
                                <m:t>𝟏𝟐</m:t>
                              </m:r>
                            </m:e>
                          </m:rad>
                        </m:den>
                      </m:f>
                      <m:r>
                        <m:rPr>
                          <m:nor/>
                        </m:rPr>
                        <a:rPr lang="es-CO" sz="1100" b="1">
                          <a:solidFill>
                            <a:schemeClr val="tx1"/>
                          </a:solidFill>
                          <a:effectLst/>
                          <a:latin typeface="+mn-lt"/>
                          <a:ea typeface="+mn-ea"/>
                          <a:cs typeface="+mn-cs"/>
                        </a:rPr>
                        <m:t>)</m:t>
                      </m:r>
                      <m:r>
                        <m:rPr>
                          <m:nor/>
                        </m:rPr>
                        <a:rPr lang="es-CO" sz="1100" b="1">
                          <a:effectLst/>
                        </a:rPr>
                        <m:t> </m:t>
                      </m:r>
                    </m:e>
                    <m:sup>
                      <m:r>
                        <a:rPr lang="es-CO" sz="1100" b="0" i="1">
                          <a:latin typeface="Cambria Math" panose="02040503050406030204" pitchFamily="18" charset="0"/>
                        </a:rPr>
                        <m:t>2</m:t>
                      </m:r>
                    </m:sup>
                  </m:sSup>
                </m:oMath>
              </a14:m>
              <a:endParaRPr lang="es-CO" sz="1100"/>
            </a:p>
          </xdr:txBody>
        </xdr:sp>
      </mc:Choice>
      <mc:Fallback xmlns="">
        <xdr:sp macro="" textlink="">
          <xdr:nvSpPr>
            <xdr:cNvPr id="16" name="CuadroTexto 15"/>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1100" i="0">
                  <a:latin typeface="Cambria Math" panose="02040503050406030204" pitchFamily="18" charset="0"/>
                </a:rPr>
                <a:t>〖</a:t>
              </a:r>
              <a:r>
                <a:rPr lang="es-CO" sz="1100" i="0">
                  <a:solidFill>
                    <a:schemeClr val="tx1"/>
                  </a:solidFill>
                  <a:effectLst/>
                  <a:latin typeface="+mn-lt"/>
                  <a:ea typeface="+mn-ea"/>
                  <a:cs typeface="+mn-cs"/>
                </a:rPr>
                <a:t>"(</a:t>
              </a:r>
              <a:r>
                <a:rPr lang="es-CO" sz="1100" b="1" i="0">
                  <a:solidFill>
                    <a:schemeClr val="tx1"/>
                  </a:solidFill>
                  <a:effectLst/>
                  <a:latin typeface="Cambria Math" panose="02040503050406030204" pitchFamily="18" charset="0"/>
                  <a:ea typeface="+mn-ea"/>
                  <a:cs typeface="+mn-cs"/>
                </a:rPr>
                <a:t>"  (𝑬_𝑴𝒂𝒙  − 𝑬_𝑴𝒊𝒏)/√𝟏𝟐</a:t>
              </a:r>
              <a:r>
                <a:rPr lang="es-CO" sz="1100" b="1" i="0">
                  <a:solidFill>
                    <a:schemeClr val="tx1"/>
                  </a:solidFill>
                  <a:effectLst/>
                  <a:latin typeface="+mn-lt"/>
                  <a:ea typeface="+mn-ea"/>
                  <a:cs typeface="+mn-cs"/>
                </a:rPr>
                <a:t> ")</a:t>
              </a:r>
              <a:r>
                <a:rPr lang="es-CO" sz="1100" b="1" i="0">
                  <a:effectLst/>
                </a:rPr>
                <a:t> </a:t>
              </a:r>
              <a:r>
                <a:rPr lang="es-CO" sz="1100" b="1" i="0">
                  <a:effectLst/>
                  <a:latin typeface="Cambria Math" panose="02040503050406030204" pitchFamily="18" charset="0"/>
                </a:rPr>
                <a:t>" 〗^</a:t>
              </a:r>
              <a:r>
                <a:rPr lang="es-CO" sz="1100" b="0" i="0">
                  <a:latin typeface="Cambria Math" panose="02040503050406030204" pitchFamily="18" charset="0"/>
                </a:rPr>
                <a:t>2</a:t>
              </a:r>
              <a:endParaRPr lang="es-CO" sz="1100"/>
            </a:p>
          </xdr:txBody>
        </xdr:sp>
      </mc:Fallback>
    </mc:AlternateContent>
    <xdr:clientData/>
  </xdr:oneCellAnchor>
  <xdr:oneCellAnchor>
    <xdr:from>
      <xdr:col>21</xdr:col>
      <xdr:colOff>191239</xdr:colOff>
      <xdr:row>18</xdr:row>
      <xdr:rowOff>85618</xdr:rowOff>
    </xdr:from>
    <xdr:ext cx="525812" cy="172227"/>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solidFill>
                          <a:schemeClr val="bg1"/>
                        </a:solidFill>
                        <a:effectLst/>
                        <a:latin typeface="Cambria Math" panose="02040503050406030204" pitchFamily="18" charset="0"/>
                        <a:ea typeface="+mn-ea"/>
                        <a:cs typeface="+mn-cs"/>
                      </a:rPr>
                      <m:t>∆</m:t>
                    </m:r>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𝑴𝒂𝒙</m:t>
                        </m:r>
                      </m:sub>
                    </m:sSub>
                  </m:oMath>
                </m:oMathPara>
              </a14:m>
              <a:endParaRPr lang="es-CO" sz="1100">
                <a:solidFill>
                  <a:schemeClr val="bg1"/>
                </a:solidFill>
              </a:endParaRPr>
            </a:p>
          </xdr:txBody>
        </xdr:sp>
      </mc:Choice>
      <mc:Fallback xmlns="">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effectLst/>
                  <a:latin typeface="Cambria Math" panose="02040503050406030204" pitchFamily="18" charset="0"/>
                  <a:ea typeface="+mn-ea"/>
                  <a:cs typeface="+mn-cs"/>
                </a:rPr>
                <a:t>∆𝑽_𝑴𝒂𝒙</a:t>
              </a:r>
              <a:endParaRPr lang="es-CO" sz="1100">
                <a:solidFill>
                  <a:schemeClr val="bg1"/>
                </a:solidFill>
              </a:endParaRPr>
            </a:p>
          </xdr:txBody>
        </xdr:sp>
      </mc:Fallback>
    </mc:AlternateContent>
    <xdr:clientData/>
  </xdr:oneCellAnchor>
  <xdr:oneCellAnchor>
    <xdr:from>
      <xdr:col>21</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21</xdr:col>
      <xdr:colOff>197261</xdr:colOff>
      <xdr:row>19</xdr:row>
      <xdr:rowOff>64214</xdr:rowOff>
    </xdr:from>
    <xdr:ext cx="487684" cy="22627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4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0" i="1">
                        <a:solidFill>
                          <a:schemeClr val="bg1"/>
                        </a:solidFill>
                        <a:effectLst/>
                        <a:latin typeface="Cambria Math" panose="02040503050406030204" pitchFamily="18" charset="0"/>
                        <a:ea typeface="+mn-ea"/>
                        <a:cs typeface="+mn-cs"/>
                      </a:rPr>
                      <m:t>∆</m:t>
                    </m:r>
                    <m:sSub>
                      <m:sSubPr>
                        <m:ctrlPr>
                          <a:rPr lang="es-CO" sz="1100" b="0" i="1">
                            <a:solidFill>
                              <a:schemeClr val="bg1"/>
                            </a:solidFill>
                            <a:effectLst/>
                            <a:latin typeface="Cambria Math" panose="02040503050406030204" pitchFamily="18" charset="0"/>
                            <a:ea typeface="+mn-ea"/>
                            <a:cs typeface="+mn-cs"/>
                          </a:rPr>
                        </m:ctrlPr>
                      </m:sSubPr>
                      <m:e>
                        <m:r>
                          <a:rPr lang="es-CO" sz="1100" b="0" i="1">
                            <a:solidFill>
                              <a:schemeClr val="bg1"/>
                            </a:solidFill>
                            <a:effectLst/>
                            <a:latin typeface="Cambria Math" panose="02040503050406030204" pitchFamily="18" charset="0"/>
                            <a:ea typeface="+mn-ea"/>
                            <a:cs typeface="+mn-cs"/>
                          </a:rPr>
                          <m:t>𝑉</m:t>
                        </m:r>
                      </m:e>
                      <m:sub>
                        <m:r>
                          <a:rPr lang="es-CO" sz="1100" b="0" i="1">
                            <a:solidFill>
                              <a:schemeClr val="bg1"/>
                            </a:solidFill>
                            <a:effectLst/>
                            <a:latin typeface="Cambria Math" panose="02040503050406030204" pitchFamily="18" charset="0"/>
                            <a:ea typeface="+mn-ea"/>
                            <a:cs typeface="+mn-cs"/>
                          </a:rPr>
                          <m:t>𝑀𝑖𝑛</m:t>
                        </m:r>
                      </m:sub>
                    </m:sSub>
                  </m:oMath>
                </m:oMathPara>
              </a14:m>
              <a:endParaRPr lang="es-CO" sz="1100" b="0">
                <a:solidFill>
                  <a:schemeClr val="bg1"/>
                </a:solidFill>
              </a:endParaRPr>
            </a:p>
          </xdr:txBody>
        </xdr:sp>
      </mc:Choice>
      <mc:Fallback xmlns="">
        <xdr:sp macro="" textlink="">
          <xdr:nvSpPr>
            <xdr:cNvPr id="24" name="CuadroTexto 23">
              <a:extLst>
                <a:ext uri="{FF2B5EF4-FFF2-40B4-BE49-F238E27FC236}">
                  <a16:creationId xmlns:a16="http://schemas.microsoft.com/office/drawing/2014/main" id="{00000000-0008-0000-04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0" i="0">
                  <a:solidFill>
                    <a:schemeClr val="bg1"/>
                  </a:solidFill>
                  <a:effectLst/>
                  <a:latin typeface="Cambria Math" panose="02040503050406030204" pitchFamily="18" charset="0"/>
                  <a:ea typeface="+mn-ea"/>
                  <a:cs typeface="+mn-cs"/>
                </a:rPr>
                <a:t>∆𝑉_𝑀𝑖𝑛</a:t>
              </a:r>
              <a:endParaRPr lang="es-CO" sz="1100" b="0">
                <a:solidFill>
                  <a:schemeClr val="bg1"/>
                </a:solidFill>
              </a:endParaRPr>
            </a:p>
          </xdr:txBody>
        </xdr:sp>
      </mc:Fallback>
    </mc:AlternateContent>
    <xdr:clientData/>
  </xdr:oneCellAnchor>
  <xdr:oneCellAnchor>
    <xdr:from>
      <xdr:col>2</xdr:col>
      <xdr:colOff>269421</xdr:colOff>
      <xdr:row>44</xdr:row>
      <xdr:rowOff>299357</xdr:rowOff>
    </xdr:from>
    <xdr:ext cx="900793" cy="172227"/>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400-000019000000}"/>
                </a:ext>
              </a:extLst>
            </xdr:cNvPr>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𝒎𝒂𝒙</m:t>
                        </m:r>
                      </m:sub>
                    </m:sSub>
                  </m:oMath>
                </m:oMathPara>
              </a14:m>
              <a:endParaRPr lang="es-CO" sz="1100" b="1"/>
            </a:p>
          </xdr:txBody>
        </xdr:sp>
      </mc:Choice>
      <mc:Fallback xmlns="">
        <xdr:sp macro="" textlink="">
          <xdr:nvSpPr>
            <xdr:cNvPr id="25" name="CuadroTexto 24"/>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𝒎𝒂𝒙</a:t>
              </a:r>
              <a:endParaRPr lang="es-CO" sz="1100" b="1"/>
            </a:p>
          </xdr:txBody>
        </xdr:sp>
      </mc:Fallback>
    </mc:AlternateContent>
    <xdr:clientData/>
  </xdr:oneCellAnchor>
  <xdr:oneCellAnchor>
    <xdr:from>
      <xdr:col>2</xdr:col>
      <xdr:colOff>408644</xdr:colOff>
      <xdr:row>46</xdr:row>
      <xdr:rowOff>257176</xdr:rowOff>
    </xdr:from>
    <xdr:ext cx="465320" cy="172227"/>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4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𝒊𝒏𝒉𝒐</m:t>
                        </m:r>
                        <m:r>
                          <a:rPr lang="es-CO" sz="1100" b="1" i="1">
                            <a:latin typeface="Cambria Math" panose="02040503050406030204" pitchFamily="18" charset="0"/>
                            <a:ea typeface="Cambria Math" panose="02040503050406030204" pitchFamily="18" charset="0"/>
                          </a:rPr>
                          <m:t> </m:t>
                        </m:r>
                      </m:sub>
                    </m:sSub>
                  </m:oMath>
                </m:oMathPara>
              </a14:m>
              <a:endParaRPr lang="es-CO" sz="1100" b="1"/>
            </a:p>
          </xdr:txBody>
        </xdr:sp>
      </mc:Choice>
      <mc:Fallback xmlns="">
        <xdr:sp macro="" textlink="">
          <xdr:nvSpPr>
            <xdr:cNvPr id="27" name="CuadroTexto 26">
              <a:extLst>
                <a:ext uri="{FF2B5EF4-FFF2-40B4-BE49-F238E27FC236}">
                  <a16:creationId xmlns:a16="http://schemas.microsoft.com/office/drawing/2014/main" id="{00000000-0008-0000-04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𝒊𝒏𝒉𝒐 )</a:t>
              </a:r>
              <a:endParaRPr lang="es-CO" sz="1100" b="1"/>
            </a:p>
          </xdr:txBody>
        </xdr:sp>
      </mc:Fallback>
    </mc:AlternateContent>
    <xdr:clientData/>
  </xdr:oneCellAnchor>
  <xdr:oneCellAnchor>
    <xdr:from>
      <xdr:col>1</xdr:col>
      <xdr:colOff>401984</xdr:colOff>
      <xdr:row>47</xdr:row>
      <xdr:rowOff>165505</xdr:rowOff>
    </xdr:from>
    <xdr:ext cx="1635291" cy="32579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4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right"/>
                  </m:oMathParaPr>
                  <m:oMath xmlns:m="http://schemas.openxmlformats.org/officeDocument/2006/math">
                    <m:r>
                      <a:rPr lang="es-CO" sz="1000" b="1" i="1">
                        <a:latin typeface="Cambria Math" panose="02040503050406030204" pitchFamily="18" charset="0"/>
                      </a:rPr>
                      <m:t>𝒖</m:t>
                    </m:r>
                    <m:d>
                      <m:dPr>
                        <m:ctrlPr>
                          <a:rPr lang="es-CO" sz="1000" b="1" i="1">
                            <a:latin typeface="Cambria Math" panose="02040503050406030204" pitchFamily="18" charset="0"/>
                          </a:rPr>
                        </m:ctrlPr>
                      </m:dPr>
                      <m:e>
                        <m:sSub>
                          <m:sSubPr>
                            <m:ctrlPr>
                              <a:rPr lang="es-CO" sz="1000" b="1" i="1">
                                <a:latin typeface="Cambria Math" panose="02040503050406030204" pitchFamily="18" charset="0"/>
                              </a:rPr>
                            </m:ctrlPr>
                          </m:sSubPr>
                          <m:e>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𝑫</m:t>
                            </m:r>
                          </m:e>
                          <m:sub>
                            <m:r>
                              <a:rPr lang="es-CO" sz="1000" b="1" i="1">
                                <a:latin typeface="Cambria Math" panose="02040503050406030204" pitchFamily="18" charset="0"/>
                              </a:rPr>
                              <m:t>𝒎𝒆𝒕</m:t>
                            </m:r>
                          </m:sub>
                        </m:sSub>
                        <m:r>
                          <a:rPr lang="es-CO" sz="1000" b="1" i="1">
                            <a:latin typeface="Cambria Math" panose="02040503050406030204" pitchFamily="18" charset="0"/>
                          </a:rPr>
                          <m:t> </m:t>
                        </m:r>
                      </m:e>
                    </m:d>
                    <m:r>
                      <a:rPr lang="es-CO" sz="1000" b="1" i="1">
                        <a:latin typeface="Cambria Math" panose="02040503050406030204" pitchFamily="18" charset="0"/>
                      </a:rPr>
                      <m:t>=</m:t>
                    </m:r>
                    <m:f>
                      <m:fPr>
                        <m:ctrlPr>
                          <a:rPr lang="es-CO" sz="1000" b="1" i="1">
                            <a:latin typeface="Cambria Math" panose="02040503050406030204" pitchFamily="18" charset="0"/>
                          </a:rPr>
                        </m:ctrlPr>
                      </m:fPr>
                      <m:num>
                        <m:r>
                          <a:rPr lang="es-CO" sz="1000" b="1" i="1">
                            <a:latin typeface="Cambria Math" panose="02040503050406030204" pitchFamily="18" charset="0"/>
                          </a:rPr>
                          <m:t>𝒔</m:t>
                        </m:r>
                        <m:r>
                          <a:rPr lang="es-CO" sz="1000" b="1" i="1">
                            <a:latin typeface="Cambria Math" panose="02040503050406030204" pitchFamily="18" charset="0"/>
                          </a:rPr>
                          <m:t>(</m:t>
                        </m:r>
                        <m:sSub>
                          <m:sSubPr>
                            <m:ctrlPr>
                              <a:rPr lang="es-CO" sz="1000" b="1" i="1">
                                <a:latin typeface="Cambria Math" panose="02040503050406030204" pitchFamily="18" charset="0"/>
                              </a:rPr>
                            </m:ctrlPr>
                          </m:sSubPr>
                          <m:e>
                            <m:r>
                              <a:rPr lang="es-CO" sz="1000" b="1" i="1">
                                <a:latin typeface="Cambria Math" panose="02040503050406030204" pitchFamily="18" charset="0"/>
                              </a:rPr>
                              <m:t>𝑫</m:t>
                            </m:r>
                          </m:e>
                          <m:sub>
                            <m:r>
                              <a:rPr lang="es-CO" sz="1000" b="1" i="1">
                                <a:latin typeface="Cambria Math" panose="02040503050406030204" pitchFamily="18" charset="0"/>
                              </a:rPr>
                              <m:t>𝒑𝒓𝒐𝒎</m:t>
                            </m:r>
                          </m:sub>
                        </m:sSub>
                      </m:num>
                      <m:den>
                        <m:rad>
                          <m:radPr>
                            <m:degHide m:val="on"/>
                            <m:ctrlPr>
                              <a:rPr lang="es-CO" sz="1000" b="1" i="1">
                                <a:latin typeface="Cambria Math" panose="02040503050406030204" pitchFamily="18" charset="0"/>
                              </a:rPr>
                            </m:ctrlPr>
                          </m:radPr>
                          <m:deg/>
                          <m:e>
                            <m:r>
                              <a:rPr lang="es-CO" sz="1000" b="1" i="1">
                                <a:latin typeface="Cambria Math" panose="02040503050406030204" pitchFamily="18" charset="0"/>
                              </a:rPr>
                              <m:t>𝑵</m:t>
                            </m:r>
                          </m:e>
                        </m:rad>
                      </m:den>
                    </m:f>
                  </m:oMath>
                </m:oMathPara>
              </a14:m>
              <a:endParaRPr lang="es-CO" sz="1000" b="1" i="1" baseline="-25000"/>
            </a:p>
          </xdr:txBody>
        </xdr:sp>
      </mc:Choice>
      <mc:Fallback xmlns="">
        <xdr:sp macro="" textlink="">
          <xdr:nvSpPr>
            <xdr:cNvPr id="28" name="CuadroTexto 27">
              <a:extLst>
                <a:ext uri="{FF2B5EF4-FFF2-40B4-BE49-F238E27FC236}">
                  <a16:creationId xmlns:a16="http://schemas.microsoft.com/office/drawing/2014/main" id="{00000000-0008-0000-04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000" b="1" i="0">
                  <a:latin typeface="Cambria Math" panose="02040503050406030204" pitchFamily="18" charset="0"/>
                </a:rPr>
                <a:t>𝒖(〖</a:t>
              </a:r>
              <a:r>
                <a:rPr lang="es-CO" sz="1000" b="1" i="0">
                  <a:solidFill>
                    <a:schemeClr val="tx1"/>
                  </a:solidFill>
                  <a:effectLst/>
                  <a:latin typeface="Cambria Math" panose="02040503050406030204" pitchFamily="18" charset="0"/>
                  <a:ea typeface="+mn-ea"/>
                  <a:cs typeface="+mn-cs"/>
                </a:rPr>
                <a:t>∆𝑫〗_</a:t>
              </a:r>
              <a:r>
                <a:rPr lang="es-CO" sz="1000" b="1" i="0">
                  <a:latin typeface="Cambria Math" panose="02040503050406030204" pitchFamily="18" charset="0"/>
                </a:rPr>
                <a:t>𝒎𝒆𝒕  )=(𝒔(𝑫_𝒑𝒓𝒐𝒎)/√𝑵</a:t>
              </a:r>
              <a:endParaRPr lang="es-CO" sz="1000" b="1" i="1" baseline="-25000"/>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400-00001D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29" name="CuadroTexto 28"/>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oneCellAnchor>
    <xdr:from>
      <xdr:col>13</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37" name="CuadroTexto 36">
              <a:extLst>
                <a:ext uri="{FF2B5EF4-FFF2-40B4-BE49-F238E27FC236}">
                  <a16:creationId xmlns:a16="http://schemas.microsoft.com/office/drawing/2014/main" id="{00000000-0008-0000-04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37" name="CuadroTexto 36">
              <a:extLst>
                <a:ext uri="{FF2B5EF4-FFF2-40B4-BE49-F238E27FC236}">
                  <a16:creationId xmlns:a16="http://schemas.microsoft.com/office/drawing/2014/main" id="{00000000-0008-0000-04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12</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4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38" name="CuadroTexto 37">
              <a:extLst>
                <a:ext uri="{FF2B5EF4-FFF2-40B4-BE49-F238E27FC236}">
                  <a16:creationId xmlns:a16="http://schemas.microsoft.com/office/drawing/2014/main" id="{00000000-0008-0000-04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2</xdr:col>
      <xdr:colOff>262756</xdr:colOff>
      <xdr:row>33</xdr:row>
      <xdr:rowOff>122976</xdr:rowOff>
    </xdr:from>
    <xdr:ext cx="2023243" cy="250518"/>
    <mc:AlternateContent xmlns:mc="http://schemas.openxmlformats.org/markup-compatibility/2006" xmlns:a14="http://schemas.microsoft.com/office/drawing/2010/main">
      <mc:Choice Requires="a14">
        <xdr:sp macro="" textlink="">
          <xdr:nvSpPr>
            <xdr:cNvPr id="44" name="CuadroTexto 43">
              <a:extLst>
                <a:ext uri="{FF2B5EF4-FFF2-40B4-BE49-F238E27FC236}">
                  <a16:creationId xmlns:a16="http://schemas.microsoft.com/office/drawing/2014/main" id="{00000000-0008-0000-0400-00002C000000}"/>
                </a:ext>
              </a:extLst>
            </xdr:cNvPr>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800" b="1" i="1">
                          <a:latin typeface="Cambria Math" panose="02040503050406030204" pitchFamily="18" charset="0"/>
                        </a:rPr>
                      </m:ctrlPr>
                    </m:sSupPr>
                    <m:e>
                      <m:r>
                        <m:rPr>
                          <m:nor/>
                        </m:rPr>
                        <a:rPr lang="es-CO" sz="800" b="1">
                          <a:solidFill>
                            <a:schemeClr val="tx1"/>
                          </a:solidFill>
                          <a:effectLst/>
                          <a:latin typeface="+mn-lt"/>
                          <a:ea typeface="+mn-ea"/>
                          <a:cs typeface="+mn-cs"/>
                        </a:rPr>
                        <m:t>(</m:t>
                      </m:r>
                      <m:f>
                        <m:fPr>
                          <m:ctrlPr>
                            <a:rPr lang="es-CO" sz="800" b="1" i="1">
                              <a:solidFill>
                                <a:schemeClr val="tx1"/>
                              </a:solidFill>
                              <a:effectLst/>
                              <a:latin typeface="Cambria Math" panose="02040503050406030204" pitchFamily="18" charset="0"/>
                              <a:ea typeface="+mn-ea"/>
                              <a:cs typeface="+mn-cs"/>
                            </a:rPr>
                          </m:ctrlPr>
                        </m:fPr>
                        <m:num>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𝑴𝒂𝒙</m:t>
                              </m:r>
                            </m:sub>
                          </m:sSub>
                          <m:r>
                            <a:rPr lang="es-CO" sz="800" b="1" i="1">
                              <a:solidFill>
                                <a:schemeClr val="tx1"/>
                              </a:solidFill>
                              <a:effectLst/>
                              <a:latin typeface="Cambria Math" panose="02040503050406030204" pitchFamily="18" charset="0"/>
                              <a:ea typeface="+mn-ea"/>
                              <a:cs typeface="+mn-cs"/>
                            </a:rPr>
                            <m:t> − </m:t>
                          </m:r>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𝑴𝒊𝒏</m:t>
                              </m:r>
                            </m:sub>
                          </m:sSub>
                        </m:num>
                        <m:den>
                          <m:rad>
                            <m:radPr>
                              <m:degHide m:val="on"/>
                              <m:ctrlPr>
                                <a:rPr lang="es-CO" sz="800" b="1" i="1">
                                  <a:solidFill>
                                    <a:schemeClr val="tx1"/>
                                  </a:solidFill>
                                  <a:effectLst/>
                                  <a:latin typeface="Cambria Math" panose="02040503050406030204" pitchFamily="18" charset="0"/>
                                  <a:ea typeface="+mn-ea"/>
                                  <a:cs typeface="+mn-cs"/>
                                </a:rPr>
                              </m:ctrlPr>
                            </m:radPr>
                            <m:deg/>
                            <m:e>
                              <m:r>
                                <a:rPr lang="es-CO" sz="800" b="1" i="1">
                                  <a:solidFill>
                                    <a:schemeClr val="tx1"/>
                                  </a:solidFill>
                                  <a:effectLst/>
                                  <a:latin typeface="Cambria Math" panose="02040503050406030204" pitchFamily="18" charset="0"/>
                                  <a:ea typeface="+mn-ea"/>
                                  <a:cs typeface="+mn-cs"/>
                                </a:rPr>
                                <m:t>𝟏𝟐</m:t>
                              </m:r>
                            </m:e>
                          </m:rad>
                        </m:den>
                      </m:f>
                      <m:r>
                        <m:rPr>
                          <m:nor/>
                        </m:rPr>
                        <a:rPr lang="es-CO" sz="800" b="1">
                          <a:solidFill>
                            <a:schemeClr val="tx1"/>
                          </a:solidFill>
                          <a:effectLst/>
                          <a:latin typeface="+mn-lt"/>
                          <a:ea typeface="+mn-ea"/>
                          <a:cs typeface="+mn-cs"/>
                        </a:rPr>
                        <m:t>)</m:t>
                      </m:r>
                      <m:r>
                        <m:rPr>
                          <m:nor/>
                        </m:rPr>
                        <a:rPr lang="es-CO" sz="800" b="1">
                          <a:effectLst/>
                        </a:rPr>
                        <m:t> </m:t>
                      </m:r>
                    </m:e>
                    <m:sup>
                      <m:r>
                        <a:rPr lang="es-CO" sz="800" b="1" i="1">
                          <a:latin typeface="Cambria Math" panose="02040503050406030204" pitchFamily="18" charset="0"/>
                        </a:rPr>
                        <m:t>𝟐</m:t>
                      </m:r>
                    </m:sup>
                  </m:sSup>
                </m:oMath>
              </a14:m>
              <a:endParaRPr lang="es-CO" sz="800" b="1"/>
            </a:p>
          </xdr:txBody>
        </xdr:sp>
      </mc:Choice>
      <mc:Fallback xmlns="">
        <xdr:sp macro="" textlink="">
          <xdr:nvSpPr>
            <xdr:cNvPr id="44" name="CuadroTexto 43"/>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800" b="1" i="0">
                  <a:latin typeface="Cambria Math" panose="02040503050406030204" pitchFamily="18" charset="0"/>
                </a:rPr>
                <a:t>〖</a:t>
              </a:r>
              <a:r>
                <a:rPr lang="es-CO" sz="800" b="1" i="0">
                  <a:solidFill>
                    <a:schemeClr val="tx1"/>
                  </a:solidFill>
                  <a:effectLst/>
                  <a:latin typeface="+mn-lt"/>
                  <a:ea typeface="+mn-ea"/>
                  <a:cs typeface="+mn-cs"/>
                </a:rPr>
                <a:t>"(</a:t>
              </a:r>
              <a:r>
                <a:rPr lang="es-CO" sz="800" b="1" i="0">
                  <a:solidFill>
                    <a:schemeClr val="tx1"/>
                  </a:solidFill>
                  <a:effectLst/>
                  <a:latin typeface="Cambria Math" panose="02040503050406030204" pitchFamily="18" charset="0"/>
                  <a:ea typeface="+mn-ea"/>
                  <a:cs typeface="+mn-cs"/>
                </a:rPr>
                <a:t>"  (𝑬_𝑴𝒂𝒙  − 𝑬_𝑴𝒊𝒏)/√𝟏𝟐</a:t>
              </a:r>
              <a:r>
                <a:rPr lang="es-CO" sz="800" b="1" i="0">
                  <a:solidFill>
                    <a:schemeClr val="tx1"/>
                  </a:solidFill>
                  <a:effectLst/>
                  <a:latin typeface="+mn-lt"/>
                  <a:ea typeface="+mn-ea"/>
                  <a:cs typeface="+mn-cs"/>
                </a:rPr>
                <a:t> ")</a:t>
              </a:r>
              <a:r>
                <a:rPr lang="es-CO" sz="800" b="1" i="0">
                  <a:effectLst/>
                </a:rPr>
                <a:t> </a:t>
              </a:r>
              <a:r>
                <a:rPr lang="es-CO" sz="800" b="1" i="0">
                  <a:effectLst/>
                  <a:latin typeface="Cambria Math" panose="02040503050406030204" pitchFamily="18" charset="0"/>
                </a:rPr>
                <a:t>" 〗^</a:t>
              </a:r>
              <a:r>
                <a:rPr lang="es-CO" sz="800" b="1" i="0">
                  <a:latin typeface="Cambria Math" panose="02040503050406030204" pitchFamily="18" charset="0"/>
                </a:rPr>
                <a:t>𝟐</a:t>
              </a:r>
              <a:endParaRPr lang="es-CO" sz="800" b="1"/>
            </a:p>
          </xdr:txBody>
        </xdr:sp>
      </mc:Fallback>
    </mc:AlternateContent>
    <xdr:clientData/>
  </xdr:oneCellAnchor>
  <xdr:oneCellAnchor>
    <xdr:from>
      <xdr:col>2</xdr:col>
      <xdr:colOff>404197</xdr:colOff>
      <xdr:row>43</xdr:row>
      <xdr:rowOff>231322</xdr:rowOff>
    </xdr:from>
    <xdr:ext cx="575517" cy="172227"/>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id="{00000000-0008-0000-0400-00002D000000}"/>
                </a:ext>
              </a:extLst>
            </xdr:cNvPr>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14:m>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𝑽</m:t>
                      </m:r>
                    </m:e>
                    <m:sub>
                      <m:r>
                        <a:rPr lang="es-CO" sz="1100" b="1" i="1">
                          <a:latin typeface="Cambria Math" panose="02040503050406030204" pitchFamily="18" charset="0"/>
                        </a:rPr>
                        <m:t>𝒎𝒊𝒏</m:t>
                      </m:r>
                    </m:sub>
                  </m:sSub>
                </m:oMath>
              </a14:m>
              <a:r>
                <a:rPr lang="es-CO" sz="1100" b="1"/>
                <a:t>)</a:t>
              </a:r>
            </a:p>
          </xdr:txBody>
        </xdr:sp>
      </mc:Choice>
      <mc:Fallback xmlns="">
        <xdr:sp macro="" textlink="">
          <xdr:nvSpPr>
            <xdr:cNvPr id="45" name="CuadroTexto 44"/>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r>
                <a:rPr lang="es-CO" sz="1100" b="1" i="0">
                  <a:latin typeface="Cambria Math" panose="02040503050406030204" pitchFamily="18" charset="0"/>
                </a:rPr>
                <a:t>𝑽_𝒎𝒊𝒏</a:t>
              </a:r>
              <a:r>
                <a:rPr lang="es-CO" sz="1100" b="1"/>
                <a:t>)</a:t>
              </a:r>
            </a:p>
          </xdr:txBody>
        </xdr:sp>
      </mc:Fallback>
    </mc:AlternateContent>
    <xdr:clientData/>
  </xdr:oneCellAnchor>
  <xdr:oneCellAnchor>
    <xdr:from>
      <xdr:col>21</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id="{00000000-0008-0000-04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47" name="CuadroTexto 46">
              <a:extLst>
                <a:ext uri="{FF2B5EF4-FFF2-40B4-BE49-F238E27FC236}">
                  <a16:creationId xmlns:a16="http://schemas.microsoft.com/office/drawing/2014/main" id="{00000000-0008-0000-04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xdr:col>
      <xdr:colOff>316673</xdr:colOff>
      <xdr:row>42</xdr:row>
      <xdr:rowOff>217716</xdr:rowOff>
    </xdr:from>
    <xdr:ext cx="622220" cy="17222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0400-000030000000}"/>
                </a:ext>
              </a:extLst>
            </xdr:cNvPr>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14:m>
                <m:oMath xmlns:m="http://schemas.openxmlformats.org/officeDocument/2006/math">
                  <m:d>
                    <m:dPr>
                      <m:ctrlPr>
                        <a:rPr lang="es-CO" sz="1100" b="1" i="1">
                          <a:solidFill>
                            <a:sysClr val="windowText" lastClr="000000"/>
                          </a:solidFill>
                          <a:effectLst/>
                          <a:latin typeface="Cambria Math" panose="02040503050406030204" pitchFamily="18" charset="0"/>
                          <a:ea typeface="+mn-ea"/>
                          <a:cs typeface="+mn-cs"/>
                        </a:rPr>
                      </m:ctrlPr>
                    </m:dPr>
                    <m:e>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𝒎𝒂𝒙</m:t>
                          </m:r>
                        </m:sub>
                      </m:sSub>
                    </m:e>
                  </m:d>
                </m:oMath>
              </a14:m>
              <a:endParaRPr lang="es-CO" sz="1100" b="1">
                <a:solidFill>
                  <a:sysClr val="windowText" lastClr="000000"/>
                </a:solidFill>
              </a:endParaRPr>
            </a:p>
          </xdr:txBody>
        </xdr:sp>
      </mc:Choice>
      <mc:Fallback xmlns="">
        <xdr:sp macro="" textlink="">
          <xdr:nvSpPr>
            <xdr:cNvPr id="48" name="CuadroTexto 47"/>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r>
                <a:rPr lang="es-CO" sz="1100" b="1" i="0">
                  <a:solidFill>
                    <a:sysClr val="windowText" lastClr="000000"/>
                  </a:solidFill>
                  <a:effectLst/>
                  <a:latin typeface="Cambria Math" panose="02040503050406030204" pitchFamily="18" charset="0"/>
                  <a:ea typeface="+mn-ea"/>
                  <a:cs typeface="+mn-cs"/>
                </a:rPr>
                <a:t>(𝑽_𝒎𝒂𝒙 )</a:t>
              </a:r>
              <a:endParaRPr lang="es-CO" sz="1100" b="1">
                <a:solidFill>
                  <a:sysClr val="windowText" lastClr="000000"/>
                </a:solidFill>
              </a:endParaRPr>
            </a:p>
          </xdr:txBody>
        </xdr:sp>
      </mc:Fallback>
    </mc:AlternateContent>
    <xdr:clientData/>
  </xdr:oneCellAnchor>
  <xdr:oneCellAnchor>
    <xdr:from>
      <xdr:col>18</xdr:col>
      <xdr:colOff>342141</xdr:colOff>
      <xdr:row>9</xdr:row>
      <xdr:rowOff>163285</xdr:rowOff>
    </xdr:from>
    <xdr:ext cx="392645" cy="172227"/>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19</xdr:col>
      <xdr:colOff>199398</xdr:colOff>
      <xdr:row>9</xdr:row>
      <xdr:rowOff>174955</xdr:rowOff>
    </xdr:from>
    <xdr:ext cx="681319" cy="172227"/>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4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50" name="CuadroTexto 49">
              <a:extLst>
                <a:ext uri="{FF2B5EF4-FFF2-40B4-BE49-F238E27FC236}">
                  <a16:creationId xmlns:a16="http://schemas.microsoft.com/office/drawing/2014/main" id="{00000000-0008-0000-04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oneCellAnchor>
    <xdr:from>
      <xdr:col>16</xdr:col>
      <xdr:colOff>398346</xdr:colOff>
      <xdr:row>18</xdr:row>
      <xdr:rowOff>232833</xdr:rowOff>
    </xdr:from>
    <xdr:ext cx="2501487" cy="443583"/>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0400-000033000000}"/>
                </a:ext>
              </a:extLst>
            </xdr:cNvPr>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panose="02040503050406030204" pitchFamily="18" charset="0"/>
                            <a:ea typeface="+mn-ea"/>
                            <a:cs typeface="+mn-cs"/>
                          </a:rPr>
                        </m:ctrlPr>
                      </m:fPr>
                      <m:num>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panose="02040503050406030204" pitchFamily="18" charset="0"/>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51" name="CuadroTexto 50"/>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516714</xdr:colOff>
      <xdr:row>45</xdr:row>
      <xdr:rowOff>300465</xdr:rowOff>
    </xdr:from>
    <xdr:ext cx="413639" cy="172227"/>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a16="http://schemas.microsoft.com/office/drawing/2014/main" id="{00000000-0008-0000-04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𝒎𝒊𝒏</m:t>
                        </m:r>
                      </m:sub>
                    </m:sSub>
                  </m:oMath>
                </m:oMathPara>
              </a14:m>
              <a:endParaRPr lang="es-CO" sz="1100" b="1"/>
            </a:p>
          </xdr:txBody>
        </xdr:sp>
      </mc:Choice>
      <mc:Fallback xmlns="">
        <xdr:sp macro="" textlink="">
          <xdr:nvSpPr>
            <xdr:cNvPr id="54" name="CuadroTexto 53">
              <a:extLst>
                <a:ext uri="{FF2B5EF4-FFF2-40B4-BE49-F238E27FC236}">
                  <a16:creationId xmlns:a16="http://schemas.microsoft.com/office/drawing/2014/main" id="{00000000-0008-0000-04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𝒎𝒊𝒏</a:t>
              </a:r>
              <a:endParaRPr lang="es-CO" sz="1100" b="1"/>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a16="http://schemas.microsoft.com/office/drawing/2014/main" id="{00000000-0008-0000-0400-000039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57" name="CuadroTexto 56"/>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twoCellAnchor>
    <xdr:from>
      <xdr:col>13</xdr:col>
      <xdr:colOff>9525</xdr:colOff>
      <xdr:row>9</xdr:row>
      <xdr:rowOff>301625</xdr:rowOff>
    </xdr:from>
    <xdr:to>
      <xdr:col>16</xdr:col>
      <xdr:colOff>396875</xdr:colOff>
      <xdr:row>12</xdr:row>
      <xdr:rowOff>485775</xdr:rowOff>
    </xdr:to>
    <xdr:cxnSp macro="">
      <xdr:nvCxnSpPr>
        <xdr:cNvPr id="61" name="Conector recto de flecha 60">
          <a:extLst>
            <a:ext uri="{FF2B5EF4-FFF2-40B4-BE49-F238E27FC236}">
              <a16:creationId xmlns:a16="http://schemas.microsoft.com/office/drawing/2014/main" id="{00000000-0008-0000-0400-00003D000000}"/>
            </a:ext>
          </a:extLst>
        </xdr:cNvPr>
        <xdr:cNvCxnSpPr/>
      </xdr:nvCxnSpPr>
      <xdr:spPr>
        <a:xfrm flipV="1">
          <a:off x="13836650" y="4238625"/>
          <a:ext cx="3530600" cy="1708150"/>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408644</xdr:colOff>
      <xdr:row>61</xdr:row>
      <xdr:rowOff>0</xdr:rowOff>
    </xdr:from>
    <xdr:ext cx="65" cy="172227"/>
    <xdr:sp macro="" textlink="">
      <xdr:nvSpPr>
        <xdr:cNvPr id="39" name="CuadroTexto 38">
          <a:extLst>
            <a:ext uri="{FF2B5EF4-FFF2-40B4-BE49-F238E27FC236}">
              <a16:creationId xmlns:a16="http://schemas.microsoft.com/office/drawing/2014/main" id="{00000000-0008-0000-0400-000027000000}"/>
            </a:ext>
          </a:extLst>
        </xdr:cNvPr>
        <xdr:cNvSpPr txBox="1"/>
      </xdr:nvSpPr>
      <xdr:spPr>
        <a:xfrm>
          <a:off x="2504144" y="276591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b="1"/>
        </a:p>
      </xdr:txBody>
    </xdr:sp>
    <xdr:clientData/>
  </xdr:oneCellAnchor>
  <xdr:twoCellAnchor editAs="oneCell">
    <xdr:from>
      <xdr:col>0</xdr:col>
      <xdr:colOff>535781</xdr:colOff>
      <xdr:row>0</xdr:row>
      <xdr:rowOff>47625</xdr:rowOff>
    </xdr:from>
    <xdr:to>
      <xdr:col>2</xdr:col>
      <xdr:colOff>425095</xdr:colOff>
      <xdr:row>0</xdr:row>
      <xdr:rowOff>889323</xdr:rowOff>
    </xdr:to>
    <xdr:pic>
      <xdr:nvPicPr>
        <xdr:cNvPr id="12" name="11 Imagen">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a:stretch>
          <a:fillRect/>
        </a:stretch>
      </xdr:blipFill>
      <xdr:spPr>
        <a:xfrm>
          <a:off x="535781" y="47625"/>
          <a:ext cx="1984814" cy="841698"/>
        </a:xfrm>
        <a:prstGeom prst="rect">
          <a:avLst/>
        </a:prstGeom>
      </xdr:spPr>
    </xdr:pic>
    <xdr:clientData/>
  </xdr:twoCellAnchor>
  <xdr:twoCellAnchor>
    <xdr:from>
      <xdr:col>17</xdr:col>
      <xdr:colOff>238125</xdr:colOff>
      <xdr:row>13</xdr:row>
      <xdr:rowOff>205580</xdr:rowOff>
    </xdr:from>
    <xdr:to>
      <xdr:col>19</xdr:col>
      <xdr:colOff>857250</xdr:colOff>
      <xdr:row>15</xdr:row>
      <xdr:rowOff>227795</xdr:rowOff>
    </xdr:to>
    <xdr:pic>
      <xdr:nvPicPr>
        <xdr:cNvPr id="35" name="3 Imagen">
          <a:extLst>
            <a:ext uri="{FF2B5EF4-FFF2-40B4-BE49-F238E27FC236}">
              <a16:creationId xmlns:a16="http://schemas.microsoft.com/office/drawing/2014/main" id="{E2F58ED0-DF2D-4102-B126-82F9365A231C}"/>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a:stretch>
          <a:fillRect/>
        </a:stretch>
      </xdr:blipFill>
      <xdr:spPr bwMode="auto">
        <a:xfrm>
          <a:off x="18252281" y="6099174"/>
          <a:ext cx="2714625" cy="1022340"/>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273845</xdr:colOff>
      <xdr:row>20</xdr:row>
      <xdr:rowOff>107156</xdr:rowOff>
    </xdr:from>
    <xdr:to>
      <xdr:col>5</xdr:col>
      <xdr:colOff>619125</xdr:colOff>
      <xdr:row>21</xdr:row>
      <xdr:rowOff>403615</xdr:rowOff>
    </xdr:to>
    <xdr:pic>
      <xdr:nvPicPr>
        <xdr:cNvPr id="36" name="2 Imagen">
          <a:extLst>
            <a:ext uri="{FF2B5EF4-FFF2-40B4-BE49-F238E27FC236}">
              <a16:creationId xmlns:a16="http://schemas.microsoft.com/office/drawing/2014/main" id="{16F0CB49-E577-4BB1-84A7-9A551FA24395}"/>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BEBA8EAE-BF5A-486C-A8C5-ECC9F3942E4B}">
              <a14:imgProps xmlns:a14="http://schemas.microsoft.com/office/drawing/2010/main">
                <a14:imgLayer r:embed="rId5">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3417095" y="9763125"/>
          <a:ext cx="2512218" cy="927490"/>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726281</xdr:colOff>
      <xdr:row>0</xdr:row>
      <xdr:rowOff>71437</xdr:rowOff>
    </xdr:from>
    <xdr:to>
      <xdr:col>2</xdr:col>
      <xdr:colOff>738187</xdr:colOff>
      <xdr:row>0</xdr:row>
      <xdr:rowOff>973305</xdr:rowOff>
    </xdr:to>
    <xdr:pic>
      <xdr:nvPicPr>
        <xdr:cNvPr id="4" name="3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726281" y="71437"/>
          <a:ext cx="2131219" cy="9018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107951</xdr:colOff>
      <xdr:row>16</xdr:row>
      <xdr:rowOff>3175</xdr:rowOff>
    </xdr:from>
    <xdr:to>
      <xdr:col>7</xdr:col>
      <xdr:colOff>244475</xdr:colOff>
      <xdr:row>20</xdr:row>
      <xdr:rowOff>180975</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40000" contrast="40000"/>
                  </a14:imgEffect>
                </a14:imgLayer>
              </a14:imgProps>
            </a:ext>
          </a:extLst>
        </a:blip>
        <a:stretch>
          <a:fillRect/>
        </a:stretch>
      </xdr:blipFill>
      <xdr:spPr>
        <a:xfrm>
          <a:off x="6756401" y="4232275"/>
          <a:ext cx="1517649" cy="11684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612775</xdr:colOff>
      <xdr:row>15</xdr:row>
      <xdr:rowOff>52613</xdr:rowOff>
    </xdr:from>
    <xdr:to>
      <xdr:col>10</xdr:col>
      <xdr:colOff>367483</xdr:colOff>
      <xdr:row>17</xdr:row>
      <xdr:rowOff>184038</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bright="-40000" contrast="20000"/>
                  </a14:imgEffect>
                </a14:imgLayer>
              </a14:imgProps>
            </a:ext>
          </a:extLst>
        </a:blip>
        <a:stretch>
          <a:fillRect/>
        </a:stretch>
      </xdr:blipFill>
      <xdr:spPr>
        <a:xfrm>
          <a:off x="8642350" y="4091213"/>
          <a:ext cx="3612333" cy="512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647700</xdr:colOff>
      <xdr:row>19</xdr:row>
      <xdr:rowOff>117475</xdr:rowOff>
    </xdr:from>
    <xdr:to>
      <xdr:col>10</xdr:col>
      <xdr:colOff>422275</xdr:colOff>
      <xdr:row>20</xdr:row>
      <xdr:rowOff>95204</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rightnessContrast bright="-40000" contrast="20000"/>
                  </a14:imgEffect>
                </a14:imgLayer>
              </a14:imgProps>
            </a:ext>
          </a:extLst>
        </a:blip>
        <a:stretch>
          <a:fillRect/>
        </a:stretch>
      </xdr:blipFill>
      <xdr:spPr>
        <a:xfrm>
          <a:off x="8677275" y="4937125"/>
          <a:ext cx="3632200" cy="37778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9</xdr:col>
      <xdr:colOff>307973</xdr:colOff>
      <xdr:row>2</xdr:row>
      <xdr:rowOff>12698</xdr:rowOff>
    </xdr:from>
    <xdr:to>
      <xdr:col>16</xdr:col>
      <xdr:colOff>391073</xdr:colOff>
      <xdr:row>14</xdr:row>
      <xdr:rowOff>90398</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400050</xdr:colOff>
      <xdr:row>0</xdr:row>
      <xdr:rowOff>104775</xdr:rowOff>
    </xdr:from>
    <xdr:to>
      <xdr:col>1</xdr:col>
      <xdr:colOff>956113</xdr:colOff>
      <xdr:row>0</xdr:row>
      <xdr:rowOff>1007061</xdr:rowOff>
    </xdr:to>
    <xdr:pic>
      <xdr:nvPicPr>
        <xdr:cNvPr id="7" name="6 Imagen">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8"/>
        <a:stretch>
          <a:fillRect/>
        </a:stretch>
      </xdr:blipFill>
      <xdr:spPr>
        <a:xfrm>
          <a:off x="400050" y="104775"/>
          <a:ext cx="2127688" cy="9022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380999</xdr:colOff>
      <xdr:row>0</xdr:row>
      <xdr:rowOff>59532</xdr:rowOff>
    </xdr:from>
    <xdr:to>
      <xdr:col>2</xdr:col>
      <xdr:colOff>559593</xdr:colOff>
      <xdr:row>0</xdr:row>
      <xdr:rowOff>961400</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380999" y="59532"/>
          <a:ext cx="2131219" cy="90186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437418</xdr:colOff>
      <xdr:row>37</xdr:row>
      <xdr:rowOff>64834</xdr:rowOff>
    </xdr:from>
    <xdr:to>
      <xdr:col>8</xdr:col>
      <xdr:colOff>457676</xdr:colOff>
      <xdr:row>39</xdr:row>
      <xdr:rowOff>4396</xdr:rowOff>
    </xdr:to>
    <xdr:pic>
      <xdr:nvPicPr>
        <xdr:cNvPr id="2" name="Imagen 1">
          <a:extLst>
            <a:ext uri="{FF2B5EF4-FFF2-40B4-BE49-F238E27FC236}">
              <a16:creationId xmlns:a16="http://schemas.microsoft.com/office/drawing/2014/main" id="{00000000-0008-0000-0700-000002000000}"/>
            </a:ext>
          </a:extLst>
        </xdr:cNvPr>
        <xdr:cNvPicPr/>
      </xdr:nvPicPr>
      <xdr:blipFill rotWithShape="1">
        <a:blip xmlns:r="http://schemas.openxmlformats.org/officeDocument/2006/relationships" r:embed="rId1"/>
        <a:srcRect l="6907" t="24203" r="3198" b="66560"/>
        <a:stretch/>
      </xdr:blipFill>
      <xdr:spPr bwMode="auto">
        <a:xfrm>
          <a:off x="1723293" y="14876209"/>
          <a:ext cx="5106608"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44</xdr:row>
      <xdr:rowOff>104098</xdr:rowOff>
    </xdr:from>
    <xdr:to>
      <xdr:col>1</xdr:col>
      <xdr:colOff>274184</xdr:colOff>
      <xdr:row>45</xdr:row>
      <xdr:rowOff>154785</xdr:rowOff>
    </xdr:to>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664902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46</xdr:row>
      <xdr:rowOff>176892</xdr:rowOff>
    </xdr:from>
    <xdr:ext cx="325755" cy="218795"/>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390525" y="17102817"/>
          <a:ext cx="325755" cy="218795"/>
        </a:xfrm>
        <a:prstGeom prst="rect">
          <a:avLst/>
        </a:prstGeom>
        <a:noFill/>
        <a:ln>
          <a:noFill/>
        </a:ln>
      </xdr:spPr>
    </xdr:pic>
    <xdr:clientData/>
  </xdr:oneCellAnchor>
  <xdr:oneCellAnchor>
    <xdr:from>
      <xdr:col>0</xdr:col>
      <xdr:colOff>421821</xdr:colOff>
      <xdr:row>48</xdr:row>
      <xdr:rowOff>134364</xdr:rowOff>
    </xdr:from>
    <xdr:ext cx="325755" cy="238124"/>
    <xdr:pic>
      <xdr:nvPicPr>
        <xdr:cNvPr id="5" name="Imagen 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83721" y="17555589"/>
          <a:ext cx="325755" cy="238124"/>
        </a:xfrm>
        <a:prstGeom prst="rect">
          <a:avLst/>
        </a:prstGeom>
        <a:noFill/>
        <a:ln>
          <a:noFill/>
        </a:ln>
      </xdr:spPr>
    </xdr:pic>
    <xdr:clientData/>
  </xdr:oneCellAnchor>
  <xdr:oneCellAnchor>
    <xdr:from>
      <xdr:col>1</xdr:col>
      <xdr:colOff>19049</xdr:colOff>
      <xdr:row>50</xdr:row>
      <xdr:rowOff>183696</xdr:rowOff>
    </xdr:from>
    <xdr:ext cx="314325" cy="262468"/>
    <xdr:pic>
      <xdr:nvPicPr>
        <xdr:cNvPr id="6" name="Imagen 5">
          <a:extLst>
            <a:ext uri="{FF2B5EF4-FFF2-40B4-BE49-F238E27FC236}">
              <a16:creationId xmlns:a16="http://schemas.microsoft.com/office/drawing/2014/main" id="{00000000-0008-0000-0700-000006000000}"/>
            </a:ext>
          </a:extLst>
        </xdr:cNvPr>
        <xdr:cNvPicPr/>
      </xdr:nvPicPr>
      <xdr:blipFill rotWithShape="1">
        <a:blip xmlns:r="http://schemas.openxmlformats.org/officeDocument/2006/relationships" r:embed="rId1"/>
        <a:srcRect l="30917" t="27092" r="66112" b="66954"/>
        <a:stretch/>
      </xdr:blipFill>
      <xdr:spPr bwMode="auto">
        <a:xfrm>
          <a:off x="400049" y="18062121"/>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53</xdr:row>
      <xdr:rowOff>0</xdr:rowOff>
    </xdr:from>
    <xdr:to>
      <xdr:col>1</xdr:col>
      <xdr:colOff>304800</xdr:colOff>
      <xdr:row>54</xdr:row>
      <xdr:rowOff>9525</xdr:rowOff>
    </xdr:to>
    <xdr:pic>
      <xdr:nvPicPr>
        <xdr:cNvPr id="7" name="Imagen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1853565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54</xdr:row>
      <xdr:rowOff>123825</xdr:rowOff>
    </xdr:from>
    <xdr:ext cx="409574" cy="322791"/>
    <xdr:pic>
      <xdr:nvPicPr>
        <xdr:cNvPr id="8" name="Imagen 7">
          <a:extLst>
            <a:ext uri="{FF2B5EF4-FFF2-40B4-BE49-F238E27FC236}">
              <a16:creationId xmlns:a16="http://schemas.microsoft.com/office/drawing/2014/main" id="{00000000-0008-0000-07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18973800"/>
          <a:ext cx="409574" cy="322791"/>
        </a:xfrm>
        <a:prstGeom prst="rect">
          <a:avLst/>
        </a:prstGeom>
        <a:noFill/>
        <a:ln>
          <a:noFill/>
        </a:ln>
      </xdr:spPr>
    </xdr:pic>
    <xdr:clientData/>
  </xdr:oneCellAnchor>
  <xdr:oneCellAnchor>
    <xdr:from>
      <xdr:col>1</xdr:col>
      <xdr:colOff>28576</xdr:colOff>
      <xdr:row>57</xdr:row>
      <xdr:rowOff>9525</xdr:rowOff>
    </xdr:from>
    <xdr:ext cx="353060" cy="195792"/>
    <xdr:pic>
      <xdr:nvPicPr>
        <xdr:cNvPr id="9" name="Imagen 8">
          <a:extLst>
            <a:ext uri="{FF2B5EF4-FFF2-40B4-BE49-F238E27FC236}">
              <a16:creationId xmlns:a16="http://schemas.microsoft.com/office/drawing/2014/main" id="{00000000-0008-0000-07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19497675"/>
          <a:ext cx="353060" cy="195792"/>
        </a:xfrm>
        <a:prstGeom prst="rect">
          <a:avLst/>
        </a:prstGeom>
        <a:noFill/>
        <a:ln>
          <a:noFill/>
        </a:ln>
      </xdr:spPr>
    </xdr:pic>
    <xdr:clientData/>
  </xdr:oneCellAnchor>
  <xdr:oneCellAnchor>
    <xdr:from>
      <xdr:col>1</xdr:col>
      <xdr:colOff>66676</xdr:colOff>
      <xdr:row>58</xdr:row>
      <xdr:rowOff>200025</xdr:rowOff>
    </xdr:from>
    <xdr:ext cx="171450" cy="190499"/>
    <xdr:pic>
      <xdr:nvPicPr>
        <xdr:cNvPr id="10" name="Imagen 9">
          <a:extLst>
            <a:ext uri="{FF2B5EF4-FFF2-40B4-BE49-F238E27FC236}">
              <a16:creationId xmlns:a16="http://schemas.microsoft.com/office/drawing/2014/main" id="{00000000-0008-0000-07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19964400"/>
          <a:ext cx="171450" cy="190499"/>
        </a:xfrm>
        <a:prstGeom prst="rect">
          <a:avLst/>
        </a:prstGeom>
        <a:noFill/>
        <a:ln>
          <a:noFill/>
        </a:ln>
      </xdr:spPr>
    </xdr:pic>
    <xdr:clientData/>
  </xdr:oneCellAnchor>
  <xdr:oneCellAnchor>
    <xdr:from>
      <xdr:col>1</xdr:col>
      <xdr:colOff>1362</xdr:colOff>
      <xdr:row>42</xdr:row>
      <xdr:rowOff>40826</xdr:rowOff>
    </xdr:from>
    <xdr:ext cx="304800" cy="244474"/>
    <xdr:pic>
      <xdr:nvPicPr>
        <xdr:cNvPr id="11" name="Imagen 10">
          <a:extLst>
            <a:ext uri="{FF2B5EF4-FFF2-40B4-BE49-F238E27FC236}">
              <a16:creationId xmlns:a16="http://schemas.microsoft.com/office/drawing/2014/main" id="{00000000-0008-0000-0700-00000B000000}"/>
            </a:ext>
          </a:extLst>
        </xdr:cNvPr>
        <xdr:cNvPicPr/>
      </xdr:nvPicPr>
      <xdr:blipFill rotWithShape="1">
        <a:blip xmlns:r="http://schemas.openxmlformats.org/officeDocument/2006/relationships" r:embed="rId1"/>
        <a:srcRect l="6276" t="26472" r="90088" b="67694"/>
        <a:stretch/>
      </xdr:blipFill>
      <xdr:spPr bwMode="auto">
        <a:xfrm>
          <a:off x="382362" y="1610950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65</xdr:row>
      <xdr:rowOff>19050</xdr:rowOff>
    </xdr:from>
    <xdr:ext cx="349884" cy="350168"/>
    <xdr:pic>
      <xdr:nvPicPr>
        <xdr:cNvPr id="12" name="Imagen 11">
          <a:extLst>
            <a:ext uri="{FF2B5EF4-FFF2-40B4-BE49-F238E27FC236}">
              <a16:creationId xmlns:a16="http://schemas.microsoft.com/office/drawing/2014/main" id="{00000000-0008-0000-0700-00000C000000}"/>
            </a:ext>
          </a:extLst>
        </xdr:cNvPr>
        <xdr:cNvPicPr/>
      </xdr:nvPicPr>
      <xdr:blipFill rotWithShape="1">
        <a:blip xmlns:r="http://schemas.openxmlformats.org/officeDocument/2006/relationships" r:embed="rId1"/>
        <a:srcRect l="90522" t="25661" r="3198" b="67370"/>
        <a:stretch/>
      </xdr:blipFill>
      <xdr:spPr bwMode="auto">
        <a:xfrm>
          <a:off x="371475" y="214122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60</xdr:row>
      <xdr:rowOff>142874</xdr:rowOff>
    </xdr:from>
    <xdr:ext cx="390525" cy="322793"/>
    <xdr:pic>
      <xdr:nvPicPr>
        <xdr:cNvPr id="13" name="Imagen 12">
          <a:extLst>
            <a:ext uri="{FF2B5EF4-FFF2-40B4-BE49-F238E27FC236}">
              <a16:creationId xmlns:a16="http://schemas.microsoft.com/office/drawing/2014/main" id="{00000000-0008-0000-0700-00000D000000}"/>
            </a:ext>
          </a:extLst>
        </xdr:cNvPr>
        <xdr:cNvPicPr/>
      </xdr:nvPicPr>
      <xdr:blipFill rotWithShape="1">
        <a:blip xmlns:r="http://schemas.openxmlformats.org/officeDocument/2006/relationships" r:embed="rId1"/>
        <a:srcRect l="73767" t="26471" r="19752" b="66560"/>
        <a:stretch/>
      </xdr:blipFill>
      <xdr:spPr bwMode="auto">
        <a:xfrm>
          <a:off x="390525" y="204215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62</xdr:row>
      <xdr:rowOff>145596</xdr:rowOff>
    </xdr:from>
    <xdr:ext cx="329294" cy="283029"/>
    <xdr:pic>
      <xdr:nvPicPr>
        <xdr:cNvPr id="14" name="Imagen 13">
          <a:extLst>
            <a:ext uri="{FF2B5EF4-FFF2-40B4-BE49-F238E27FC236}">
              <a16:creationId xmlns:a16="http://schemas.microsoft.com/office/drawing/2014/main" id="{00000000-0008-0000-0700-00000E000000}"/>
            </a:ext>
          </a:extLst>
        </xdr:cNvPr>
        <xdr:cNvPicPr/>
      </xdr:nvPicPr>
      <xdr:blipFill rotWithShape="1">
        <a:blip xmlns:r="http://schemas.openxmlformats.org/officeDocument/2006/relationships" r:embed="rId1"/>
        <a:srcRect l="82144" t="25661" r="11217" b="67371"/>
        <a:stretch/>
      </xdr:blipFill>
      <xdr:spPr bwMode="auto">
        <a:xfrm>
          <a:off x="385081" y="2090057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180426</xdr:colOff>
      <xdr:row>113</xdr:row>
      <xdr:rowOff>70480</xdr:rowOff>
    </xdr:from>
    <xdr:ext cx="4010574" cy="22320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700-00000F000000}"/>
                </a:ext>
              </a:extLst>
            </xdr:cNvPr>
            <xdr:cNvSpPr txBox="1"/>
          </xdr:nvSpPr>
          <xdr:spPr>
            <a:xfrm>
              <a:off x="2410864" y="37638668"/>
              <a:ext cx="4010574" cy="22320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r>
                      <a:rPr lang="es-CO" sz="1200" b="1" i="1">
                        <a:solidFill>
                          <a:schemeClr val="tx1"/>
                        </a:solidFill>
                        <a:latin typeface="Cambria Math" panose="02040503050406030204" pitchFamily="18" charset="0"/>
                        <a:ea typeface="Cambria Math" panose="02040503050406030204" pitchFamily="18" charset="0"/>
                      </a:rPr>
                      <m:t>𝑹𝒆𝒈𝒍𝒂</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𝒅𝒆𝒄𝒊𝒔𝒊</m:t>
                    </m:r>
                    <m:r>
                      <a:rPr lang="es-CO" sz="1200" b="1" i="1">
                        <a:solidFill>
                          <a:schemeClr val="tx1"/>
                        </a:solidFill>
                        <a:latin typeface="Cambria Math" panose="02040503050406030204" pitchFamily="18" charset="0"/>
                        <a:ea typeface="Cambria Math" panose="02040503050406030204" pitchFamily="18" charset="0"/>
                      </a:rPr>
                      <m:t>ó</m:t>
                    </m:r>
                    <m:r>
                      <a:rPr lang="es-CO" sz="1200" b="1" i="1">
                        <a:solidFill>
                          <a:schemeClr val="tx1"/>
                        </a:solidFill>
                        <a:latin typeface="Cambria Math" panose="02040503050406030204" pitchFamily="18" charset="0"/>
                        <a:ea typeface="Cambria Math" panose="02040503050406030204" pitchFamily="18" charset="0"/>
                      </a:rPr>
                      <m:t>𝒏</m:t>
                    </m:r>
                    <m:r>
                      <a:rPr lang="es-CO" sz="1200" b="1" i="1">
                        <a:solidFill>
                          <a:schemeClr val="tx1"/>
                        </a:solidFill>
                        <a:latin typeface="Cambria Math" panose="02040503050406030204" pitchFamily="18" charset="0"/>
                        <a:ea typeface="Cambria Math" panose="02040503050406030204" pitchFamily="18" charset="0"/>
                      </a:rPr>
                      <m:t>=|</m:t>
                    </m:r>
                    <m:r>
                      <a:rPr lang="es-CO" sz="1200" b="1" i="0">
                        <a:solidFill>
                          <a:schemeClr val="tx1"/>
                        </a:solidFill>
                        <a:latin typeface="Cambria Math" panose="02040503050406030204" pitchFamily="18" charset="0"/>
                        <a:ea typeface="Cambria Math" panose="02040503050406030204" pitchFamily="18" charset="0"/>
                      </a:rPr>
                      <m:t>𝐄</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𝑼</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𝑬𝑴𝑷</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𝑪𝑼𝑴𝑷𝑳𝑬</m:t>
                    </m:r>
                  </m:oMath>
                </m:oMathPara>
              </a14:m>
              <a:endParaRPr lang="es-CO" sz="12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a16="http://schemas.microsoft.com/office/drawing/2014/main" id="{00000000-0008-0000-0700-00000F000000}"/>
                </a:ext>
              </a:extLst>
            </xdr:cNvPr>
            <xdr:cNvSpPr txBox="1"/>
          </xdr:nvSpPr>
          <xdr:spPr>
            <a:xfrm>
              <a:off x="2410864" y="37638668"/>
              <a:ext cx="4010574" cy="22320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1" i="0">
                  <a:solidFill>
                    <a:schemeClr val="tx1"/>
                  </a:solidFill>
                  <a:latin typeface="Cambria Math" panose="02040503050406030204" pitchFamily="18" charset="0"/>
                  <a:ea typeface="Cambria Math" panose="02040503050406030204" pitchFamily="18" charset="0"/>
                </a:rPr>
                <a:t>𝑹𝒆𝒈𝒍𝒂 𝒅𝒆 𝒅𝒆𝒄𝒊𝒔𝒊ó𝒏=|𝐄|+𝑼≤𝑬𝑴𝑷=𝑪𝑼𝑴𝑷𝑳𝑬</a:t>
              </a:r>
              <a:endParaRPr lang="es-CO" sz="12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twoCellAnchor editAs="oneCell">
    <xdr:from>
      <xdr:col>2</xdr:col>
      <xdr:colOff>437418</xdr:colOff>
      <xdr:row>37</xdr:row>
      <xdr:rowOff>64834</xdr:rowOff>
    </xdr:from>
    <xdr:to>
      <xdr:col>8</xdr:col>
      <xdr:colOff>457676</xdr:colOff>
      <xdr:row>39</xdr:row>
      <xdr:rowOff>4396</xdr:rowOff>
    </xdr:to>
    <xdr:pic>
      <xdr:nvPicPr>
        <xdr:cNvPr id="2" name="Imagen 1">
          <a:extLst>
            <a:ext uri="{FF2B5EF4-FFF2-40B4-BE49-F238E27FC236}">
              <a16:creationId xmlns:a16="http://schemas.microsoft.com/office/drawing/2014/main" id="{67D81957-3948-41F8-BCBC-9ACF137744CA}"/>
            </a:ext>
          </a:extLst>
        </xdr:cNvPr>
        <xdr:cNvPicPr/>
      </xdr:nvPicPr>
      <xdr:blipFill rotWithShape="1">
        <a:blip xmlns:r="http://schemas.openxmlformats.org/officeDocument/2006/relationships" r:embed="rId1"/>
        <a:srcRect l="6907" t="24203" r="3198" b="66560"/>
        <a:stretch/>
      </xdr:blipFill>
      <xdr:spPr bwMode="auto">
        <a:xfrm>
          <a:off x="1723293" y="15142909"/>
          <a:ext cx="5106608" cy="396762"/>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44</xdr:row>
      <xdr:rowOff>104098</xdr:rowOff>
    </xdr:from>
    <xdr:to>
      <xdr:col>1</xdr:col>
      <xdr:colOff>274184</xdr:colOff>
      <xdr:row>45</xdr:row>
      <xdr:rowOff>154785</xdr:rowOff>
    </xdr:to>
    <xdr:pic>
      <xdr:nvPicPr>
        <xdr:cNvPr id="3" name="Imagen 2">
          <a:extLst>
            <a:ext uri="{FF2B5EF4-FFF2-40B4-BE49-F238E27FC236}">
              <a16:creationId xmlns:a16="http://schemas.microsoft.com/office/drawing/2014/main" id="{9954B1FA-9281-4FF6-9BE0-EF209CF7DB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691572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46</xdr:row>
      <xdr:rowOff>176892</xdr:rowOff>
    </xdr:from>
    <xdr:ext cx="325755" cy="218795"/>
    <xdr:pic>
      <xdr:nvPicPr>
        <xdr:cNvPr id="4" name="Imagen 3">
          <a:extLst>
            <a:ext uri="{FF2B5EF4-FFF2-40B4-BE49-F238E27FC236}">
              <a16:creationId xmlns:a16="http://schemas.microsoft.com/office/drawing/2014/main" id="{F6613DDE-1182-4ADF-8F67-A6037819348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390525" y="17369517"/>
          <a:ext cx="325755" cy="218795"/>
        </a:xfrm>
        <a:prstGeom prst="rect">
          <a:avLst/>
        </a:prstGeom>
        <a:noFill/>
        <a:ln>
          <a:noFill/>
        </a:ln>
      </xdr:spPr>
    </xdr:pic>
    <xdr:clientData/>
  </xdr:oneCellAnchor>
  <xdr:oneCellAnchor>
    <xdr:from>
      <xdr:col>0</xdr:col>
      <xdr:colOff>421821</xdr:colOff>
      <xdr:row>48</xdr:row>
      <xdr:rowOff>134364</xdr:rowOff>
    </xdr:from>
    <xdr:ext cx="325755" cy="238124"/>
    <xdr:pic>
      <xdr:nvPicPr>
        <xdr:cNvPr id="5" name="Imagen 4">
          <a:extLst>
            <a:ext uri="{FF2B5EF4-FFF2-40B4-BE49-F238E27FC236}">
              <a16:creationId xmlns:a16="http://schemas.microsoft.com/office/drawing/2014/main" id="{5A24EE89-8286-496E-946B-CB746436C17F}"/>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83721" y="17822289"/>
          <a:ext cx="325755" cy="238124"/>
        </a:xfrm>
        <a:prstGeom prst="rect">
          <a:avLst/>
        </a:prstGeom>
        <a:noFill/>
        <a:ln>
          <a:noFill/>
        </a:ln>
      </xdr:spPr>
    </xdr:pic>
    <xdr:clientData/>
  </xdr:oneCellAnchor>
  <xdr:oneCellAnchor>
    <xdr:from>
      <xdr:col>1</xdr:col>
      <xdr:colOff>19049</xdr:colOff>
      <xdr:row>50</xdr:row>
      <xdr:rowOff>183696</xdr:rowOff>
    </xdr:from>
    <xdr:ext cx="314325" cy="262468"/>
    <xdr:pic>
      <xdr:nvPicPr>
        <xdr:cNvPr id="6" name="Imagen 5">
          <a:extLst>
            <a:ext uri="{FF2B5EF4-FFF2-40B4-BE49-F238E27FC236}">
              <a16:creationId xmlns:a16="http://schemas.microsoft.com/office/drawing/2014/main" id="{73E0D7B5-580D-47C9-94CF-DDE5272BF34B}"/>
            </a:ext>
          </a:extLst>
        </xdr:cNvPr>
        <xdr:cNvPicPr/>
      </xdr:nvPicPr>
      <xdr:blipFill rotWithShape="1">
        <a:blip xmlns:r="http://schemas.openxmlformats.org/officeDocument/2006/relationships" r:embed="rId1"/>
        <a:srcRect l="30917" t="27092" r="66112" b="66954"/>
        <a:stretch/>
      </xdr:blipFill>
      <xdr:spPr bwMode="auto">
        <a:xfrm>
          <a:off x="400049" y="18328821"/>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53</xdr:row>
      <xdr:rowOff>0</xdr:rowOff>
    </xdr:from>
    <xdr:to>
      <xdr:col>1</xdr:col>
      <xdr:colOff>304800</xdr:colOff>
      <xdr:row>54</xdr:row>
      <xdr:rowOff>9525</xdr:rowOff>
    </xdr:to>
    <xdr:pic>
      <xdr:nvPicPr>
        <xdr:cNvPr id="7" name="Imagen 6">
          <a:extLst>
            <a:ext uri="{FF2B5EF4-FFF2-40B4-BE49-F238E27FC236}">
              <a16:creationId xmlns:a16="http://schemas.microsoft.com/office/drawing/2014/main" id="{5DD27E86-E383-4C8C-979D-59E1F1D30F1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1880235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54</xdr:row>
      <xdr:rowOff>123825</xdr:rowOff>
    </xdr:from>
    <xdr:ext cx="409574" cy="322791"/>
    <xdr:pic>
      <xdr:nvPicPr>
        <xdr:cNvPr id="8" name="Imagen 7">
          <a:extLst>
            <a:ext uri="{FF2B5EF4-FFF2-40B4-BE49-F238E27FC236}">
              <a16:creationId xmlns:a16="http://schemas.microsoft.com/office/drawing/2014/main" id="{E4C8B1EA-0072-40B1-89B7-586A47983247}"/>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19240500"/>
          <a:ext cx="409574" cy="322791"/>
        </a:xfrm>
        <a:prstGeom prst="rect">
          <a:avLst/>
        </a:prstGeom>
        <a:noFill/>
        <a:ln>
          <a:noFill/>
        </a:ln>
      </xdr:spPr>
    </xdr:pic>
    <xdr:clientData/>
  </xdr:oneCellAnchor>
  <xdr:oneCellAnchor>
    <xdr:from>
      <xdr:col>1</xdr:col>
      <xdr:colOff>28576</xdr:colOff>
      <xdr:row>57</xdr:row>
      <xdr:rowOff>9525</xdr:rowOff>
    </xdr:from>
    <xdr:ext cx="353060" cy="195792"/>
    <xdr:pic>
      <xdr:nvPicPr>
        <xdr:cNvPr id="9" name="Imagen 8">
          <a:extLst>
            <a:ext uri="{FF2B5EF4-FFF2-40B4-BE49-F238E27FC236}">
              <a16:creationId xmlns:a16="http://schemas.microsoft.com/office/drawing/2014/main" id="{9FD85DE2-ED49-4D37-8A5B-0D2028ECF391}"/>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19764375"/>
          <a:ext cx="353060" cy="195792"/>
        </a:xfrm>
        <a:prstGeom prst="rect">
          <a:avLst/>
        </a:prstGeom>
        <a:noFill/>
        <a:ln>
          <a:noFill/>
        </a:ln>
      </xdr:spPr>
    </xdr:pic>
    <xdr:clientData/>
  </xdr:oneCellAnchor>
  <xdr:oneCellAnchor>
    <xdr:from>
      <xdr:col>1</xdr:col>
      <xdr:colOff>66676</xdr:colOff>
      <xdr:row>58</xdr:row>
      <xdr:rowOff>200025</xdr:rowOff>
    </xdr:from>
    <xdr:ext cx="171450" cy="190499"/>
    <xdr:pic>
      <xdr:nvPicPr>
        <xdr:cNvPr id="10" name="Imagen 9">
          <a:extLst>
            <a:ext uri="{FF2B5EF4-FFF2-40B4-BE49-F238E27FC236}">
              <a16:creationId xmlns:a16="http://schemas.microsoft.com/office/drawing/2014/main" id="{083F3C31-77ED-4E4D-9F22-F3F91FD076D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20231100"/>
          <a:ext cx="171450" cy="190499"/>
        </a:xfrm>
        <a:prstGeom prst="rect">
          <a:avLst/>
        </a:prstGeom>
        <a:noFill/>
        <a:ln>
          <a:noFill/>
        </a:ln>
      </xdr:spPr>
    </xdr:pic>
    <xdr:clientData/>
  </xdr:oneCellAnchor>
  <xdr:oneCellAnchor>
    <xdr:from>
      <xdr:col>1</xdr:col>
      <xdr:colOff>1362</xdr:colOff>
      <xdr:row>42</xdr:row>
      <xdr:rowOff>40826</xdr:rowOff>
    </xdr:from>
    <xdr:ext cx="304800" cy="244474"/>
    <xdr:pic>
      <xdr:nvPicPr>
        <xdr:cNvPr id="11" name="Imagen 10">
          <a:extLst>
            <a:ext uri="{FF2B5EF4-FFF2-40B4-BE49-F238E27FC236}">
              <a16:creationId xmlns:a16="http://schemas.microsoft.com/office/drawing/2014/main" id="{63C38B41-519B-4B84-861B-952C5F11BD26}"/>
            </a:ext>
          </a:extLst>
        </xdr:cNvPr>
        <xdr:cNvPicPr/>
      </xdr:nvPicPr>
      <xdr:blipFill rotWithShape="1">
        <a:blip xmlns:r="http://schemas.openxmlformats.org/officeDocument/2006/relationships" r:embed="rId1"/>
        <a:srcRect l="6276" t="26472" r="90088" b="67694"/>
        <a:stretch/>
      </xdr:blipFill>
      <xdr:spPr bwMode="auto">
        <a:xfrm>
          <a:off x="382362" y="1637620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65</xdr:row>
      <xdr:rowOff>19050</xdr:rowOff>
    </xdr:from>
    <xdr:ext cx="349884" cy="350168"/>
    <xdr:pic>
      <xdr:nvPicPr>
        <xdr:cNvPr id="12" name="Imagen 11">
          <a:extLst>
            <a:ext uri="{FF2B5EF4-FFF2-40B4-BE49-F238E27FC236}">
              <a16:creationId xmlns:a16="http://schemas.microsoft.com/office/drawing/2014/main" id="{B68C63E2-A238-40E0-8B73-7E0F15DE42FF}"/>
            </a:ext>
          </a:extLst>
        </xdr:cNvPr>
        <xdr:cNvPicPr/>
      </xdr:nvPicPr>
      <xdr:blipFill rotWithShape="1">
        <a:blip xmlns:r="http://schemas.openxmlformats.org/officeDocument/2006/relationships" r:embed="rId1"/>
        <a:srcRect l="90522" t="25661" r="3198" b="67370"/>
        <a:stretch/>
      </xdr:blipFill>
      <xdr:spPr bwMode="auto">
        <a:xfrm>
          <a:off x="371475" y="216789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60</xdr:row>
      <xdr:rowOff>142874</xdr:rowOff>
    </xdr:from>
    <xdr:ext cx="390525" cy="322793"/>
    <xdr:pic>
      <xdr:nvPicPr>
        <xdr:cNvPr id="13" name="Imagen 12">
          <a:extLst>
            <a:ext uri="{FF2B5EF4-FFF2-40B4-BE49-F238E27FC236}">
              <a16:creationId xmlns:a16="http://schemas.microsoft.com/office/drawing/2014/main" id="{A2A2E32C-299F-4746-9E66-0CBD679D3B44}"/>
            </a:ext>
          </a:extLst>
        </xdr:cNvPr>
        <xdr:cNvPicPr/>
      </xdr:nvPicPr>
      <xdr:blipFill rotWithShape="1">
        <a:blip xmlns:r="http://schemas.openxmlformats.org/officeDocument/2006/relationships" r:embed="rId1"/>
        <a:srcRect l="73767" t="26471" r="19752" b="66560"/>
        <a:stretch/>
      </xdr:blipFill>
      <xdr:spPr bwMode="auto">
        <a:xfrm>
          <a:off x="390525" y="206882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62</xdr:row>
      <xdr:rowOff>145596</xdr:rowOff>
    </xdr:from>
    <xdr:ext cx="329294" cy="283029"/>
    <xdr:pic>
      <xdr:nvPicPr>
        <xdr:cNvPr id="14" name="Imagen 13">
          <a:extLst>
            <a:ext uri="{FF2B5EF4-FFF2-40B4-BE49-F238E27FC236}">
              <a16:creationId xmlns:a16="http://schemas.microsoft.com/office/drawing/2014/main" id="{1DBD3153-1F02-4A12-AE3E-D5CEB0F60F25}"/>
            </a:ext>
          </a:extLst>
        </xdr:cNvPr>
        <xdr:cNvPicPr/>
      </xdr:nvPicPr>
      <xdr:blipFill rotWithShape="1">
        <a:blip xmlns:r="http://schemas.openxmlformats.org/officeDocument/2006/relationships" r:embed="rId1"/>
        <a:srcRect l="82144" t="25661" r="11217" b="67371"/>
        <a:stretch/>
      </xdr:blipFill>
      <xdr:spPr bwMode="auto">
        <a:xfrm>
          <a:off x="385081" y="2116727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180426</xdr:colOff>
      <xdr:row>113</xdr:row>
      <xdr:rowOff>70480</xdr:rowOff>
    </xdr:from>
    <xdr:ext cx="4010574" cy="22320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25ECB00-7536-48D1-A380-89E198EC2EC0}"/>
                </a:ext>
              </a:extLst>
            </xdr:cNvPr>
            <xdr:cNvSpPr txBox="1"/>
          </xdr:nvSpPr>
          <xdr:spPr>
            <a:xfrm>
              <a:off x="2314026" y="33827080"/>
              <a:ext cx="4010574" cy="22320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r>
                      <a:rPr lang="es-CO" sz="1200" b="1" i="1">
                        <a:solidFill>
                          <a:schemeClr val="tx1"/>
                        </a:solidFill>
                        <a:latin typeface="Cambria Math" panose="02040503050406030204" pitchFamily="18" charset="0"/>
                        <a:ea typeface="Cambria Math" panose="02040503050406030204" pitchFamily="18" charset="0"/>
                      </a:rPr>
                      <m:t>𝑹𝒆𝒈𝒍𝒂</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𝒅𝒆𝒄𝒊𝒔𝒊</m:t>
                    </m:r>
                    <m:r>
                      <a:rPr lang="es-CO" sz="1200" b="1" i="1">
                        <a:solidFill>
                          <a:schemeClr val="tx1"/>
                        </a:solidFill>
                        <a:latin typeface="Cambria Math" panose="02040503050406030204" pitchFamily="18" charset="0"/>
                        <a:ea typeface="Cambria Math" panose="02040503050406030204" pitchFamily="18" charset="0"/>
                      </a:rPr>
                      <m:t>ó</m:t>
                    </m:r>
                    <m:r>
                      <a:rPr lang="es-CO" sz="1200" b="1" i="1">
                        <a:solidFill>
                          <a:schemeClr val="tx1"/>
                        </a:solidFill>
                        <a:latin typeface="Cambria Math" panose="02040503050406030204" pitchFamily="18" charset="0"/>
                        <a:ea typeface="Cambria Math" panose="02040503050406030204" pitchFamily="18" charset="0"/>
                      </a:rPr>
                      <m:t>𝒏</m:t>
                    </m:r>
                    <m:r>
                      <a:rPr lang="es-CO" sz="1200" b="1" i="1">
                        <a:solidFill>
                          <a:schemeClr val="tx1"/>
                        </a:solidFill>
                        <a:latin typeface="Cambria Math" panose="02040503050406030204" pitchFamily="18" charset="0"/>
                        <a:ea typeface="Cambria Math" panose="02040503050406030204" pitchFamily="18" charset="0"/>
                      </a:rPr>
                      <m:t>=|</m:t>
                    </m:r>
                    <m:r>
                      <a:rPr lang="es-CO" sz="1200" b="1" i="0">
                        <a:solidFill>
                          <a:schemeClr val="tx1"/>
                        </a:solidFill>
                        <a:latin typeface="Cambria Math" panose="02040503050406030204" pitchFamily="18" charset="0"/>
                        <a:ea typeface="Cambria Math" panose="02040503050406030204" pitchFamily="18" charset="0"/>
                      </a:rPr>
                      <m:t>𝐄</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𝑼</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𝑬𝑴𝑷</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𝑪𝑼𝑴𝑷𝑳𝑬</m:t>
                    </m:r>
                  </m:oMath>
                </m:oMathPara>
              </a14:m>
              <a:endParaRPr lang="es-CO" sz="12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a16="http://schemas.microsoft.com/office/drawing/2014/main" id="{025ECB00-7536-48D1-A380-89E198EC2EC0}"/>
                </a:ext>
              </a:extLst>
            </xdr:cNvPr>
            <xdr:cNvSpPr txBox="1"/>
          </xdr:nvSpPr>
          <xdr:spPr>
            <a:xfrm>
              <a:off x="2314026" y="33827080"/>
              <a:ext cx="4010574" cy="22320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1" i="0">
                  <a:solidFill>
                    <a:schemeClr val="tx1"/>
                  </a:solidFill>
                  <a:latin typeface="Cambria Math" panose="02040503050406030204" pitchFamily="18" charset="0"/>
                  <a:ea typeface="Cambria Math" panose="02040503050406030204" pitchFamily="18" charset="0"/>
                </a:rPr>
                <a:t>𝑹𝒆𝒈𝒍𝒂 𝒅𝒆 𝒅𝒆𝒄𝒊𝒔𝒊ó𝒏=|𝐄|+𝑼≤𝑬𝑴𝑷=𝑪𝑼𝑴𝑷𝑳𝑬</a:t>
              </a:r>
              <a:endParaRPr lang="es-CO" sz="12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wsDr>
</file>

<file path=xl/persons/person.xml><?xml version="1.0" encoding="utf-8"?>
<personList xmlns="http://schemas.microsoft.com/office/spreadsheetml/2018/threadedcomments" xmlns:x="http://schemas.openxmlformats.org/spreadsheetml/2006/main">
  <person displayName="Elvis Aguirre Romero" id="{1729FB61-DAC7-401C-A52D-D9F05AB42C60}" userId="Elvis Aguirre Romero" providerId="None"/>
  <person displayName="Luis Henry Barreto Rojas" id="{880D5D85-BEDF-4170-839E-C7A920036C64}" userId="Luis Henry Barreto Rojas" providerId="None"/>
</personList>
</file>

<file path=xl/theme/theme1.xml><?xml version="1.0" encoding="utf-8"?>
<a:theme xmlns:a="http://schemas.openxmlformats.org/drawingml/2006/main" name="Tema de Office">
  <a:themeElements>
    <a:clrScheme name="Azul">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Q36" dT="2020-08-24T15:44:37.48" personId="{1729FB61-DAC7-401C-A52D-D9F05AB42C60}" id="{F4C78DFD-55AB-4778-B6B3-60BA6BB83573}">
    <text>Puntos de calibración anterior 2019</text>
  </threadedComment>
  <threadedComment ref="H71" dT="2020-08-24T21:24:22.16" personId="{880D5D85-BEDF-4170-839E-C7A920036C64}" id="{F701700C-9BD6-4B93-BF55-099B5E101711}">
    <text>Valor agregado algebraicamente al resultado no corregido de una medición para compensar un error sistemático. Nota: la corrección es igual al error sistemático, con signo negativo.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66CC"/>
  </sheetPr>
  <dimension ref="A1:CP228"/>
  <sheetViews>
    <sheetView showGridLines="0" view="pageBreakPreview" zoomScale="60" zoomScaleNormal="50" workbookViewId="0">
      <selection activeCell="E1" sqref="E1:AI1"/>
    </sheetView>
  </sheetViews>
  <sheetFormatPr baseColWidth="10" defaultColWidth="15.7109375" defaultRowHeight="35.1" customHeight="1" x14ac:dyDescent="0.2"/>
  <cols>
    <col min="1" max="3" width="15.7109375" style="386"/>
    <col min="4" max="4" width="23.7109375" style="386" bestFit="1" customWidth="1"/>
    <col min="5" max="5" width="24.140625" style="386" customWidth="1"/>
    <col min="6" max="6" width="19.140625" style="386" customWidth="1"/>
    <col min="7" max="7" width="23.140625" style="386" customWidth="1"/>
    <col min="8" max="8" width="15.7109375" style="386"/>
    <col min="9" max="9" width="17.140625" style="386" customWidth="1"/>
    <col min="10" max="10" width="20.7109375" style="386" customWidth="1"/>
    <col min="11" max="11" width="22" style="386" customWidth="1"/>
    <col min="12" max="12" width="18.5703125" style="386" customWidth="1"/>
    <col min="13" max="13" width="20.140625" style="386" customWidth="1"/>
    <col min="14" max="14" width="34.42578125" style="386" bestFit="1" customWidth="1"/>
    <col min="15" max="15" width="19.85546875" style="386" customWidth="1"/>
    <col min="16" max="16" width="16.5703125" style="386" customWidth="1"/>
    <col min="17" max="17" width="17.7109375" style="386" customWidth="1"/>
    <col min="18" max="18" width="18.7109375" style="386" customWidth="1"/>
    <col min="19" max="19" width="16.5703125" style="386" customWidth="1"/>
    <col min="20" max="20" width="17.140625" style="389" customWidth="1"/>
    <col min="21" max="21" width="27" style="389" customWidth="1"/>
    <col min="22" max="22" width="15.5703125" style="389" customWidth="1"/>
    <col min="23" max="23" width="18.7109375" style="389" bestFit="1" customWidth="1"/>
    <col min="24" max="24" width="15.85546875" style="389" customWidth="1"/>
    <col min="25" max="25" width="18.28515625" style="389" customWidth="1"/>
    <col min="26" max="28" width="16" style="389" customWidth="1"/>
    <col min="29" max="33" width="16" style="386" customWidth="1"/>
    <col min="34" max="40" width="20.7109375" style="386" customWidth="1"/>
    <col min="41" max="42" width="15.7109375" style="386"/>
    <col min="43" max="43" width="15.7109375" style="388"/>
    <col min="44" max="45" width="15.7109375" style="386"/>
    <col min="46" max="56" width="16" style="386" customWidth="1"/>
    <col min="57" max="58" width="16" style="386" bestFit="1" customWidth="1"/>
    <col min="59" max="16384" width="15.7109375" style="386"/>
  </cols>
  <sheetData>
    <row r="1" spans="1:94" ht="97.5" customHeight="1" thickBot="1" x14ac:dyDescent="0.25">
      <c r="A1" s="1364"/>
      <c r="B1" s="1365"/>
      <c r="C1" s="1365"/>
      <c r="D1" s="1366"/>
      <c r="E1" s="1376" t="s">
        <v>277</v>
      </c>
      <c r="F1" s="1377"/>
      <c r="G1" s="1377"/>
      <c r="H1" s="1377"/>
      <c r="I1" s="1377"/>
      <c r="J1" s="1377"/>
      <c r="K1" s="1377"/>
      <c r="L1" s="1377"/>
      <c r="M1" s="1377"/>
      <c r="N1" s="1377"/>
      <c r="O1" s="1377"/>
      <c r="P1" s="1377"/>
      <c r="Q1" s="1377"/>
      <c r="R1" s="1377"/>
      <c r="S1" s="1377"/>
      <c r="T1" s="1377"/>
      <c r="U1" s="1377"/>
      <c r="V1" s="1377"/>
      <c r="W1" s="1377"/>
      <c r="X1" s="1377"/>
      <c r="Y1" s="1377"/>
      <c r="Z1" s="1377"/>
      <c r="AA1" s="1377"/>
      <c r="AB1" s="1377"/>
      <c r="AC1" s="1377"/>
      <c r="AD1" s="1377"/>
      <c r="AE1" s="1377"/>
      <c r="AF1" s="1377"/>
      <c r="AG1" s="1377"/>
      <c r="AH1" s="1377"/>
      <c r="AI1" s="1378"/>
      <c r="AJ1" s="385"/>
      <c r="AK1" s="385"/>
      <c r="AL1" s="385"/>
      <c r="AM1" s="385"/>
      <c r="AN1" s="385"/>
      <c r="AO1" s="385"/>
      <c r="AP1" s="385"/>
      <c r="AQ1" s="387"/>
      <c r="AR1" s="385"/>
      <c r="AS1" s="385"/>
      <c r="AT1" s="385"/>
      <c r="AU1" s="385"/>
      <c r="AW1" s="382"/>
      <c r="AX1" s="382"/>
      <c r="AY1" s="385"/>
      <c r="AZ1" s="385"/>
      <c r="BA1" s="385"/>
      <c r="BB1" s="385"/>
      <c r="BC1" s="385"/>
      <c r="BD1" s="385"/>
      <c r="BE1" s="385"/>
      <c r="BF1" s="385"/>
      <c r="BG1" s="385"/>
      <c r="BH1" s="385"/>
      <c r="BI1" s="385"/>
      <c r="BJ1" s="385"/>
      <c r="BK1" s="385"/>
      <c r="BL1" s="385"/>
      <c r="BM1" s="385"/>
    </row>
    <row r="2" spans="1:94" ht="35.1" customHeight="1" x14ac:dyDescent="0.2">
      <c r="C2" s="382"/>
      <c r="T2" s="386"/>
      <c r="U2" s="386"/>
      <c r="V2" s="386"/>
      <c r="W2" s="386"/>
      <c r="X2" s="386"/>
      <c r="Y2" s="386"/>
      <c r="Z2" s="386"/>
      <c r="AA2" s="386"/>
      <c r="AB2" s="386"/>
    </row>
    <row r="3" spans="1:94" ht="35.1" customHeight="1" x14ac:dyDescent="0.2">
      <c r="U3" s="386"/>
      <c r="V3" s="386"/>
      <c r="W3" s="386"/>
      <c r="X3" s="386"/>
      <c r="Y3" s="386"/>
      <c r="Z3" s="386"/>
      <c r="AA3" s="386"/>
      <c r="AB3" s="386"/>
      <c r="AH3" s="389"/>
      <c r="AI3" s="389"/>
      <c r="AJ3" s="389"/>
      <c r="AK3" s="389"/>
      <c r="AL3" s="389"/>
      <c r="AM3" s="389"/>
      <c r="AN3" s="389"/>
      <c r="AO3" s="389"/>
      <c r="AP3" s="389"/>
    </row>
    <row r="4" spans="1:94" ht="30" customHeight="1" thickBot="1" x14ac:dyDescent="0.25">
      <c r="U4" s="386"/>
      <c r="V4" s="386"/>
      <c r="W4" s="386"/>
      <c r="X4" s="386"/>
      <c r="Y4" s="386"/>
      <c r="Z4" s="386"/>
      <c r="AA4" s="386"/>
      <c r="AB4" s="386"/>
      <c r="AV4" s="382"/>
      <c r="BE4" s="382"/>
    </row>
    <row r="5" spans="1:94" ht="69.95" customHeight="1" thickBot="1" x14ac:dyDescent="0.25">
      <c r="D5" s="1350" t="s">
        <v>231</v>
      </c>
      <c r="E5" s="1351"/>
      <c r="F5" s="1351"/>
      <c r="G5" s="1351"/>
      <c r="H5" s="1351"/>
      <c r="I5" s="1351"/>
      <c r="J5" s="1351"/>
      <c r="K5" s="1351"/>
      <c r="L5" s="1351"/>
      <c r="M5" s="1351"/>
      <c r="N5" s="1352"/>
      <c r="U5" s="386"/>
      <c r="V5" s="386"/>
      <c r="W5" s="386"/>
      <c r="X5" s="386"/>
      <c r="Y5" s="386"/>
      <c r="Z5" s="386"/>
      <c r="AA5" s="386"/>
      <c r="AB5" s="386"/>
      <c r="AD5" s="390"/>
      <c r="AV5" s="382"/>
      <c r="BE5" s="391"/>
    </row>
    <row r="6" spans="1:94" ht="77.25" customHeight="1" thickBot="1" x14ac:dyDescent="0.3">
      <c r="D6" s="392" t="s">
        <v>180</v>
      </c>
      <c r="E6" s="393" t="s">
        <v>379</v>
      </c>
      <c r="F6" s="394" t="s">
        <v>157</v>
      </c>
      <c r="G6" s="394" t="s">
        <v>378</v>
      </c>
      <c r="H6" s="394"/>
      <c r="I6" s="394" t="s">
        <v>26</v>
      </c>
      <c r="J6" s="394" t="s">
        <v>644</v>
      </c>
      <c r="K6" s="395" t="s">
        <v>43</v>
      </c>
      <c r="L6" s="395" t="s">
        <v>350</v>
      </c>
      <c r="M6" s="396" t="s">
        <v>268</v>
      </c>
      <c r="N6" s="396" t="s">
        <v>232</v>
      </c>
      <c r="AV6" s="382"/>
      <c r="BE6" s="382"/>
      <c r="BY6" s="397"/>
    </row>
    <row r="7" spans="1:94" ht="30" customHeight="1" thickBot="1" x14ac:dyDescent="0.25">
      <c r="D7" s="398"/>
      <c r="E7" s="399"/>
      <c r="F7" s="399"/>
      <c r="G7" s="399"/>
      <c r="H7" s="400"/>
      <c r="I7" s="399"/>
      <c r="J7" s="399"/>
      <c r="K7" s="399"/>
      <c r="L7" s="399"/>
      <c r="M7" s="401"/>
      <c r="N7" s="402"/>
      <c r="P7" s="1388" t="s">
        <v>321</v>
      </c>
      <c r="Q7" s="1389"/>
      <c r="R7" s="1389"/>
      <c r="S7" s="1389"/>
      <c r="T7" s="1389"/>
      <c r="U7" s="1390"/>
      <c r="AV7" s="403"/>
      <c r="BE7" s="382"/>
    </row>
    <row r="8" spans="1:94" s="404" customFormat="1" ht="30" customHeight="1" thickBot="1" x14ac:dyDescent="0.25">
      <c r="B8" s="386"/>
      <c r="C8" s="386"/>
      <c r="D8" s="717">
        <v>1</v>
      </c>
      <c r="E8" s="342"/>
      <c r="F8" s="1323"/>
      <c r="G8" s="342"/>
      <c r="H8" s="825"/>
      <c r="I8" s="979"/>
      <c r="J8" s="980"/>
      <c r="K8" s="1164"/>
      <c r="L8" s="1164"/>
      <c r="M8" s="1164"/>
      <c r="N8" s="981"/>
      <c r="P8" s="408" t="s">
        <v>180</v>
      </c>
      <c r="Q8" s="1382" t="s">
        <v>322</v>
      </c>
      <c r="R8" s="1383"/>
      <c r="S8" s="1383"/>
      <c r="T8" s="1383"/>
      <c r="U8" s="1384"/>
      <c r="AI8" s="386"/>
      <c r="AJ8" s="386"/>
      <c r="AV8" s="403"/>
      <c r="BE8" s="403"/>
      <c r="BZ8" s="386"/>
      <c r="CA8" s="386"/>
      <c r="CB8" s="386"/>
      <c r="CC8" s="386"/>
      <c r="CD8" s="386"/>
      <c r="CE8" s="386"/>
      <c r="CF8" s="386"/>
      <c r="CG8" s="386"/>
      <c r="CH8" s="386"/>
      <c r="CI8" s="386"/>
      <c r="CJ8" s="386"/>
      <c r="CK8" s="386"/>
      <c r="CL8" s="386"/>
      <c r="CM8" s="386"/>
      <c r="CN8" s="386"/>
      <c r="CO8" s="386"/>
      <c r="CP8" s="386"/>
    </row>
    <row r="9" spans="1:94" s="404" customFormat="1" ht="30" customHeight="1" thickBot="1" x14ac:dyDescent="0.25">
      <c r="B9" s="386"/>
      <c r="C9" s="386"/>
      <c r="D9" s="409"/>
      <c r="E9" s="1334" t="s">
        <v>351</v>
      </c>
      <c r="F9" s="1335"/>
      <c r="G9" s="1334" t="s">
        <v>465</v>
      </c>
      <c r="H9" s="412"/>
      <c r="I9" s="411"/>
      <c r="J9" s="410"/>
      <c r="K9" s="1325"/>
      <c r="L9" s="1326"/>
      <c r="M9" s="410"/>
      <c r="N9" s="413"/>
      <c r="P9" s="414"/>
      <c r="Q9" s="1391"/>
      <c r="R9" s="1392"/>
      <c r="S9" s="1385"/>
      <c r="T9" s="1386"/>
      <c r="U9" s="1387"/>
      <c r="AI9" s="386"/>
      <c r="AJ9" s="386"/>
      <c r="AV9" s="403"/>
      <c r="BE9" s="403"/>
      <c r="BZ9" s="386"/>
      <c r="CA9" s="386"/>
      <c r="CB9" s="386"/>
      <c r="CC9" s="386"/>
      <c r="CD9" s="386"/>
      <c r="CE9" s="386"/>
      <c r="CF9" s="386"/>
      <c r="CG9" s="386"/>
      <c r="CH9" s="386"/>
      <c r="CI9" s="386"/>
      <c r="CJ9" s="386"/>
      <c r="CK9" s="386"/>
      <c r="CL9" s="386"/>
      <c r="CM9" s="386"/>
      <c r="CN9" s="386"/>
      <c r="CO9" s="386"/>
      <c r="CP9" s="386"/>
    </row>
    <row r="10" spans="1:94" s="404" customFormat="1" ht="30" customHeight="1" thickBot="1" x14ac:dyDescent="0.25">
      <c r="B10" s="386"/>
      <c r="C10" s="386"/>
      <c r="D10" s="415"/>
      <c r="E10" s="416"/>
      <c r="F10" s="417"/>
      <c r="G10" s="416"/>
      <c r="H10" s="417"/>
      <c r="I10" s="415"/>
      <c r="J10" s="415"/>
      <c r="K10" s="415"/>
      <c r="L10" s="415"/>
      <c r="M10" s="386"/>
      <c r="N10" s="386"/>
      <c r="O10" s="386"/>
      <c r="P10" s="418" t="s">
        <v>388</v>
      </c>
      <c r="Q10" s="419" t="s">
        <v>424</v>
      </c>
      <c r="R10" s="419"/>
      <c r="S10" s="419" t="s">
        <v>422</v>
      </c>
      <c r="T10" s="420"/>
      <c r="U10" s="421" t="s">
        <v>281</v>
      </c>
      <c r="W10" s="386"/>
      <c r="X10" s="386"/>
      <c r="AI10" s="386"/>
      <c r="AJ10" s="386"/>
      <c r="AV10" s="403"/>
      <c r="BE10" s="403"/>
      <c r="BZ10" s="386"/>
      <c r="CA10" s="386"/>
      <c r="CB10" s="386"/>
      <c r="CC10" s="386"/>
      <c r="CD10" s="386"/>
      <c r="CE10" s="386"/>
      <c r="CF10" s="386"/>
      <c r="CG10" s="386"/>
      <c r="CH10" s="386"/>
      <c r="CI10" s="386"/>
      <c r="CJ10" s="386"/>
      <c r="CK10" s="386"/>
      <c r="CL10" s="386"/>
      <c r="CM10" s="386"/>
      <c r="CN10" s="386"/>
      <c r="CO10" s="386"/>
      <c r="CP10" s="386"/>
    </row>
    <row r="11" spans="1:94" s="404" customFormat="1" ht="30" customHeight="1" x14ac:dyDescent="0.2">
      <c r="B11" s="1353" t="s">
        <v>645</v>
      </c>
      <c r="C11" s="1354"/>
      <c r="D11" s="1354"/>
      <c r="E11" s="1354"/>
      <c r="F11" s="1354"/>
      <c r="G11" s="1354"/>
      <c r="H11" s="1354"/>
      <c r="I11" s="1354"/>
      <c r="J11" s="1354"/>
      <c r="K11" s="1354"/>
      <c r="L11" s="1354"/>
      <c r="M11" s="1354"/>
      <c r="N11" s="1355"/>
      <c r="O11" s="386"/>
      <c r="P11" s="405" t="s">
        <v>229</v>
      </c>
      <c r="Q11" s="422" t="s">
        <v>142</v>
      </c>
      <c r="R11" s="420"/>
      <c r="S11" s="419" t="s">
        <v>423</v>
      </c>
      <c r="T11" s="420"/>
      <c r="U11" s="421" t="s">
        <v>281</v>
      </c>
      <c r="W11" s="386"/>
      <c r="X11" s="386"/>
      <c r="AI11" s="386"/>
      <c r="AJ11" s="386"/>
      <c r="AV11" s="403"/>
      <c r="BE11" s="403"/>
      <c r="BZ11" s="386"/>
      <c r="CA11" s="386"/>
      <c r="CB11" s="386"/>
      <c r="CC11" s="386"/>
      <c r="CD11" s="386"/>
      <c r="CE11" s="386"/>
      <c r="CF11" s="386"/>
      <c r="CG11" s="386"/>
      <c r="CH11" s="386"/>
      <c r="CI11" s="386"/>
      <c r="CJ11" s="386"/>
      <c r="CK11" s="386"/>
      <c r="CL11" s="386"/>
      <c r="CM11" s="386"/>
      <c r="CN11" s="386"/>
      <c r="CO11" s="386"/>
      <c r="CP11" s="386"/>
    </row>
    <row r="12" spans="1:94" s="404" customFormat="1" ht="30" customHeight="1" thickBot="1" x14ac:dyDescent="0.25">
      <c r="B12" s="1356"/>
      <c r="C12" s="1357"/>
      <c r="D12" s="1357"/>
      <c r="E12" s="1357"/>
      <c r="F12" s="1357"/>
      <c r="G12" s="1357"/>
      <c r="H12" s="1357"/>
      <c r="I12" s="1357"/>
      <c r="J12" s="1357"/>
      <c r="K12" s="1357"/>
      <c r="L12" s="1357"/>
      <c r="M12" s="1357"/>
      <c r="N12" s="1358"/>
      <c r="O12" s="386"/>
      <c r="P12" s="423" t="s">
        <v>230</v>
      </c>
      <c r="Q12" s="424" t="s">
        <v>186</v>
      </c>
      <c r="R12" s="425"/>
      <c r="S12" s="426" t="s">
        <v>422</v>
      </c>
      <c r="T12" s="425"/>
      <c r="U12" s="427" t="s">
        <v>281</v>
      </c>
      <c r="W12" s="386"/>
      <c r="X12" s="386"/>
      <c r="Y12" s="403"/>
      <c r="AI12" s="386"/>
      <c r="AJ12" s="386"/>
      <c r="AV12" s="382"/>
      <c r="BE12" s="403"/>
      <c r="BZ12" s="386"/>
      <c r="CA12" s="386"/>
      <c r="CB12" s="386"/>
      <c r="CC12" s="386"/>
      <c r="CD12" s="386"/>
      <c r="CE12" s="386"/>
      <c r="CF12" s="386"/>
      <c r="CG12" s="386"/>
      <c r="CH12" s="386"/>
      <c r="CI12" s="386"/>
      <c r="CJ12" s="386"/>
      <c r="CK12" s="386"/>
      <c r="CL12" s="386"/>
      <c r="CM12" s="386"/>
      <c r="CN12" s="386"/>
      <c r="CO12" s="386"/>
      <c r="CP12" s="386"/>
    </row>
    <row r="13" spans="1:94" ht="97.5" customHeight="1" thickBot="1" x14ac:dyDescent="0.25">
      <c r="B13" s="428" t="s">
        <v>180</v>
      </c>
      <c r="C13" s="429" t="s">
        <v>35</v>
      </c>
      <c r="D13" s="429" t="s">
        <v>36</v>
      </c>
      <c r="E13" s="429" t="s">
        <v>164</v>
      </c>
      <c r="F13" s="429" t="s">
        <v>428</v>
      </c>
      <c r="G13" s="429" t="s">
        <v>427</v>
      </c>
      <c r="H13" s="430" t="s">
        <v>183</v>
      </c>
      <c r="I13" s="429" t="s">
        <v>184</v>
      </c>
      <c r="J13" s="430" t="s">
        <v>475</v>
      </c>
      <c r="K13" s="429" t="s">
        <v>181</v>
      </c>
      <c r="L13" s="429" t="s">
        <v>185</v>
      </c>
      <c r="M13" s="429" t="s">
        <v>476</v>
      </c>
      <c r="N13" s="429" t="s">
        <v>232</v>
      </c>
      <c r="O13" s="389"/>
      <c r="P13" s="389"/>
      <c r="Q13" s="389"/>
      <c r="R13" s="389"/>
      <c r="S13" s="389"/>
      <c r="W13" s="386"/>
      <c r="X13" s="386"/>
      <c r="Y13" s="404"/>
      <c r="AV13" s="382"/>
      <c r="BE13" s="382"/>
    </row>
    <row r="14" spans="1:94" ht="30" customHeight="1" thickBot="1" x14ac:dyDescent="0.25">
      <c r="B14" s="398"/>
      <c r="C14" s="431"/>
      <c r="D14" s="431"/>
      <c r="E14" s="431"/>
      <c r="F14" s="431"/>
      <c r="G14" s="431"/>
      <c r="H14" s="705"/>
      <c r="I14" s="431"/>
      <c r="J14" s="228"/>
      <c r="K14" s="431"/>
      <c r="L14" s="431"/>
      <c r="M14" s="431"/>
      <c r="N14" s="432"/>
      <c r="O14" s="389"/>
      <c r="P14" s="389"/>
      <c r="Q14" s="433"/>
      <c r="R14" s="433"/>
      <c r="S14" s="390"/>
      <c r="T14" s="1379"/>
      <c r="U14" s="1379"/>
      <c r="V14" s="1379"/>
      <c r="W14" s="386"/>
      <c r="X14" s="386"/>
      <c r="Y14" s="386"/>
      <c r="AV14" s="382"/>
      <c r="BE14" s="382"/>
    </row>
    <row r="15" spans="1:94" ht="30" customHeight="1" thickBot="1" x14ac:dyDescent="0.25">
      <c r="B15" s="405">
        <v>1</v>
      </c>
      <c r="C15" s="1164"/>
      <c r="D15" s="982"/>
      <c r="E15" s="983"/>
      <c r="F15" s="1324"/>
      <c r="G15" s="434" t="s">
        <v>352</v>
      </c>
      <c r="H15" s="406" t="e">
        <f>VLOOKUP(H14,'DATOS #'!Y59:AB64,4,FALSE)</f>
        <v>#N/A</v>
      </c>
      <c r="I15" s="406" t="e">
        <f>H15</f>
        <v>#N/A</v>
      </c>
      <c r="J15" s="435" t="e">
        <f>VLOOKUP(J14,'DATOS #'!AH59:AI62,2,FALSE)</f>
        <v>#N/A</v>
      </c>
      <c r="K15" s="436" t="e">
        <f>AVERAGE(K17:K19)</f>
        <v>#DIV/0!</v>
      </c>
      <c r="L15" s="437">
        <v>5.0000000000000001E-3</v>
      </c>
      <c r="M15" s="435">
        <v>9.9000000000000001E-6</v>
      </c>
      <c r="N15" s="438">
        <f>N8</f>
        <v>0</v>
      </c>
      <c r="P15" s="389"/>
      <c r="Q15" s="389"/>
      <c r="R15" s="389"/>
      <c r="T15" s="382"/>
      <c r="Y15" s="386"/>
      <c r="AV15" s="382"/>
      <c r="BE15" s="382"/>
    </row>
    <row r="16" spans="1:94" ht="30" customHeight="1" thickBot="1" x14ac:dyDescent="0.25">
      <c r="B16" s="409"/>
      <c r="C16" s="410"/>
      <c r="D16" s="410"/>
      <c r="E16" s="410"/>
      <c r="F16" s="410"/>
      <c r="G16" s="410"/>
      <c r="H16" s="410"/>
      <c r="I16" s="410"/>
      <c r="J16" s="439"/>
      <c r="K16" s="617" t="s">
        <v>291</v>
      </c>
      <c r="L16" s="440"/>
      <c r="M16" s="410"/>
      <c r="N16" s="441"/>
      <c r="O16" s="442"/>
      <c r="P16" s="389"/>
      <c r="Q16" s="389"/>
      <c r="R16" s="389"/>
      <c r="T16" s="382"/>
      <c r="Y16" s="386"/>
      <c r="AV16" s="382"/>
      <c r="BE16" s="382"/>
    </row>
    <row r="17" spans="1:58" ht="30" customHeight="1" x14ac:dyDescent="0.2">
      <c r="B17" s="382"/>
      <c r="C17" s="382"/>
      <c r="D17" s="415"/>
      <c r="E17" s="416"/>
      <c r="F17" s="443"/>
      <c r="G17" s="416"/>
      <c r="H17" s="443"/>
      <c r="I17" s="416"/>
      <c r="J17" s="416"/>
      <c r="K17" s="984"/>
      <c r="L17" s="416"/>
      <c r="O17" s="389"/>
      <c r="P17" s="389"/>
      <c r="Q17" s="389"/>
      <c r="R17" s="389"/>
      <c r="T17" s="382"/>
      <c r="AV17" s="382"/>
      <c r="BE17" s="382"/>
    </row>
    <row r="18" spans="1:58" ht="30" customHeight="1" x14ac:dyDescent="0.2">
      <c r="B18" s="382"/>
      <c r="C18" s="382"/>
      <c r="D18" s="415"/>
      <c r="E18" s="416"/>
      <c r="F18" s="443"/>
      <c r="G18" s="416"/>
      <c r="H18" s="443"/>
      <c r="I18" s="416"/>
      <c r="J18" s="416"/>
      <c r="K18" s="985"/>
      <c r="L18" s="416"/>
      <c r="O18" s="389"/>
      <c r="P18" s="389"/>
      <c r="Q18" s="389"/>
      <c r="R18" s="389"/>
      <c r="T18" s="382"/>
      <c r="AV18" s="382"/>
      <c r="BE18" s="382"/>
    </row>
    <row r="19" spans="1:58" ht="30" customHeight="1" thickBot="1" x14ac:dyDescent="0.25">
      <c r="A19" s="416"/>
      <c r="B19" s="416"/>
      <c r="C19" s="416"/>
      <c r="D19" s="416"/>
      <c r="E19" s="416"/>
      <c r="F19" s="416"/>
      <c r="G19" s="416"/>
      <c r="H19" s="416"/>
      <c r="I19" s="416"/>
      <c r="J19" s="416"/>
      <c r="K19" s="986"/>
      <c r="L19" s="612"/>
      <c r="M19" s="612"/>
      <c r="N19" s="612"/>
      <c r="O19" s="612"/>
      <c r="P19" s="389"/>
      <c r="Q19" s="389"/>
      <c r="R19" s="389"/>
      <c r="T19" s="382"/>
      <c r="AV19" s="382"/>
      <c r="AW19" s="382"/>
      <c r="AX19" s="382"/>
      <c r="AY19" s="382"/>
      <c r="AZ19" s="382"/>
      <c r="BA19" s="382"/>
      <c r="BB19" s="382"/>
      <c r="BC19" s="382"/>
      <c r="BD19" s="382"/>
      <c r="BE19" s="382"/>
    </row>
    <row r="20" spans="1:58" ht="30" customHeight="1" thickBot="1" x14ac:dyDescent="0.25">
      <c r="A20" s="403"/>
      <c r="B20" s="403"/>
      <c r="C20" s="403"/>
      <c r="D20" s="403"/>
      <c r="E20" s="403"/>
      <c r="F20" s="403"/>
      <c r="G20" s="403"/>
      <c r="H20" s="403"/>
      <c r="I20" s="403"/>
      <c r="J20" s="403"/>
      <c r="K20" s="446"/>
      <c r="L20" s="612"/>
      <c r="M20" s="612"/>
      <c r="N20" s="612"/>
      <c r="O20" s="612"/>
      <c r="P20" s="389"/>
      <c r="Q20" s="389"/>
      <c r="R20" s="389"/>
      <c r="T20" s="382"/>
      <c r="AV20" s="382"/>
      <c r="AW20" s="382"/>
      <c r="AX20" s="382"/>
      <c r="AY20" s="382"/>
      <c r="AZ20" s="382"/>
      <c r="BA20" s="382"/>
      <c r="BB20" s="382"/>
      <c r="BC20" s="382"/>
      <c r="BD20" s="382"/>
      <c r="BE20" s="382"/>
    </row>
    <row r="21" spans="1:58" ht="30" customHeight="1" thickBot="1" x14ac:dyDescent="0.25">
      <c r="A21" s="447"/>
      <c r="B21" s="1359" t="s">
        <v>233</v>
      </c>
      <c r="C21" s="1362"/>
      <c r="D21" s="1362"/>
      <c r="E21" s="1362"/>
      <c r="F21" s="1362"/>
      <c r="G21" s="1362"/>
      <c r="H21" s="1362"/>
      <c r="I21" s="1362"/>
      <c r="J21" s="1362"/>
      <c r="K21" s="1362"/>
      <c r="L21" s="1362"/>
      <c r="M21" s="1362"/>
      <c r="N21" s="1362"/>
      <c r="O21" s="1363"/>
      <c r="P21" s="448"/>
      <c r="Q21" s="389"/>
      <c r="R21" s="389"/>
      <c r="T21" s="382"/>
      <c r="AV21" s="382"/>
      <c r="BE21" s="382"/>
    </row>
    <row r="22" spans="1:58" ht="30" customHeight="1" thickBot="1" x14ac:dyDescent="0.25">
      <c r="A22" s="447"/>
      <c r="B22" s="382"/>
      <c r="C22" s="382"/>
      <c r="D22" s="382"/>
      <c r="E22" s="382"/>
      <c r="F22" s="382"/>
      <c r="G22" s="382"/>
      <c r="H22" s="382"/>
      <c r="I22" s="382"/>
      <c r="J22" s="382"/>
      <c r="K22" s="449"/>
      <c r="L22" s="382"/>
      <c r="M22" s="382"/>
      <c r="N22" s="382"/>
      <c r="O22" s="389"/>
      <c r="P22" s="389"/>
      <c r="Q22" s="389"/>
      <c r="R22" s="389"/>
      <c r="T22" s="382"/>
      <c r="AV22" s="382"/>
      <c r="BE22" s="382"/>
    </row>
    <row r="23" spans="1:58" ht="80.25" customHeight="1" thickBot="1" x14ac:dyDescent="0.25">
      <c r="A23" s="447"/>
      <c r="B23" s="378" t="s">
        <v>312</v>
      </c>
      <c r="C23" s="999" t="s">
        <v>35</v>
      </c>
      <c r="D23" s="999" t="s">
        <v>36</v>
      </c>
      <c r="E23" s="999" t="s">
        <v>164</v>
      </c>
      <c r="F23" s="999" t="s">
        <v>495</v>
      </c>
      <c r="G23" s="999" t="s">
        <v>165</v>
      </c>
      <c r="H23" s="999" t="s">
        <v>282</v>
      </c>
      <c r="I23" s="999" t="s">
        <v>283</v>
      </c>
      <c r="J23" s="999" t="s">
        <v>591</v>
      </c>
      <c r="K23" s="1000" t="s">
        <v>181</v>
      </c>
      <c r="L23" s="1001" t="s">
        <v>353</v>
      </c>
      <c r="M23" s="644" t="s">
        <v>150</v>
      </c>
      <c r="R23" s="389"/>
      <c r="T23" s="382"/>
      <c r="AV23" s="382"/>
      <c r="BE23" s="382"/>
    </row>
    <row r="24" spans="1:58" ht="30" customHeight="1" thickBot="1" x14ac:dyDescent="0.25">
      <c r="A24" s="447"/>
      <c r="B24" s="383"/>
      <c r="C24" s="450"/>
      <c r="D24" s="450"/>
      <c r="E24" s="450"/>
      <c r="F24" s="450"/>
      <c r="G24" s="450"/>
      <c r="H24" s="450"/>
      <c r="I24" s="450"/>
      <c r="J24" s="450"/>
      <c r="K24" s="451"/>
      <c r="L24" s="450"/>
      <c r="M24" s="384"/>
      <c r="Q24" s="1367" t="s">
        <v>507</v>
      </c>
      <c r="R24" s="1368"/>
      <c r="S24" s="1368"/>
      <c r="T24" s="1368"/>
      <c r="U24" s="1368"/>
      <c r="V24" s="1368"/>
      <c r="W24" s="1369"/>
      <c r="AD24" s="382"/>
      <c r="AV24" s="382"/>
      <c r="BE24" s="382"/>
      <c r="BF24" s="382"/>
    </row>
    <row r="25" spans="1:58" ht="30" customHeight="1" thickBot="1" x14ac:dyDescent="0.25">
      <c r="A25" s="447"/>
      <c r="B25" s="452" t="s">
        <v>174</v>
      </c>
      <c r="C25" s="453" t="s">
        <v>63</v>
      </c>
      <c r="D25" s="453" t="s">
        <v>64</v>
      </c>
      <c r="E25" s="453" t="s">
        <v>354</v>
      </c>
      <c r="F25" s="454">
        <v>15.56</v>
      </c>
      <c r="G25" s="967">
        <v>5</v>
      </c>
      <c r="H25" s="455">
        <v>4.0967700000000002</v>
      </c>
      <c r="I25" s="455">
        <f>H25</f>
        <v>4.0967700000000002</v>
      </c>
      <c r="J25" s="453">
        <v>4.7700000000000001E-5</v>
      </c>
      <c r="K25" s="454">
        <f>(5.49+5.5+5.51)/3</f>
        <v>5.5</v>
      </c>
      <c r="L25" s="456">
        <v>5.0000000000000001E-3</v>
      </c>
      <c r="M25" s="457">
        <v>9.9000000000000001E-6</v>
      </c>
      <c r="Q25" s="1370"/>
      <c r="R25" s="1371"/>
      <c r="S25" s="1371"/>
      <c r="T25" s="1371"/>
      <c r="U25" s="1371"/>
      <c r="V25" s="1371"/>
      <c r="W25" s="1372"/>
      <c r="X25" s="386"/>
      <c r="Y25" s="416"/>
      <c r="Z25" s="416"/>
      <c r="AA25" s="416"/>
      <c r="AB25" s="416"/>
      <c r="AC25" s="416"/>
      <c r="AD25" s="382"/>
      <c r="AV25" s="382"/>
      <c r="BE25" s="382"/>
      <c r="BF25" s="382"/>
    </row>
    <row r="26" spans="1:58" ht="30" customHeight="1" thickBot="1" x14ac:dyDescent="0.25">
      <c r="A26" s="447"/>
      <c r="B26" s="458" t="s">
        <v>175</v>
      </c>
      <c r="C26" s="683" t="s">
        <v>63</v>
      </c>
      <c r="D26" s="684" t="s">
        <v>21</v>
      </c>
      <c r="E26" s="683" t="s">
        <v>355</v>
      </c>
      <c r="F26" s="462">
        <v>15.56</v>
      </c>
      <c r="G26" s="971">
        <v>5</v>
      </c>
      <c r="H26" s="463">
        <v>8.1935000000000002</v>
      </c>
      <c r="I26" s="459">
        <f>H26</f>
        <v>8.1935000000000002</v>
      </c>
      <c r="J26" s="459">
        <v>4.7700000000000001E-5</v>
      </c>
      <c r="K26" s="462">
        <f>(7.29+7.26+7.25)/3</f>
        <v>7.2666666666666666</v>
      </c>
      <c r="L26" s="464">
        <v>5.0000000000000001E-3</v>
      </c>
      <c r="M26" s="465">
        <f>M25</f>
        <v>9.9000000000000001E-6</v>
      </c>
      <c r="Q26" s="690"/>
      <c r="R26" s="689" t="s">
        <v>514</v>
      </c>
      <c r="S26" s="689" t="s">
        <v>515</v>
      </c>
      <c r="T26" s="689" t="s">
        <v>516</v>
      </c>
      <c r="U26" s="689" t="s">
        <v>517</v>
      </c>
      <c r="V26" s="689" t="s">
        <v>518</v>
      </c>
      <c r="W26" s="691" t="s">
        <v>519</v>
      </c>
      <c r="X26" s="386"/>
      <c r="Y26" s="416"/>
      <c r="Z26" s="416"/>
      <c r="AA26" s="416"/>
      <c r="AB26" s="416"/>
      <c r="AC26" s="416"/>
      <c r="AD26" s="382"/>
      <c r="AV26" s="382"/>
      <c r="BE26" s="382"/>
      <c r="BF26" s="382"/>
    </row>
    <row r="27" spans="1:58" ht="38.1" customHeight="1" thickBot="1" x14ac:dyDescent="0.25">
      <c r="A27" s="447"/>
      <c r="B27" s="382"/>
      <c r="C27" s="403"/>
      <c r="D27" s="403"/>
      <c r="E27" s="403"/>
      <c r="F27" s="403"/>
      <c r="G27" s="403"/>
      <c r="H27" s="403"/>
      <c r="I27" s="403"/>
      <c r="J27" s="403"/>
      <c r="K27" s="446"/>
      <c r="L27" s="403"/>
      <c r="M27" s="403"/>
      <c r="N27" s="403"/>
      <c r="O27" s="389"/>
      <c r="P27" s="389"/>
      <c r="Q27" s="692" t="s">
        <v>508</v>
      </c>
      <c r="R27" s="673" t="e">
        <f>'Máx. y Mín. #'!D11</f>
        <v>#N/A</v>
      </c>
      <c r="S27" s="673" t="e">
        <f>'Máx. y Mín. #'!D12</f>
        <v>#N/A</v>
      </c>
      <c r="T27" s="673" t="e">
        <f>'Máx. y Mín. #'!E11</f>
        <v>#N/A</v>
      </c>
      <c r="U27" s="673" t="e">
        <f>'Máx. y Mín. #'!E12</f>
        <v>#N/A</v>
      </c>
      <c r="V27" s="673" t="e">
        <f>'Máx. y Mín. #'!F11</f>
        <v>#N/A</v>
      </c>
      <c r="W27" s="674" t="e">
        <f>'Máx. y Mín. #'!F12</f>
        <v>#N/A</v>
      </c>
      <c r="X27" s="386"/>
      <c r="AB27" s="416"/>
      <c r="AC27" s="416"/>
      <c r="AD27" s="382"/>
      <c r="AV27" s="382"/>
      <c r="BE27" s="382"/>
      <c r="BF27" s="382"/>
    </row>
    <row r="28" spans="1:58" ht="50.45" customHeight="1" thickBot="1" x14ac:dyDescent="0.25">
      <c r="A28" s="447"/>
      <c r="B28" s="1359" t="s">
        <v>284</v>
      </c>
      <c r="C28" s="1360"/>
      <c r="D28" s="1360"/>
      <c r="E28" s="1360"/>
      <c r="F28" s="1360"/>
      <c r="G28" s="1360"/>
      <c r="H28" s="1360"/>
      <c r="I28" s="1360"/>
      <c r="J28" s="1360"/>
      <c r="K28" s="1360"/>
      <c r="L28" s="1360"/>
      <c r="M28" s="1360"/>
      <c r="N28" s="1360"/>
      <c r="O28" s="1361"/>
      <c r="Q28" s="693" t="s">
        <v>643</v>
      </c>
      <c r="R28" s="694" t="e">
        <f>'Máx. y Mín. #'!J11</f>
        <v>#N/A</v>
      </c>
      <c r="S28" s="675" t="e">
        <f>'Máx. y Mín. #'!J12</f>
        <v>#N/A</v>
      </c>
      <c r="T28" s="695" t="e">
        <f>'Máx. y Mín. #'!K11</f>
        <v>#N/A</v>
      </c>
      <c r="U28" s="695" t="e">
        <f>'Máx. y Mín. #'!K12</f>
        <v>#N/A</v>
      </c>
      <c r="V28" s="695" t="e">
        <f>'Máx. y Mín. #'!L11</f>
        <v>#N/A</v>
      </c>
      <c r="W28" s="696" t="e">
        <f>'Máx. y Mín. #'!L12</f>
        <v>#N/A</v>
      </c>
      <c r="X28" s="386"/>
      <c r="AB28" s="416"/>
      <c r="AC28" s="416"/>
      <c r="AD28" s="382"/>
      <c r="AV28" s="382"/>
    </row>
    <row r="29" spans="1:58" ht="60" customHeight="1" thickBot="1" x14ac:dyDescent="0.25">
      <c r="A29" s="447"/>
      <c r="B29" s="1373" t="s">
        <v>313</v>
      </c>
      <c r="C29" s="379" t="s">
        <v>312</v>
      </c>
      <c r="D29" s="81" t="s">
        <v>35</v>
      </c>
      <c r="E29" s="81" t="s">
        <v>206</v>
      </c>
      <c r="F29" s="81" t="s">
        <v>205</v>
      </c>
      <c r="G29" s="81" t="s">
        <v>148</v>
      </c>
      <c r="H29" s="81" t="s">
        <v>178</v>
      </c>
      <c r="I29" s="81" t="s">
        <v>146</v>
      </c>
      <c r="J29" s="81" t="s">
        <v>179</v>
      </c>
      <c r="K29" s="466" t="s">
        <v>147</v>
      </c>
      <c r="L29" s="81" t="s">
        <v>216</v>
      </c>
      <c r="M29" s="81" t="s">
        <v>418</v>
      </c>
      <c r="N29" s="81" t="s">
        <v>419</v>
      </c>
      <c r="O29" s="467" t="s">
        <v>408</v>
      </c>
      <c r="R29" s="389"/>
      <c r="S29" s="468"/>
      <c r="T29" s="468"/>
      <c r="U29" s="468"/>
      <c r="V29" s="433"/>
      <c r="X29" s="386"/>
      <c r="AB29" s="416"/>
      <c r="AC29" s="416"/>
      <c r="AD29" s="382"/>
      <c r="AV29" s="382"/>
    </row>
    <row r="30" spans="1:58" ht="30" customHeight="1" thickBot="1" x14ac:dyDescent="0.25">
      <c r="A30" s="447"/>
      <c r="B30" s="1374"/>
      <c r="C30" s="647"/>
      <c r="D30" s="648"/>
      <c r="E30" s="547"/>
      <c r="F30" s="547"/>
      <c r="G30" s="547"/>
      <c r="H30" s="547"/>
      <c r="I30" s="547"/>
      <c r="J30" s="547"/>
      <c r="K30" s="649"/>
      <c r="L30" s="648"/>
      <c r="M30" s="648"/>
      <c r="N30" s="650"/>
      <c r="O30" s="651"/>
      <c r="Q30" s="389"/>
      <c r="R30" s="389"/>
      <c r="S30" s="1381"/>
      <c r="T30" s="1379"/>
      <c r="U30" s="472"/>
      <c r="V30" s="1380"/>
      <c r="X30" s="386"/>
      <c r="AV30" s="382"/>
    </row>
    <row r="31" spans="1:58" ht="30" customHeight="1" x14ac:dyDescent="0.2">
      <c r="A31" s="447"/>
      <c r="B31" s="1375"/>
      <c r="C31" s="473" t="str">
        <f>B25</f>
        <v>V-005</v>
      </c>
      <c r="D31" s="453" t="str">
        <f>C25</f>
        <v>Serhapin test Measure</v>
      </c>
      <c r="E31" s="453" t="str">
        <f>E25</f>
        <v xml:space="preserve">16-5935702    C-I V-005         </v>
      </c>
      <c r="F31" s="987">
        <v>18925.5</v>
      </c>
      <c r="G31" s="455">
        <f>H25</f>
        <v>4.0967700000000002</v>
      </c>
      <c r="H31" s="989">
        <f>'RT03-F11 #'!M30-'DATOS #'!F31</f>
        <v>1.555000000000291</v>
      </c>
      <c r="I31" s="828">
        <v>2.2000000000000002</v>
      </c>
      <c r="J31" s="989">
        <v>2.0499999999999998</v>
      </c>
      <c r="K31" s="973">
        <v>44182</v>
      </c>
      <c r="L31" s="990" t="s">
        <v>496</v>
      </c>
      <c r="M31" s="991">
        <f>F31/1000</f>
        <v>18.9255</v>
      </c>
      <c r="N31" s="1161" t="s">
        <v>641</v>
      </c>
      <c r="O31" s="992">
        <f>(M31-N31)*1000</f>
        <v>-0.96999999999880515</v>
      </c>
      <c r="Q31" s="389"/>
      <c r="R31" s="389"/>
      <c r="S31" s="1381"/>
      <c r="T31" s="1379"/>
      <c r="U31" s="474"/>
      <c r="V31" s="1380"/>
      <c r="AV31" s="382"/>
      <c r="BF31" s="475"/>
    </row>
    <row r="32" spans="1:58" ht="30" customHeight="1" thickBot="1" x14ac:dyDescent="0.25">
      <c r="A32" s="447"/>
      <c r="B32" s="1375"/>
      <c r="C32" s="476" t="str">
        <f>B26</f>
        <v>V-001</v>
      </c>
      <c r="D32" s="459" t="str">
        <f>C26</f>
        <v>Serhapin test Measure</v>
      </c>
      <c r="E32" s="459" t="str">
        <f>E26</f>
        <v>14-92812 C-I V-001</v>
      </c>
      <c r="F32" s="988">
        <v>18933.8737416</v>
      </c>
      <c r="G32" s="463">
        <f>H26</f>
        <v>8.1935000000000002</v>
      </c>
      <c r="H32" s="841">
        <f>'RT03-F11 #'!M31-'DATOS #'!F32</f>
        <v>-6.8187416000000667</v>
      </c>
      <c r="I32" s="841">
        <v>3.03</v>
      </c>
      <c r="J32" s="988">
        <v>2.0169999999999999</v>
      </c>
      <c r="K32" s="977">
        <v>44140</v>
      </c>
      <c r="L32" s="993" t="s">
        <v>497</v>
      </c>
      <c r="M32" s="994">
        <f>F32/1000</f>
        <v>18.933873741599999</v>
      </c>
      <c r="N32" s="1162" t="s">
        <v>642</v>
      </c>
      <c r="O32" s="995">
        <f>(M32-N32)*1000</f>
        <v>0.8337416000010478</v>
      </c>
      <c r="Q32" s="389"/>
      <c r="R32" s="389"/>
      <c r="S32" s="1379"/>
      <c r="T32" s="1379"/>
      <c r="U32" s="1379"/>
      <c r="V32" s="1379"/>
      <c r="AV32" s="382"/>
    </row>
    <row r="33" spans="1:58" ht="30" customHeight="1" x14ac:dyDescent="0.2">
      <c r="A33" s="447"/>
      <c r="B33" s="477"/>
      <c r="C33" s="442"/>
      <c r="D33" s="382"/>
      <c r="E33" s="442"/>
      <c r="F33" s="478"/>
      <c r="G33" s="442"/>
      <c r="H33" s="478"/>
      <c r="I33" s="442"/>
      <c r="J33" s="442"/>
      <c r="K33" s="646"/>
      <c r="L33" s="382"/>
      <c r="M33" s="403"/>
      <c r="N33" s="403"/>
      <c r="Q33" s="389"/>
      <c r="R33" s="389"/>
      <c r="S33" s="433"/>
      <c r="T33" s="479"/>
      <c r="U33" s="433"/>
      <c r="V33" s="433"/>
      <c r="AV33" s="382"/>
      <c r="BF33" s="404"/>
    </row>
    <row r="34" spans="1:58" ht="30" customHeight="1" thickBot="1" x14ac:dyDescent="0.25">
      <c r="A34" s="447"/>
      <c r="B34" s="382"/>
      <c r="C34" s="382"/>
      <c r="D34" s="382"/>
      <c r="E34" s="382"/>
      <c r="F34" s="686"/>
      <c r="G34" s="382"/>
      <c r="H34" s="382"/>
      <c r="I34" s="382"/>
      <c r="J34" s="382"/>
      <c r="K34" s="449"/>
      <c r="L34" s="382"/>
      <c r="M34" s="403"/>
      <c r="N34" s="403"/>
      <c r="Q34" s="389"/>
      <c r="R34" s="389"/>
      <c r="S34" s="433"/>
      <c r="T34" s="433"/>
      <c r="U34" s="433"/>
      <c r="V34" s="433"/>
      <c r="AV34" s="382"/>
      <c r="BF34" s="404"/>
    </row>
    <row r="35" spans="1:58" ht="30" customHeight="1" thickBot="1" x14ac:dyDescent="0.25">
      <c r="A35" s="447"/>
      <c r="B35" s="1359" t="s">
        <v>160</v>
      </c>
      <c r="C35" s="1362"/>
      <c r="D35" s="1362"/>
      <c r="E35" s="1362"/>
      <c r="F35" s="1362"/>
      <c r="G35" s="1362"/>
      <c r="H35" s="1362"/>
      <c r="I35" s="1362"/>
      <c r="J35" s="1362"/>
      <c r="K35" s="1362"/>
      <c r="L35" s="1362"/>
      <c r="M35" s="1362"/>
      <c r="N35" s="1362"/>
      <c r="O35" s="1362"/>
      <c r="P35" s="1362"/>
      <c r="Q35" s="1362"/>
      <c r="R35" s="1363"/>
      <c r="AV35" s="382"/>
      <c r="BF35" s="404"/>
    </row>
    <row r="36" spans="1:58" ht="60" customHeight="1" thickBot="1" x14ac:dyDescent="0.25">
      <c r="A36" s="447"/>
      <c r="B36" s="382"/>
      <c r="C36" s="442"/>
      <c r="D36" s="480" t="s">
        <v>35</v>
      </c>
      <c r="E36" s="376" t="s">
        <v>206</v>
      </c>
      <c r="F36" s="376" t="s">
        <v>425</v>
      </c>
      <c r="G36" s="376" t="s">
        <v>148</v>
      </c>
      <c r="H36" s="376" t="s">
        <v>178</v>
      </c>
      <c r="I36" s="376" t="s">
        <v>146</v>
      </c>
      <c r="J36" s="376" t="s">
        <v>179</v>
      </c>
      <c r="K36" s="481" t="s">
        <v>147</v>
      </c>
      <c r="L36" s="376" t="s">
        <v>216</v>
      </c>
      <c r="M36" s="376" t="s">
        <v>389</v>
      </c>
      <c r="N36" s="376" t="s">
        <v>390</v>
      </c>
      <c r="O36" s="376" t="s">
        <v>426</v>
      </c>
      <c r="P36" s="376" t="s">
        <v>383</v>
      </c>
      <c r="Q36" s="376" t="s">
        <v>384</v>
      </c>
      <c r="R36" s="482" t="s">
        <v>385</v>
      </c>
      <c r="AV36" s="382"/>
      <c r="BF36" s="404"/>
    </row>
    <row r="37" spans="1:58" ht="45" customHeight="1" thickBot="1" x14ac:dyDescent="0.25">
      <c r="A37" s="447"/>
      <c r="B37" s="382"/>
      <c r="C37" s="382"/>
      <c r="D37" s="442"/>
      <c r="E37" s="442"/>
      <c r="F37" s="442"/>
      <c r="G37" s="442"/>
      <c r="H37" s="442"/>
      <c r="I37" s="442"/>
      <c r="J37" s="442"/>
      <c r="K37" s="483"/>
      <c r="L37" s="382"/>
      <c r="M37" s="403"/>
      <c r="N37" s="403"/>
      <c r="AV37" s="382"/>
      <c r="BF37" s="404"/>
    </row>
    <row r="38" spans="1:58" ht="33.950000000000003" customHeight="1" x14ac:dyDescent="0.2">
      <c r="A38" s="447"/>
      <c r="B38" s="1410" t="s">
        <v>315</v>
      </c>
      <c r="C38" s="453" t="s">
        <v>429</v>
      </c>
      <c r="D38" s="1429" t="s">
        <v>215</v>
      </c>
      <c r="E38" s="561" t="s">
        <v>176</v>
      </c>
      <c r="F38" s="842">
        <v>14.032999999999999</v>
      </c>
      <c r="G38" s="455">
        <v>1E-3</v>
      </c>
      <c r="H38" s="827">
        <v>-1.9E-2</v>
      </c>
      <c r="I38" s="827">
        <v>4.3999999999999997E-2</v>
      </c>
      <c r="J38" s="781">
        <v>1.96</v>
      </c>
      <c r="K38" s="973">
        <v>44320</v>
      </c>
      <c r="L38" s="1445" t="s">
        <v>542</v>
      </c>
      <c r="M38" s="562">
        <f>SLOPE($H$38:$H$42,$F$38:$F$42)</f>
        <v>-1.9140608286119431E-3</v>
      </c>
      <c r="N38" s="562">
        <f>INTERCEPT($H$38:$H$42,$F$38:$F$42)</f>
        <v>8.5720333590149529E-3</v>
      </c>
      <c r="O38" s="453">
        <v>14</v>
      </c>
      <c r="P38" s="842">
        <f>F38</f>
        <v>14.032999999999999</v>
      </c>
      <c r="Q38" s="842">
        <v>14.031000000000001</v>
      </c>
      <c r="R38" s="996">
        <f>P38-Q38</f>
        <v>1.9999999999988916E-3</v>
      </c>
      <c r="AV38" s="382"/>
      <c r="BF38" s="404"/>
    </row>
    <row r="39" spans="1:58" ht="33.950000000000003" customHeight="1" thickBot="1" x14ac:dyDescent="0.25">
      <c r="A39" s="447"/>
      <c r="B39" s="1411"/>
      <c r="C39" s="407" t="s">
        <v>430</v>
      </c>
      <c r="D39" s="1430"/>
      <c r="E39" s="557" t="s">
        <v>176</v>
      </c>
      <c r="F39" s="845">
        <v>16.036999999999999</v>
      </c>
      <c r="G39" s="406">
        <v>1E-3</v>
      </c>
      <c r="H39" s="845">
        <v>-2.1999999999999999E-2</v>
      </c>
      <c r="I39" s="844">
        <v>4.3999999999999997E-2</v>
      </c>
      <c r="J39" s="779">
        <v>1.96</v>
      </c>
      <c r="K39" s="975">
        <v>44320</v>
      </c>
      <c r="L39" s="1440"/>
      <c r="M39" s="558">
        <f>SLOPE($H$38:$H$42,$F$38:$F$42)</f>
        <v>-1.9140608286119431E-3</v>
      </c>
      <c r="N39" s="558">
        <f>INTERCEPT($H$38:$H$42,$F$38:$F$42)</f>
        <v>8.5720333590149529E-3</v>
      </c>
      <c r="O39" s="407">
        <v>16</v>
      </c>
      <c r="P39" s="845">
        <f>F39</f>
        <v>16.036999999999999</v>
      </c>
      <c r="Q39" s="845">
        <v>16.033000000000001</v>
      </c>
      <c r="R39" s="997">
        <f>P39-Q39</f>
        <v>3.9999999999977831E-3</v>
      </c>
      <c r="AV39" s="382"/>
      <c r="BF39" s="404"/>
    </row>
    <row r="40" spans="1:58" ht="33.950000000000003" customHeight="1" thickBot="1" x14ac:dyDescent="0.25">
      <c r="A40" s="567" t="s">
        <v>278</v>
      </c>
      <c r="B40" s="1411"/>
      <c r="C40" s="407" t="s">
        <v>431</v>
      </c>
      <c r="D40" s="1430"/>
      <c r="E40" s="557" t="s">
        <v>176</v>
      </c>
      <c r="F40" s="845">
        <v>17.035</v>
      </c>
      <c r="G40" s="406">
        <v>1E-3</v>
      </c>
      <c r="H40" s="845">
        <v>-2.3E-2</v>
      </c>
      <c r="I40" s="844">
        <v>4.3999999999999997E-2</v>
      </c>
      <c r="J40" s="779">
        <v>1.96</v>
      </c>
      <c r="K40" s="975">
        <v>44320</v>
      </c>
      <c r="L40" s="1440"/>
      <c r="M40" s="559">
        <f>SLOPE($H$38:$H$42,$F$38:$F$42)</f>
        <v>-1.9140608286119431E-3</v>
      </c>
      <c r="N40" s="559">
        <f>INTERCEPT($H$38:$H$42,$F$38:$F$42)</f>
        <v>8.5720333590149529E-3</v>
      </c>
      <c r="O40" s="406">
        <v>17</v>
      </c>
      <c r="P40" s="845">
        <f>F40</f>
        <v>17.035</v>
      </c>
      <c r="Q40" s="845">
        <v>17.032</v>
      </c>
      <c r="R40" s="997">
        <f>P40-Q40</f>
        <v>3.0000000000001137E-3</v>
      </c>
      <c r="AV40" s="382"/>
    </row>
    <row r="41" spans="1:58" ht="33.950000000000003" customHeight="1" x14ac:dyDescent="0.2">
      <c r="A41" s="447"/>
      <c r="B41" s="1411"/>
      <c r="C41" s="407" t="s">
        <v>432</v>
      </c>
      <c r="D41" s="1430"/>
      <c r="E41" s="557" t="s">
        <v>177</v>
      </c>
      <c r="F41" s="844">
        <v>18.033999999999999</v>
      </c>
      <c r="G41" s="406">
        <v>1E-3</v>
      </c>
      <c r="H41" s="844">
        <v>-2.5999999999999999E-2</v>
      </c>
      <c r="I41" s="844">
        <v>4.3999999999999997E-2</v>
      </c>
      <c r="J41" s="779">
        <v>1.96</v>
      </c>
      <c r="K41" s="975">
        <v>44320</v>
      </c>
      <c r="L41" s="1440"/>
      <c r="M41" s="558">
        <f>SLOPE($H$38:$H$42,$F$38:$F$42)</f>
        <v>-1.9140608286119431E-3</v>
      </c>
      <c r="N41" s="558">
        <f>INTERCEPT($H$38:$H$42,$F$38:$F$42)</f>
        <v>8.5720333590149529E-3</v>
      </c>
      <c r="O41" s="406">
        <v>18</v>
      </c>
      <c r="P41" s="845">
        <f>F41</f>
        <v>18.033999999999999</v>
      </c>
      <c r="Q41" s="844">
        <v>18.027999999999999</v>
      </c>
      <c r="R41" s="997">
        <f>P41-Q41</f>
        <v>6.0000000000002274E-3</v>
      </c>
      <c r="AB41" s="416"/>
      <c r="AC41" s="416"/>
      <c r="AD41" s="382"/>
      <c r="AV41" s="382"/>
    </row>
    <row r="42" spans="1:58" ht="33.950000000000003" customHeight="1" thickBot="1" x14ac:dyDescent="0.25">
      <c r="A42" s="447"/>
      <c r="B42" s="1412"/>
      <c r="C42" s="459" t="s">
        <v>433</v>
      </c>
      <c r="D42" s="1431"/>
      <c r="E42" s="563" t="s">
        <v>176</v>
      </c>
      <c r="F42" s="847">
        <v>22.036999999999999</v>
      </c>
      <c r="G42" s="463">
        <v>1E-3</v>
      </c>
      <c r="H42" s="847">
        <v>-3.4000000000000002E-2</v>
      </c>
      <c r="I42" s="847">
        <v>4.3999999999999997E-2</v>
      </c>
      <c r="J42" s="780">
        <v>1.96</v>
      </c>
      <c r="K42" s="977">
        <v>44320</v>
      </c>
      <c r="L42" s="1441"/>
      <c r="M42" s="564">
        <f>SLOPE($H$38:$H$42,$F$38:$F$42)</f>
        <v>-1.9140608286119431E-3</v>
      </c>
      <c r="N42" s="564">
        <f>INTERCEPT($H$38:$H$42,$F$38:$F$42)</f>
        <v>8.5720333590149529E-3</v>
      </c>
      <c r="O42" s="463">
        <v>22</v>
      </c>
      <c r="P42" s="848">
        <f>F42</f>
        <v>22.036999999999999</v>
      </c>
      <c r="Q42" s="847">
        <v>22.030999999999999</v>
      </c>
      <c r="R42" s="998">
        <f>P42-Q42</f>
        <v>6.0000000000002274E-3</v>
      </c>
      <c r="S42" s="403"/>
      <c r="T42" s="486"/>
      <c r="U42" s="486"/>
      <c r="V42" s="486"/>
      <c r="AB42" s="416"/>
      <c r="AC42" s="416"/>
      <c r="AD42" s="382"/>
      <c r="AV42" s="382"/>
    </row>
    <row r="43" spans="1:58" ht="30" customHeight="1" thickBot="1" x14ac:dyDescent="0.25">
      <c r="A43" s="442"/>
      <c r="B43" s="442"/>
      <c r="C43" s="442"/>
      <c r="D43" s="382"/>
      <c r="E43" s="568"/>
      <c r="F43" s="569"/>
      <c r="G43" s="442"/>
      <c r="H43" s="442"/>
      <c r="I43" s="442"/>
      <c r="J43" s="442"/>
      <c r="K43" s="483"/>
      <c r="L43" s="433"/>
      <c r="M43" s="433"/>
      <c r="N43" s="433"/>
      <c r="O43" s="382"/>
      <c r="P43" s="382"/>
      <c r="Q43" s="382"/>
      <c r="R43" s="824"/>
      <c r="S43" s="824"/>
      <c r="T43" s="468"/>
      <c r="U43" s="468"/>
      <c r="V43" s="433"/>
      <c r="W43" s="386"/>
      <c r="AB43" s="416"/>
      <c r="AC43" s="416"/>
      <c r="AD43" s="382"/>
      <c r="AV43" s="382"/>
    </row>
    <row r="44" spans="1:58" ht="39.950000000000003" customHeight="1" x14ac:dyDescent="0.2">
      <c r="A44" s="447"/>
      <c r="B44" s="1465" t="s">
        <v>314</v>
      </c>
      <c r="C44" s="1056" t="s">
        <v>604</v>
      </c>
      <c r="D44" s="1468" t="s">
        <v>215</v>
      </c>
      <c r="E44" s="870" t="s">
        <v>602</v>
      </c>
      <c r="F44" s="989">
        <v>14.069000000000001</v>
      </c>
      <c r="G44" s="455">
        <v>1E-3</v>
      </c>
      <c r="H44" s="827">
        <v>-5.3999999999999999E-2</v>
      </c>
      <c r="I44" s="827">
        <v>4.3999999999999997E-2</v>
      </c>
      <c r="J44" s="872">
        <v>1.96</v>
      </c>
      <c r="K44" s="973">
        <v>44320</v>
      </c>
      <c r="L44" s="1449" t="s">
        <v>603</v>
      </c>
      <c r="M44" s="562">
        <f>SLOPE($H$44:$H$48,$F$44:$F$48)</f>
        <v>-2.1298279591509895E-3</v>
      </c>
      <c r="N44" s="484">
        <f>INTERCEPT($H$44:$H$48,$F$44:$F$48)</f>
        <v>-2.3788923794489401E-2</v>
      </c>
      <c r="O44" s="453">
        <v>14</v>
      </c>
      <c r="P44" s="842">
        <f>F44</f>
        <v>14.069000000000001</v>
      </c>
      <c r="Q44" s="827">
        <v>14.068</v>
      </c>
      <c r="R44" s="996">
        <f>P44-Q44</f>
        <v>1.0000000000012221E-3</v>
      </c>
      <c r="W44" s="386"/>
      <c r="AB44" s="416"/>
      <c r="AV44" s="382"/>
    </row>
    <row r="45" spans="1:58" ht="39.950000000000003" customHeight="1" thickBot="1" x14ac:dyDescent="0.25">
      <c r="A45" s="447"/>
      <c r="B45" s="1466"/>
      <c r="C45" s="1054" t="s">
        <v>605</v>
      </c>
      <c r="D45" s="1469"/>
      <c r="E45" s="871" t="s">
        <v>602</v>
      </c>
      <c r="F45" s="855">
        <v>16.074000000000002</v>
      </c>
      <c r="G45" s="406">
        <v>1E-3</v>
      </c>
      <c r="H45" s="844">
        <v>-5.8999999999999997E-2</v>
      </c>
      <c r="I45" s="844">
        <v>4.3999999999999997E-2</v>
      </c>
      <c r="J45" s="873">
        <v>1.96</v>
      </c>
      <c r="K45" s="975">
        <v>44320</v>
      </c>
      <c r="L45" s="1450"/>
      <c r="M45" s="558">
        <f>SLOPE($H$44:$H$48,$F$44:$F$48)</f>
        <v>-2.1298279591509895E-3</v>
      </c>
      <c r="N45" s="485">
        <f>INTERCEPT($H$44:$H$48,$F$44:$F$48)</f>
        <v>-2.3788923794489401E-2</v>
      </c>
      <c r="O45" s="825">
        <v>16</v>
      </c>
      <c r="P45" s="845">
        <f>F45</f>
        <v>16.074000000000002</v>
      </c>
      <c r="Q45" s="845">
        <v>16.07</v>
      </c>
      <c r="R45" s="997">
        <f>P45-Q45</f>
        <v>4.0000000000013358E-3</v>
      </c>
      <c r="W45" s="386"/>
      <c r="AB45" s="416"/>
      <c r="AV45" s="382"/>
    </row>
    <row r="46" spans="1:58" ht="39.950000000000003" customHeight="1" thickBot="1" x14ac:dyDescent="0.25">
      <c r="A46" s="566" t="s">
        <v>601</v>
      </c>
      <c r="B46" s="1466"/>
      <c r="C46" s="1054" t="s">
        <v>606</v>
      </c>
      <c r="D46" s="1469"/>
      <c r="E46" s="557" t="s">
        <v>602</v>
      </c>
      <c r="F46" s="855">
        <v>17.07</v>
      </c>
      <c r="G46" s="406">
        <v>1E-3</v>
      </c>
      <c r="H46" s="844">
        <v>-5.8000000000000003E-2</v>
      </c>
      <c r="I46" s="844">
        <v>4.3999999999999997E-2</v>
      </c>
      <c r="J46" s="873">
        <v>1.96</v>
      </c>
      <c r="K46" s="975">
        <v>44320</v>
      </c>
      <c r="L46" s="1450"/>
      <c r="M46" s="559">
        <f>SLOPE($H$44:$H$48,$F$44:$F$48)</f>
        <v>-2.1298279591509895E-3</v>
      </c>
      <c r="N46" s="560">
        <f>INTERCEPT($H$44:$H$48,$F$44:$F$48)</f>
        <v>-2.3788923794489401E-2</v>
      </c>
      <c r="O46" s="406">
        <v>17</v>
      </c>
      <c r="P46" s="845">
        <f>F46</f>
        <v>17.07</v>
      </c>
      <c r="Q46" s="844">
        <v>17.068999999999999</v>
      </c>
      <c r="R46" s="997">
        <f>P46-Q46</f>
        <v>1.0000000000012221E-3</v>
      </c>
      <c r="W46" s="386"/>
      <c r="AB46" s="416"/>
      <c r="AV46" s="382"/>
    </row>
    <row r="47" spans="1:58" ht="39.950000000000003" customHeight="1" x14ac:dyDescent="0.2">
      <c r="A47" s="447"/>
      <c r="B47" s="1466"/>
      <c r="C47" s="1054" t="s">
        <v>607</v>
      </c>
      <c r="D47" s="1469"/>
      <c r="E47" s="557" t="s">
        <v>602</v>
      </c>
      <c r="F47" s="855">
        <v>18.07</v>
      </c>
      <c r="G47" s="406">
        <v>1E-3</v>
      </c>
      <c r="H47" s="844">
        <v>-6.3E-2</v>
      </c>
      <c r="I47" s="844">
        <v>4.3999999999999997E-2</v>
      </c>
      <c r="J47" s="873">
        <v>1.96</v>
      </c>
      <c r="K47" s="975">
        <v>44320</v>
      </c>
      <c r="L47" s="1450"/>
      <c r="M47" s="558">
        <f>SLOPE($H$44:$H$48,$F$44:$F$48)</f>
        <v>-2.1298279591509895E-3</v>
      </c>
      <c r="N47" s="485">
        <f>INTERCEPT($H$44:$H$48,$F$44:$F$48)</f>
        <v>-2.3788923794489401E-2</v>
      </c>
      <c r="O47" s="406">
        <v>18</v>
      </c>
      <c r="P47" s="845">
        <f>F47</f>
        <v>18.07</v>
      </c>
      <c r="Q47" s="844">
        <v>18.065999999999999</v>
      </c>
      <c r="R47" s="997">
        <f>P47-Q47</f>
        <v>4.0000000000013358E-3</v>
      </c>
      <c r="W47" s="386"/>
      <c r="AB47" s="416"/>
      <c r="AV47" s="382"/>
    </row>
    <row r="48" spans="1:58" ht="39.950000000000003" customHeight="1" thickBot="1" x14ac:dyDescent="0.25">
      <c r="A48" s="447"/>
      <c r="B48" s="1467"/>
      <c r="C48" s="1055" t="s">
        <v>608</v>
      </c>
      <c r="D48" s="1470"/>
      <c r="E48" s="563" t="s">
        <v>602</v>
      </c>
      <c r="F48" s="988">
        <v>22.074000000000002</v>
      </c>
      <c r="G48" s="463">
        <v>1E-3</v>
      </c>
      <c r="H48" s="847">
        <v>-7.0999999999999994E-2</v>
      </c>
      <c r="I48" s="847">
        <v>4.3999999999999997E-2</v>
      </c>
      <c r="J48" s="874">
        <v>1.96</v>
      </c>
      <c r="K48" s="977">
        <v>44320</v>
      </c>
      <c r="L48" s="1451"/>
      <c r="M48" s="564">
        <f>SLOPE($H$44:$H$48,$F$44:$F$48)</f>
        <v>-2.1298279591509895E-3</v>
      </c>
      <c r="N48" s="565">
        <f>INTERCEPT($H$44:$H$48,$F$44:$F$48)</f>
        <v>-2.3788923794489401E-2</v>
      </c>
      <c r="O48" s="463">
        <v>22</v>
      </c>
      <c r="P48" s="848">
        <f>F48</f>
        <v>22.074000000000002</v>
      </c>
      <c r="Q48" s="848">
        <v>22.07</v>
      </c>
      <c r="R48" s="998">
        <f>P48-Q48</f>
        <v>4.0000000000013358E-3</v>
      </c>
      <c r="W48" s="416"/>
      <c r="X48" s="386"/>
      <c r="Y48" s="386"/>
      <c r="Z48" s="386"/>
      <c r="AB48" s="416"/>
      <c r="AV48" s="382"/>
    </row>
    <row r="49" spans="1:58" ht="39.950000000000003" customHeight="1" thickBot="1" x14ac:dyDescent="0.25">
      <c r="A49" s="447"/>
      <c r="H49" s="488"/>
      <c r="Q49" s="415"/>
      <c r="R49" s="416"/>
      <c r="T49" s="486"/>
      <c r="U49" s="433"/>
      <c r="V49" s="433"/>
      <c r="W49" s="416"/>
      <c r="X49" s="386"/>
      <c r="Y49" s="386"/>
      <c r="Z49" s="386"/>
      <c r="AB49" s="416"/>
      <c r="AC49" s="416"/>
      <c r="AD49" s="382"/>
      <c r="AV49" s="382"/>
    </row>
    <row r="50" spans="1:58" ht="39.950000000000003" customHeight="1" x14ac:dyDescent="0.2">
      <c r="A50" s="447"/>
      <c r="B50" s="1410" t="s">
        <v>314</v>
      </c>
      <c r="C50" s="1053" t="s">
        <v>576</v>
      </c>
      <c r="D50" s="1429" t="s">
        <v>586</v>
      </c>
      <c r="E50" s="870" t="s">
        <v>587</v>
      </c>
      <c r="F50" s="989">
        <v>13.97</v>
      </c>
      <c r="G50" s="455">
        <v>0.01</v>
      </c>
      <c r="H50" s="827">
        <v>3.6999999999999998E-2</v>
      </c>
      <c r="I50" s="827">
        <v>2.1999999999999999E-2</v>
      </c>
      <c r="J50" s="781">
        <v>2</v>
      </c>
      <c r="K50" s="973">
        <v>44522</v>
      </c>
      <c r="L50" s="1439" t="s">
        <v>589</v>
      </c>
      <c r="M50" s="562">
        <f>SLOPE($H$50:$H$54,$F$50:$F$54)</f>
        <v>-1.9358080586628417E-3</v>
      </c>
      <c r="N50" s="562">
        <f>INTERCEPT($H$50:$H$54,$F$50:$F$54)</f>
        <v>6.5232729211208221E-2</v>
      </c>
      <c r="O50" s="453">
        <v>14</v>
      </c>
      <c r="P50" s="842">
        <f>F50</f>
        <v>13.97</v>
      </c>
      <c r="Q50" s="842">
        <v>14.031000000000001</v>
      </c>
      <c r="R50" s="996">
        <f>P50-Q50</f>
        <v>-6.0999999999999943E-2</v>
      </c>
      <c r="T50" s="386"/>
      <c r="U50" s="386"/>
      <c r="V50" s="386"/>
      <c r="W50" s="416"/>
      <c r="X50" s="386"/>
      <c r="Y50" s="386"/>
      <c r="Z50" s="386"/>
      <c r="AA50" s="416"/>
      <c r="AB50" s="416"/>
      <c r="AC50" s="416"/>
      <c r="AD50" s="382"/>
      <c r="AV50" s="382"/>
    </row>
    <row r="51" spans="1:58" ht="39.950000000000003" customHeight="1" thickBot="1" x14ac:dyDescent="0.25">
      <c r="A51" s="447"/>
      <c r="B51" s="1411"/>
      <c r="C51" s="868" t="s">
        <v>577</v>
      </c>
      <c r="D51" s="1430"/>
      <c r="E51" s="557" t="s">
        <v>587</v>
      </c>
      <c r="F51" s="855">
        <v>15.97</v>
      </c>
      <c r="G51" s="406">
        <v>0.01</v>
      </c>
      <c r="H51" s="845">
        <v>3.5000000000000003E-2</v>
      </c>
      <c r="I51" s="844">
        <v>2.1999999999999999E-2</v>
      </c>
      <c r="J51" s="779">
        <v>2</v>
      </c>
      <c r="K51" s="975">
        <v>44522</v>
      </c>
      <c r="L51" s="1440"/>
      <c r="M51" s="558">
        <f>SLOPE($H$50:$H$54,$F$50:$F$54)</f>
        <v>-1.9358080586628417E-3</v>
      </c>
      <c r="N51" s="558">
        <f>INTERCEPT($H$50:$H$54,$F$50:$F$54)</f>
        <v>6.5232729211208221E-2</v>
      </c>
      <c r="O51" s="825">
        <v>16</v>
      </c>
      <c r="P51" s="845">
        <f>F51</f>
        <v>15.97</v>
      </c>
      <c r="Q51" s="845">
        <v>16.033000000000001</v>
      </c>
      <c r="R51" s="997">
        <f>P51-Q51</f>
        <v>-6.3000000000000611E-2</v>
      </c>
      <c r="U51" s="416"/>
      <c r="V51" s="416"/>
      <c r="W51" s="416"/>
      <c r="X51" s="416"/>
      <c r="Y51" s="416"/>
      <c r="Z51" s="416"/>
      <c r="AA51" s="416"/>
      <c r="AB51" s="416"/>
      <c r="AC51" s="416"/>
      <c r="AD51" s="382"/>
      <c r="AV51" s="382"/>
    </row>
    <row r="52" spans="1:58" ht="39.950000000000003" customHeight="1" thickBot="1" x14ac:dyDescent="0.25">
      <c r="A52" s="567" t="s">
        <v>574</v>
      </c>
      <c r="B52" s="1411"/>
      <c r="C52" s="868" t="s">
        <v>578</v>
      </c>
      <c r="D52" s="1430"/>
      <c r="E52" s="557" t="s">
        <v>587</v>
      </c>
      <c r="F52" s="855">
        <v>16.97</v>
      </c>
      <c r="G52" s="406">
        <v>0.01</v>
      </c>
      <c r="H52" s="845">
        <v>3.6999999999999998E-2</v>
      </c>
      <c r="I52" s="844">
        <v>2.1999999999999999E-2</v>
      </c>
      <c r="J52" s="779">
        <v>2</v>
      </c>
      <c r="K52" s="975">
        <v>44522</v>
      </c>
      <c r="L52" s="1440"/>
      <c r="M52" s="559">
        <f>SLOPE($H$50:$H$54,$F$50:$F$54)</f>
        <v>-1.9358080586628417E-3</v>
      </c>
      <c r="N52" s="558">
        <f>INTERCEPT($H$50:$H$54,$F$50:$F$54)</f>
        <v>6.5232729211208221E-2</v>
      </c>
      <c r="O52" s="406">
        <v>17</v>
      </c>
      <c r="P52" s="845">
        <f>F52</f>
        <v>16.97</v>
      </c>
      <c r="Q52" s="845">
        <v>17.032</v>
      </c>
      <c r="R52" s="997">
        <f>P52-Q52</f>
        <v>-6.2000000000001165E-2</v>
      </c>
      <c r="U52" s="416"/>
      <c r="V52" s="416"/>
      <c r="AV52" s="382"/>
    </row>
    <row r="53" spans="1:58" ht="39.950000000000003" customHeight="1" x14ac:dyDescent="0.2">
      <c r="A53" s="447"/>
      <c r="B53" s="1411"/>
      <c r="C53" s="868" t="s">
        <v>579</v>
      </c>
      <c r="D53" s="1430"/>
      <c r="E53" s="557" t="s">
        <v>587</v>
      </c>
      <c r="F53" s="855">
        <v>17.98</v>
      </c>
      <c r="G53" s="406">
        <v>0.01</v>
      </c>
      <c r="H53" s="844">
        <v>2.5999999999999999E-2</v>
      </c>
      <c r="I53" s="844">
        <v>2.1999999999999999E-2</v>
      </c>
      <c r="J53" s="779">
        <v>2</v>
      </c>
      <c r="K53" s="975">
        <v>44522</v>
      </c>
      <c r="L53" s="1440"/>
      <c r="M53" s="558">
        <f>SLOPE($H$50:$H$54,$F$50:$F$54)</f>
        <v>-1.9358080586628417E-3</v>
      </c>
      <c r="N53" s="558">
        <f>INTERCEPT($H$50:$H$54,$F$50:$F$54)</f>
        <v>6.5232729211208221E-2</v>
      </c>
      <c r="O53" s="406">
        <v>18</v>
      </c>
      <c r="P53" s="845">
        <f>F53</f>
        <v>17.98</v>
      </c>
      <c r="Q53" s="844">
        <v>18.027999999999999</v>
      </c>
      <c r="R53" s="997">
        <f>P53-Q53</f>
        <v>-4.7999999999998266E-2</v>
      </c>
      <c r="U53" s="416"/>
      <c r="V53" s="416"/>
      <c r="AV53" s="382"/>
      <c r="AW53" s="382"/>
      <c r="AX53" s="382"/>
      <c r="AY53" s="382"/>
      <c r="AZ53" s="382"/>
      <c r="BA53" s="382"/>
      <c r="BB53" s="382"/>
      <c r="BC53" s="382"/>
      <c r="BD53" s="382"/>
      <c r="BE53" s="382"/>
      <c r="BF53" s="382"/>
    </row>
    <row r="54" spans="1:58" ht="39.950000000000003" customHeight="1" thickBot="1" x14ac:dyDescent="0.25">
      <c r="A54" s="447"/>
      <c r="B54" s="1412"/>
      <c r="C54" s="869" t="s">
        <v>580</v>
      </c>
      <c r="D54" s="1431"/>
      <c r="E54" s="563" t="s">
        <v>587</v>
      </c>
      <c r="F54" s="988">
        <v>21.98</v>
      </c>
      <c r="G54" s="463">
        <v>0.01</v>
      </c>
      <c r="H54" s="847">
        <v>2.3E-2</v>
      </c>
      <c r="I54" s="847">
        <v>2.1999999999999999E-2</v>
      </c>
      <c r="J54" s="780">
        <v>2</v>
      </c>
      <c r="K54" s="977">
        <v>44522</v>
      </c>
      <c r="L54" s="1441"/>
      <c r="M54" s="564">
        <f>SLOPE($H$50:$H$54,$F$50:$F$54)</f>
        <v>-1.9358080586628417E-3</v>
      </c>
      <c r="N54" s="564">
        <f>INTERCEPT($H$50:$H$54,$F$50:$F$54)</f>
        <v>6.5232729211208221E-2</v>
      </c>
      <c r="O54" s="463">
        <v>22</v>
      </c>
      <c r="P54" s="848">
        <f>F54</f>
        <v>21.98</v>
      </c>
      <c r="Q54" s="847">
        <v>22.030999999999999</v>
      </c>
      <c r="R54" s="998">
        <f>P54-Q54</f>
        <v>-5.099999999999838E-2</v>
      </c>
      <c r="U54" s="416"/>
      <c r="V54" s="416"/>
      <c r="AV54" s="382"/>
      <c r="AW54" s="382"/>
      <c r="AX54" s="382"/>
      <c r="AY54" s="382"/>
      <c r="AZ54" s="382"/>
      <c r="BA54" s="382"/>
      <c r="BB54" s="382"/>
      <c r="BC54" s="382"/>
      <c r="BD54" s="382"/>
      <c r="BE54" s="382"/>
      <c r="BF54" s="382"/>
    </row>
    <row r="55" spans="1:58" ht="39.950000000000003" customHeight="1" thickBot="1" x14ac:dyDescent="0.25">
      <c r="U55" s="416"/>
      <c r="V55" s="416"/>
      <c r="Y55" s="416"/>
      <c r="Z55" s="416"/>
      <c r="AA55" s="416"/>
      <c r="AB55" s="416"/>
      <c r="AV55" s="382"/>
      <c r="AW55" s="382"/>
      <c r="AX55" s="382"/>
      <c r="AY55" s="382"/>
      <c r="AZ55" s="382"/>
      <c r="BA55" s="382"/>
      <c r="BB55" s="382"/>
      <c r="BC55" s="382"/>
      <c r="BD55" s="382"/>
      <c r="BE55" s="382"/>
      <c r="BF55" s="382"/>
    </row>
    <row r="56" spans="1:58" ht="39.950000000000003" customHeight="1" thickBot="1" x14ac:dyDescent="0.25">
      <c r="A56" s="447"/>
      <c r="B56" s="1410" t="s">
        <v>314</v>
      </c>
      <c r="C56" s="867" t="s">
        <v>581</v>
      </c>
      <c r="D56" s="1429" t="s">
        <v>586</v>
      </c>
      <c r="E56" s="870" t="s">
        <v>588</v>
      </c>
      <c r="F56" s="989">
        <v>13.94</v>
      </c>
      <c r="G56" s="455">
        <v>0.01</v>
      </c>
      <c r="H56" s="827">
        <v>6.2E-2</v>
      </c>
      <c r="I56" s="827">
        <v>2.1999999999999999E-2</v>
      </c>
      <c r="J56" s="781">
        <v>2</v>
      </c>
      <c r="K56" s="973">
        <v>44522</v>
      </c>
      <c r="L56" s="1439" t="s">
        <v>590</v>
      </c>
      <c r="M56" s="562">
        <f>SLOPE($H$56:$H$60,$F$56:$F$60)</f>
        <v>-2.1891718599988462E-3</v>
      </c>
      <c r="N56" s="562">
        <f>INTERCEPT($H$56:$H$60,$F$56:$F$60)</f>
        <v>9.1586510114699982E-2</v>
      </c>
      <c r="O56" s="453">
        <v>14</v>
      </c>
      <c r="P56" s="842">
        <f>F56</f>
        <v>13.94</v>
      </c>
      <c r="Q56" s="842">
        <v>14.031000000000001</v>
      </c>
      <c r="R56" s="996">
        <f>P56-Q56</f>
        <v>-9.100000000000108E-2</v>
      </c>
      <c r="U56" s="416"/>
      <c r="V56" s="416"/>
      <c r="Y56" s="1359" t="s">
        <v>316</v>
      </c>
      <c r="Z56" s="1362"/>
      <c r="AA56" s="1362"/>
      <c r="AB56" s="1363"/>
      <c r="AH56" s="1350" t="s">
        <v>317</v>
      </c>
      <c r="AI56" s="1352"/>
      <c r="AV56" s="382"/>
      <c r="AW56" s="382"/>
      <c r="AX56" s="382"/>
      <c r="AY56" s="382"/>
      <c r="AZ56" s="382"/>
      <c r="BA56" s="382"/>
      <c r="BB56" s="382"/>
      <c r="BC56" s="382"/>
      <c r="BD56" s="382"/>
      <c r="BE56" s="382"/>
      <c r="BF56" s="382"/>
    </row>
    <row r="57" spans="1:58" ht="39.950000000000003" customHeight="1" thickBot="1" x14ac:dyDescent="0.25">
      <c r="A57" s="447"/>
      <c r="B57" s="1411"/>
      <c r="C57" s="868" t="s">
        <v>582</v>
      </c>
      <c r="D57" s="1430"/>
      <c r="E57" s="557" t="s">
        <v>588</v>
      </c>
      <c r="F57" s="855">
        <v>15.95</v>
      </c>
      <c r="G57" s="406">
        <v>0.01</v>
      </c>
      <c r="H57" s="845">
        <v>5.6000000000000001E-2</v>
      </c>
      <c r="I57" s="844">
        <v>2.1999999999999999E-2</v>
      </c>
      <c r="J57" s="779">
        <v>2</v>
      </c>
      <c r="K57" s="975">
        <v>44522</v>
      </c>
      <c r="L57" s="1440"/>
      <c r="M57" s="558">
        <f>SLOPE($H$56:$H$60,$F$56:$F$60)</f>
        <v>-2.1891718599988462E-3</v>
      </c>
      <c r="N57" s="558">
        <f>INTERCEPT($H$56:$H$60,$F$56:$F$60)</f>
        <v>9.1586510114699982E-2</v>
      </c>
      <c r="O57" s="825">
        <v>16</v>
      </c>
      <c r="P57" s="845">
        <f>F57</f>
        <v>15.95</v>
      </c>
      <c r="Q57" s="845">
        <v>16.033000000000001</v>
      </c>
      <c r="R57" s="997">
        <f>P57-Q57</f>
        <v>-8.3000000000001961E-2</v>
      </c>
      <c r="U57" s="416"/>
      <c r="V57" s="416"/>
      <c r="W57" s="416"/>
      <c r="X57" s="416"/>
      <c r="Y57" s="1548" t="s">
        <v>492</v>
      </c>
      <c r="Z57" s="1549"/>
      <c r="AA57" s="1549"/>
      <c r="AB57" s="1550"/>
      <c r="AH57" s="522"/>
      <c r="AI57" s="523"/>
      <c r="AV57" s="382"/>
      <c r="AW57" s="382"/>
      <c r="AX57" s="382"/>
      <c r="AY57" s="382"/>
      <c r="AZ57" s="382"/>
      <c r="BA57" s="382"/>
      <c r="BB57" s="382"/>
      <c r="BC57" s="382"/>
      <c r="BD57" s="382"/>
      <c r="BE57" s="382"/>
      <c r="BF57" s="382"/>
    </row>
    <row r="58" spans="1:58" ht="39.950000000000003" customHeight="1" thickBot="1" x14ac:dyDescent="0.25">
      <c r="A58" s="567" t="s">
        <v>575</v>
      </c>
      <c r="B58" s="1411"/>
      <c r="C58" s="868" t="s">
        <v>583</v>
      </c>
      <c r="D58" s="1430"/>
      <c r="E58" s="557" t="s">
        <v>588</v>
      </c>
      <c r="F58" s="855">
        <v>16.95</v>
      </c>
      <c r="G58" s="406">
        <v>0.01</v>
      </c>
      <c r="H58" s="845">
        <v>5.8000000000000003E-2</v>
      </c>
      <c r="I58" s="844">
        <v>2.1999999999999999E-2</v>
      </c>
      <c r="J58" s="779">
        <v>2</v>
      </c>
      <c r="K58" s="975">
        <v>44522</v>
      </c>
      <c r="L58" s="1440"/>
      <c r="M58" s="558">
        <f>SLOPE($H$56:$H$60,$F$56:$F$60)</f>
        <v>-2.1891718599988462E-3</v>
      </c>
      <c r="N58" s="558">
        <f>INTERCEPT($H$56:$H$60,$F$56:$F$60)</f>
        <v>9.1586510114699982E-2</v>
      </c>
      <c r="O58" s="406">
        <v>17</v>
      </c>
      <c r="P58" s="845">
        <f>F58</f>
        <v>16.95</v>
      </c>
      <c r="Q58" s="845">
        <v>17.032</v>
      </c>
      <c r="R58" s="997">
        <f>P58-Q58</f>
        <v>-8.2000000000000739E-2</v>
      </c>
      <c r="U58" s="416"/>
      <c r="V58" s="416"/>
      <c r="W58" s="416"/>
      <c r="X58" s="416"/>
      <c r="Y58" s="707" t="s">
        <v>180</v>
      </c>
      <c r="Z58" s="708" t="s">
        <v>477</v>
      </c>
      <c r="AA58" s="709" t="s">
        <v>195</v>
      </c>
      <c r="AB58" s="710" t="s">
        <v>4</v>
      </c>
      <c r="AH58" s="378" t="s">
        <v>182</v>
      </c>
      <c r="AI58" s="644" t="s">
        <v>10</v>
      </c>
      <c r="AV58" s="382"/>
      <c r="AW58" s="382"/>
      <c r="AX58" s="382"/>
      <c r="AY58" s="382"/>
      <c r="AZ58" s="382"/>
      <c r="BA58" s="382"/>
      <c r="BB58" s="382"/>
      <c r="BC58" s="382"/>
      <c r="BD58" s="382"/>
      <c r="BE58" s="382"/>
      <c r="BF58" s="382"/>
    </row>
    <row r="59" spans="1:58" ht="39.950000000000003" customHeight="1" x14ac:dyDescent="0.2">
      <c r="A59" s="447"/>
      <c r="B59" s="1411"/>
      <c r="C59" s="868" t="s">
        <v>584</v>
      </c>
      <c r="D59" s="1430"/>
      <c r="E59" s="557" t="s">
        <v>588</v>
      </c>
      <c r="F59" s="855">
        <v>17.96</v>
      </c>
      <c r="G59" s="406">
        <v>0.01</v>
      </c>
      <c r="H59" s="844">
        <v>4.7E-2</v>
      </c>
      <c r="I59" s="844">
        <v>2.1999999999999999E-2</v>
      </c>
      <c r="J59" s="779">
        <v>2</v>
      </c>
      <c r="K59" s="975">
        <v>44522</v>
      </c>
      <c r="L59" s="1440"/>
      <c r="M59" s="558">
        <f>SLOPE($H$56:$H$60,$F$56:$F$60)</f>
        <v>-2.1891718599988462E-3</v>
      </c>
      <c r="N59" s="558">
        <f>INTERCEPT($H$56:$H$60,$F$56:$F$60)</f>
        <v>9.1586510114699982E-2</v>
      </c>
      <c r="O59" s="406">
        <v>18</v>
      </c>
      <c r="P59" s="845">
        <f>F59</f>
        <v>17.96</v>
      </c>
      <c r="Q59" s="844">
        <v>18.027999999999999</v>
      </c>
      <c r="R59" s="997">
        <f>P59-Q59</f>
        <v>-6.799999999999784E-2</v>
      </c>
      <c r="U59" s="416"/>
      <c r="V59" s="416"/>
      <c r="W59" s="416"/>
      <c r="X59" s="416"/>
      <c r="Y59" s="711"/>
      <c r="Z59" s="712"/>
      <c r="AA59" s="712"/>
      <c r="AB59" s="713"/>
      <c r="AH59" s="530" t="s">
        <v>436</v>
      </c>
      <c r="AI59" s="531"/>
      <c r="AV59" s="382"/>
      <c r="AW59" s="382"/>
      <c r="AX59" s="382"/>
      <c r="AY59" s="382"/>
      <c r="AZ59" s="382"/>
      <c r="BA59" s="382"/>
      <c r="BB59" s="382"/>
      <c r="BC59" s="382"/>
      <c r="BD59" s="382"/>
      <c r="BE59" s="382"/>
      <c r="BF59" s="382"/>
    </row>
    <row r="60" spans="1:58" ht="39.950000000000003" customHeight="1" thickBot="1" x14ac:dyDescent="0.25">
      <c r="A60" s="447"/>
      <c r="B60" s="1412"/>
      <c r="C60" s="869" t="s">
        <v>585</v>
      </c>
      <c r="D60" s="1431"/>
      <c r="E60" s="563" t="s">
        <v>588</v>
      </c>
      <c r="F60" s="988">
        <v>21.96</v>
      </c>
      <c r="G60" s="463">
        <v>0.01</v>
      </c>
      <c r="H60" s="847">
        <v>4.4999999999999998E-2</v>
      </c>
      <c r="I60" s="847">
        <v>2.1999999999999999E-2</v>
      </c>
      <c r="J60" s="780">
        <v>2</v>
      </c>
      <c r="K60" s="977">
        <v>44522</v>
      </c>
      <c r="L60" s="1441"/>
      <c r="M60" s="564">
        <f>SLOPE($H$56:$H$60,$F$56:$F$60)</f>
        <v>-2.1891718599988462E-3</v>
      </c>
      <c r="N60" s="564">
        <f>INTERCEPT($H$56:$H$60,$F$56:$F$60)</f>
        <v>9.1586510114699982E-2</v>
      </c>
      <c r="O60" s="463">
        <v>22</v>
      </c>
      <c r="P60" s="848">
        <f>F60</f>
        <v>21.96</v>
      </c>
      <c r="Q60" s="847">
        <v>22.030999999999999</v>
      </c>
      <c r="R60" s="998">
        <f>P60-Q60</f>
        <v>-7.0999999999997954E-2</v>
      </c>
      <c r="U60" s="416"/>
      <c r="V60" s="416"/>
      <c r="W60" s="416"/>
      <c r="X60" s="416"/>
      <c r="Y60" s="701" t="s">
        <v>478</v>
      </c>
      <c r="Z60" s="702">
        <v>0.25</v>
      </c>
      <c r="AA60" s="702">
        <v>80</v>
      </c>
      <c r="AB60" s="532">
        <f>AB61/2</f>
        <v>4.0967649999999995</v>
      </c>
      <c r="AH60" s="525">
        <v>316</v>
      </c>
      <c r="AI60" s="531">
        <v>4.7700000000000001E-5</v>
      </c>
      <c r="AV60" s="382"/>
      <c r="AW60" s="382"/>
      <c r="AX60" s="382"/>
      <c r="AY60" s="382"/>
      <c r="AZ60" s="382"/>
      <c r="BA60" s="382"/>
      <c r="BB60" s="382"/>
      <c r="BC60" s="382"/>
      <c r="BD60" s="382"/>
      <c r="BE60" s="382"/>
      <c r="BF60" s="382"/>
    </row>
    <row r="61" spans="1:58" ht="30" customHeight="1" x14ac:dyDescent="0.2">
      <c r="U61" s="416"/>
      <c r="V61" s="416"/>
      <c r="W61" s="416"/>
      <c r="X61" s="416"/>
      <c r="Y61" s="701" t="s">
        <v>479</v>
      </c>
      <c r="Z61" s="702">
        <v>0.5</v>
      </c>
      <c r="AA61" s="702">
        <v>40</v>
      </c>
      <c r="AB61" s="532">
        <f>AB62/2</f>
        <v>8.1935299999999991</v>
      </c>
      <c r="AC61" s="416"/>
      <c r="AD61" s="382"/>
      <c r="AH61" s="525">
        <v>304</v>
      </c>
      <c r="AI61" s="531">
        <v>5.1799999999999999E-5</v>
      </c>
      <c r="AV61" s="382"/>
      <c r="AW61" s="382"/>
      <c r="AX61" s="382"/>
      <c r="AY61" s="382"/>
      <c r="AZ61" s="382"/>
      <c r="BA61" s="382"/>
      <c r="BB61" s="382"/>
      <c r="BC61" s="382"/>
      <c r="BD61" s="382"/>
      <c r="BE61" s="382"/>
      <c r="BF61" s="382"/>
    </row>
    <row r="62" spans="1:58" ht="30" customHeight="1" x14ac:dyDescent="0.2">
      <c r="U62" s="416"/>
      <c r="V62" s="416"/>
      <c r="W62" s="416"/>
      <c r="X62" s="416"/>
      <c r="Y62" s="701" t="s">
        <v>480</v>
      </c>
      <c r="Z62" s="702">
        <v>1</v>
      </c>
      <c r="AA62" s="702">
        <v>20</v>
      </c>
      <c r="AB62" s="532">
        <f>'RT03-F11 #'!L30</f>
        <v>16.387059999999998</v>
      </c>
      <c r="AC62" s="416"/>
      <c r="AD62" s="382"/>
      <c r="AH62" s="525"/>
      <c r="AI62" s="531"/>
      <c r="AV62" s="382"/>
      <c r="AW62" s="382"/>
      <c r="AX62" s="382"/>
      <c r="AY62" s="382"/>
      <c r="AZ62" s="382"/>
      <c r="BA62" s="382"/>
      <c r="BB62" s="382"/>
      <c r="BC62" s="382"/>
      <c r="BD62" s="382"/>
      <c r="BE62" s="382"/>
      <c r="BF62" s="382"/>
    </row>
    <row r="63" spans="1:58" ht="30" customHeight="1" thickBot="1" x14ac:dyDescent="0.25">
      <c r="U63" s="416"/>
      <c r="V63" s="416"/>
      <c r="W63" s="416"/>
      <c r="X63" s="416"/>
      <c r="Y63" s="714">
        <v>5.0000000000000001E-4</v>
      </c>
      <c r="Z63" s="702">
        <v>5</v>
      </c>
      <c r="AA63" s="702">
        <v>40</v>
      </c>
      <c r="AB63" s="715">
        <f>('RT03-F11 #'!M30*0.05)/100</f>
        <v>9.4635274999999996</v>
      </c>
      <c r="AC63" s="416"/>
      <c r="AD63" s="382"/>
      <c r="AH63" s="533"/>
      <c r="AI63" s="535"/>
      <c r="AV63" s="382"/>
      <c r="AW63" s="382"/>
      <c r="AX63" s="382"/>
      <c r="AY63" s="382"/>
      <c r="AZ63" s="382"/>
      <c r="BA63" s="382"/>
      <c r="BB63" s="382"/>
      <c r="BC63" s="382"/>
      <c r="BD63" s="382"/>
      <c r="BE63" s="382"/>
      <c r="BF63" s="382"/>
    </row>
    <row r="64" spans="1:58" ht="30" customHeight="1" thickBot="1" x14ac:dyDescent="0.25">
      <c r="U64" s="416"/>
      <c r="V64" s="416"/>
      <c r="W64" s="416"/>
      <c r="X64" s="416"/>
      <c r="Y64" s="716"/>
      <c r="Z64" s="459"/>
      <c r="AA64" s="459"/>
      <c r="AB64" s="706"/>
      <c r="AC64" s="416"/>
      <c r="AD64" s="382"/>
      <c r="AV64" s="382"/>
      <c r="AW64" s="382"/>
      <c r="AX64" s="382"/>
      <c r="AY64" s="382"/>
      <c r="AZ64" s="382"/>
      <c r="BA64" s="382"/>
      <c r="BB64" s="382"/>
      <c r="BC64" s="382"/>
      <c r="BD64" s="382"/>
      <c r="BE64" s="382"/>
      <c r="BF64" s="382"/>
    </row>
    <row r="65" spans="1:58" ht="30" customHeight="1" x14ac:dyDescent="0.2">
      <c r="U65" s="416"/>
      <c r="V65" s="416"/>
      <c r="W65" s="416"/>
      <c r="X65" s="416"/>
      <c r="Y65" s="416"/>
      <c r="Z65" s="416"/>
      <c r="AA65" s="416"/>
      <c r="AB65" s="416"/>
      <c r="AC65" s="416"/>
      <c r="AD65" s="382"/>
      <c r="AV65" s="382"/>
      <c r="AW65" s="382"/>
      <c r="AX65" s="382"/>
      <c r="AY65" s="382"/>
      <c r="AZ65" s="382"/>
      <c r="BA65" s="382"/>
      <c r="BB65" s="382"/>
      <c r="BC65" s="382"/>
      <c r="BD65" s="382"/>
      <c r="BE65" s="382"/>
      <c r="BF65" s="382"/>
    </row>
    <row r="66" spans="1:58" ht="30" customHeight="1" x14ac:dyDescent="0.2">
      <c r="U66" s="416"/>
      <c r="V66" s="416"/>
      <c r="W66" s="416"/>
      <c r="X66" s="416"/>
      <c r="Y66" s="416"/>
      <c r="Z66" s="416"/>
      <c r="AA66" s="416"/>
      <c r="AB66" s="416"/>
      <c r="AC66" s="416"/>
      <c r="AD66" s="382"/>
      <c r="AV66" s="382"/>
      <c r="AW66" s="382"/>
      <c r="AX66" s="382"/>
      <c r="AY66" s="382"/>
      <c r="AZ66" s="382"/>
      <c r="BA66" s="382"/>
      <c r="BB66" s="382"/>
      <c r="BC66" s="382"/>
      <c r="BD66" s="382"/>
      <c r="BE66" s="382"/>
      <c r="BF66" s="382"/>
    </row>
    <row r="67" spans="1:58" ht="30" customHeight="1" thickBot="1" x14ac:dyDescent="0.25">
      <c r="T67" s="612"/>
      <c r="U67" s="416"/>
      <c r="V67" s="416"/>
      <c r="W67" s="416"/>
      <c r="X67" s="416"/>
      <c r="Y67" s="416"/>
      <c r="Z67" s="416"/>
      <c r="AA67" s="416"/>
      <c r="AB67" s="416"/>
      <c r="AC67" s="416"/>
      <c r="AD67" s="382"/>
      <c r="AV67" s="382"/>
      <c r="AW67" s="382"/>
      <c r="AX67" s="382"/>
      <c r="AY67" s="382"/>
      <c r="AZ67" s="382"/>
      <c r="BA67" s="382"/>
      <c r="BB67" s="382"/>
      <c r="BC67" s="382"/>
      <c r="BD67" s="382"/>
      <c r="BE67" s="382"/>
      <c r="BF67" s="382"/>
    </row>
    <row r="68" spans="1:58" ht="30" customHeight="1" thickBot="1" x14ac:dyDescent="0.25">
      <c r="A68" s="1457" t="s">
        <v>249</v>
      </c>
      <c r="B68" s="1360"/>
      <c r="C68" s="1360"/>
      <c r="D68" s="1360"/>
      <c r="E68" s="1360"/>
      <c r="F68" s="1360"/>
      <c r="G68" s="1360"/>
      <c r="H68" s="1360"/>
      <c r="I68" s="1360"/>
      <c r="J68" s="1360"/>
      <c r="K68" s="1360"/>
      <c r="L68" s="1360"/>
      <c r="M68" s="1360"/>
      <c r="N68" s="1360"/>
      <c r="O68" s="1360"/>
      <c r="P68" s="1360"/>
      <c r="Q68" s="1361"/>
      <c r="T68" s="612"/>
      <c r="U68" s="416"/>
      <c r="V68" s="416"/>
      <c r="W68" s="416"/>
      <c r="AB68" s="416"/>
      <c r="AC68" s="416"/>
      <c r="AD68" s="382"/>
      <c r="AV68" s="382"/>
      <c r="AW68" s="382"/>
      <c r="AX68" s="382"/>
      <c r="AY68" s="382"/>
      <c r="AZ68" s="382"/>
      <c r="BA68" s="382"/>
      <c r="BB68" s="382"/>
      <c r="BC68" s="382"/>
      <c r="BD68" s="382"/>
      <c r="BE68" s="382"/>
      <c r="BF68" s="382"/>
    </row>
    <row r="69" spans="1:58" ht="30" customHeight="1" thickBot="1" x14ac:dyDescent="0.25">
      <c r="A69" s="1458"/>
      <c r="B69" s="1459"/>
      <c r="C69" s="1459"/>
      <c r="D69" s="1459"/>
      <c r="E69" s="1459"/>
      <c r="F69" s="1459"/>
      <c r="G69" s="1459"/>
      <c r="H69" s="1459"/>
      <c r="I69" s="1459"/>
      <c r="J69" s="1459"/>
      <c r="K69" s="1459"/>
      <c r="L69" s="1459"/>
      <c r="M69" s="1459"/>
      <c r="N69" s="1459"/>
      <c r="O69" s="1459"/>
      <c r="P69" s="1459"/>
      <c r="Q69" s="1460"/>
      <c r="T69" s="612"/>
      <c r="U69" s="416"/>
      <c r="V69" s="416"/>
      <c r="W69" s="416"/>
      <c r="AB69" s="1419" t="s">
        <v>251</v>
      </c>
      <c r="AC69" s="1421" t="s">
        <v>146</v>
      </c>
      <c r="AD69" s="1422"/>
      <c r="AE69" s="1423"/>
      <c r="AF69" s="1427" t="s">
        <v>147</v>
      </c>
      <c r="AG69" s="1393" t="s">
        <v>216</v>
      </c>
      <c r="BE69" s="382"/>
      <c r="BF69" s="382"/>
    </row>
    <row r="70" spans="1:58" ht="30" customHeight="1" thickBot="1" x14ac:dyDescent="0.25">
      <c r="A70" s="1359" t="s">
        <v>481</v>
      </c>
      <c r="B70" s="1362"/>
      <c r="C70" s="1362"/>
      <c r="D70" s="1362"/>
      <c r="E70" s="1362"/>
      <c r="F70" s="1362"/>
      <c r="G70" s="1362"/>
      <c r="H70" s="1362"/>
      <c r="I70" s="1362"/>
      <c r="J70" s="1362"/>
      <c r="K70" s="1362"/>
      <c r="L70" s="1362"/>
      <c r="M70" s="1362"/>
      <c r="N70" s="1362"/>
      <c r="O70" s="1362"/>
      <c r="P70" s="1362"/>
      <c r="Q70" s="1363"/>
      <c r="T70" s="612"/>
      <c r="U70" s="416"/>
      <c r="V70" s="416"/>
      <c r="W70" s="416"/>
      <c r="AB70" s="1420"/>
      <c r="AC70" s="1424"/>
      <c r="AD70" s="1425"/>
      <c r="AE70" s="1426"/>
      <c r="AF70" s="1428"/>
      <c r="AG70" s="1394"/>
      <c r="BE70" s="382"/>
      <c r="BF70" s="382"/>
    </row>
    <row r="71" spans="1:58" ht="30" customHeight="1" thickBot="1" x14ac:dyDescent="0.25">
      <c r="A71" s="1473" t="s">
        <v>53</v>
      </c>
      <c r="B71" s="1475"/>
      <c r="C71" s="1461" t="s">
        <v>251</v>
      </c>
      <c r="D71" s="1461" t="s">
        <v>35</v>
      </c>
      <c r="E71" s="1463" t="s">
        <v>206</v>
      </c>
      <c r="F71" s="1463" t="s">
        <v>205</v>
      </c>
      <c r="G71" s="1463" t="s">
        <v>148</v>
      </c>
      <c r="H71" s="1463" t="s">
        <v>178</v>
      </c>
      <c r="I71" s="1463" t="s">
        <v>146</v>
      </c>
      <c r="J71" s="1463" t="s">
        <v>179</v>
      </c>
      <c r="K71" s="1463" t="s">
        <v>147</v>
      </c>
      <c r="L71" s="1561" t="s">
        <v>216</v>
      </c>
      <c r="N71" s="1471" t="s">
        <v>251</v>
      </c>
      <c r="O71" s="1473" t="s">
        <v>146</v>
      </c>
      <c r="P71" s="1474"/>
      <c r="Q71" s="1475"/>
      <c r="V71" s="416"/>
      <c r="W71" s="416"/>
      <c r="AB71" s="383"/>
      <c r="AC71" s="450"/>
      <c r="AD71" s="450"/>
      <c r="AE71" s="450"/>
      <c r="AF71" s="469"/>
      <c r="AG71" s="471"/>
      <c r="BE71" s="382"/>
      <c r="BF71" s="382"/>
    </row>
    <row r="72" spans="1:58" ht="30" customHeight="1" thickBot="1" x14ac:dyDescent="0.25">
      <c r="A72" s="1476"/>
      <c r="B72" s="1478"/>
      <c r="C72" s="1462"/>
      <c r="D72" s="1462"/>
      <c r="E72" s="1464"/>
      <c r="F72" s="1464"/>
      <c r="G72" s="1464"/>
      <c r="H72" s="1464"/>
      <c r="I72" s="1464"/>
      <c r="J72" s="1464"/>
      <c r="K72" s="1464"/>
      <c r="L72" s="1562"/>
      <c r="N72" s="1472"/>
      <c r="O72" s="1476"/>
      <c r="P72" s="1477"/>
      <c r="Q72" s="1478"/>
      <c r="V72" s="416"/>
      <c r="W72" s="416"/>
      <c r="AB72" s="1454" t="s">
        <v>252</v>
      </c>
      <c r="AC72" s="629" t="s">
        <v>3</v>
      </c>
      <c r="AD72" s="630" t="s">
        <v>387</v>
      </c>
      <c r="AE72" s="630" t="s">
        <v>15</v>
      </c>
      <c r="AF72" s="1452" t="s">
        <v>552</v>
      </c>
      <c r="AG72" s="1435" t="s">
        <v>553</v>
      </c>
      <c r="BE72" s="382"/>
      <c r="BF72" s="382"/>
    </row>
    <row r="73" spans="1:58" ht="30" customHeight="1" thickBot="1" x14ac:dyDescent="0.25">
      <c r="A73" s="856"/>
      <c r="B73" s="856"/>
      <c r="C73" s="856"/>
      <c r="D73" s="856"/>
      <c r="E73" s="856"/>
      <c r="F73" s="856"/>
      <c r="G73" s="856"/>
      <c r="H73" s="856"/>
      <c r="I73" s="856"/>
      <c r="J73" s="856"/>
      <c r="K73" s="856"/>
      <c r="L73" s="856"/>
      <c r="N73" s="403"/>
      <c r="O73" s="403"/>
      <c r="V73" s="416"/>
      <c r="W73" s="416"/>
      <c r="AB73" s="1455"/>
      <c r="AC73" s="529">
        <f>MAX(I74:I76)</f>
        <v>0.2</v>
      </c>
      <c r="AD73" s="529">
        <f>MAX(I77:I79)</f>
        <v>1.7</v>
      </c>
      <c r="AE73" s="529">
        <f>MAX(I80:I82)</f>
        <v>8.7999999999999995E-2</v>
      </c>
      <c r="AF73" s="1447"/>
      <c r="AG73" s="1436"/>
      <c r="BE73" s="382"/>
      <c r="BF73" s="382"/>
    </row>
    <row r="74" spans="1:58" ht="30" customHeight="1" thickBot="1" x14ac:dyDescent="0.25">
      <c r="A74" s="1395" t="s">
        <v>27</v>
      </c>
      <c r="B74" s="1396"/>
      <c r="C74" s="1401" t="s">
        <v>555</v>
      </c>
      <c r="D74" s="1404" t="s">
        <v>211</v>
      </c>
      <c r="E74" s="1407" t="s">
        <v>556</v>
      </c>
      <c r="F74" s="826">
        <v>14.9</v>
      </c>
      <c r="G74" s="827">
        <v>0.1</v>
      </c>
      <c r="H74" s="828">
        <v>-0.1</v>
      </c>
      <c r="I74" s="829">
        <v>0.2</v>
      </c>
      <c r="J74" s="1433">
        <v>1.96</v>
      </c>
      <c r="K74" s="1413" t="s">
        <v>557</v>
      </c>
      <c r="L74" s="1416" t="s">
        <v>550</v>
      </c>
      <c r="N74" s="857"/>
      <c r="O74" s="943" t="s">
        <v>3</v>
      </c>
      <c r="P74" s="944" t="s">
        <v>421</v>
      </c>
      <c r="Q74" s="945" t="s">
        <v>15</v>
      </c>
      <c r="V74" s="416"/>
      <c r="W74" s="416"/>
      <c r="AB74" s="1456"/>
      <c r="AC74" s="623"/>
      <c r="AD74" s="624"/>
      <c r="AE74" s="624"/>
      <c r="AF74" s="1453"/>
      <c r="AG74" s="1437"/>
      <c r="BE74" s="382"/>
      <c r="BF74" s="382"/>
    </row>
    <row r="75" spans="1:58" ht="30" customHeight="1" x14ac:dyDescent="0.2">
      <c r="A75" s="1397"/>
      <c r="B75" s="1398"/>
      <c r="C75" s="1402"/>
      <c r="D75" s="1405"/>
      <c r="E75" s="1408"/>
      <c r="F75" s="830">
        <v>24.9</v>
      </c>
      <c r="G75" s="831">
        <v>0.1</v>
      </c>
      <c r="H75" s="832">
        <v>-0.1</v>
      </c>
      <c r="I75" s="833">
        <v>0.2</v>
      </c>
      <c r="J75" s="1433"/>
      <c r="K75" s="1414"/>
      <c r="L75" s="1417"/>
      <c r="N75" s="858" t="s">
        <v>252</v>
      </c>
      <c r="O75" s="946">
        <f>MAX(I74:I76)</f>
        <v>0.2</v>
      </c>
      <c r="P75" s="947">
        <f>MAX(I77:I79)</f>
        <v>1.7</v>
      </c>
      <c r="Q75" s="948">
        <f>MAX(I80:I82)</f>
        <v>8.7999999999999995E-2</v>
      </c>
      <c r="V75" s="416"/>
      <c r="W75" s="416"/>
      <c r="AB75" s="489"/>
      <c r="AC75" s="382"/>
      <c r="AD75" s="415"/>
      <c r="AE75" s="416"/>
      <c r="AF75" s="416"/>
      <c r="AG75" s="490"/>
      <c r="BE75" s="382"/>
      <c r="BF75" s="382"/>
    </row>
    <row r="76" spans="1:58" ht="30" customHeight="1" thickBot="1" x14ac:dyDescent="0.25">
      <c r="A76" s="1399"/>
      <c r="B76" s="1400"/>
      <c r="C76" s="1402"/>
      <c r="D76" s="1405"/>
      <c r="E76" s="1408"/>
      <c r="F76" s="834">
        <v>30</v>
      </c>
      <c r="G76" s="835">
        <v>0.1</v>
      </c>
      <c r="H76" s="836">
        <v>-0.1</v>
      </c>
      <c r="I76" s="837">
        <v>0.2</v>
      </c>
      <c r="J76" s="1434"/>
      <c r="K76" s="1415"/>
      <c r="L76" s="1418"/>
      <c r="N76" s="859"/>
      <c r="O76" s="949"/>
      <c r="P76" s="950"/>
      <c r="Q76" s="951"/>
      <c r="V76" s="416"/>
      <c r="W76" s="416"/>
      <c r="AB76" s="489"/>
      <c r="AC76" s="382"/>
      <c r="AD76" s="415"/>
      <c r="AE76" s="416"/>
      <c r="AF76" s="416"/>
      <c r="AG76" s="490"/>
      <c r="BE76" s="382"/>
      <c r="BF76" s="382"/>
    </row>
    <row r="77" spans="1:58" ht="30" customHeight="1" x14ac:dyDescent="0.2">
      <c r="A77" s="1395" t="s">
        <v>250</v>
      </c>
      <c r="B77" s="1396"/>
      <c r="C77" s="1402"/>
      <c r="D77" s="1405"/>
      <c r="E77" s="1408"/>
      <c r="F77" s="826">
        <v>33.9</v>
      </c>
      <c r="G77" s="827">
        <v>0.1</v>
      </c>
      <c r="H77" s="827">
        <v>-3.9</v>
      </c>
      <c r="I77" s="838">
        <v>1.7</v>
      </c>
      <c r="J77" s="1432">
        <v>1.96</v>
      </c>
      <c r="K77" s="1563" t="s">
        <v>558</v>
      </c>
      <c r="L77" s="1438" t="s">
        <v>549</v>
      </c>
      <c r="N77" s="403"/>
      <c r="O77" s="403"/>
      <c r="V77" s="416"/>
      <c r="W77" s="416"/>
      <c r="AB77" s="489"/>
      <c r="AC77" s="382"/>
      <c r="AD77" s="415"/>
      <c r="AE77" s="416"/>
      <c r="AF77" s="416"/>
      <c r="AG77" s="490"/>
      <c r="BE77" s="382"/>
      <c r="BF77" s="382"/>
    </row>
    <row r="78" spans="1:58" ht="30" customHeight="1" x14ac:dyDescent="0.2">
      <c r="A78" s="1397"/>
      <c r="B78" s="1398"/>
      <c r="C78" s="1402"/>
      <c r="D78" s="1405"/>
      <c r="E78" s="1408"/>
      <c r="F78" s="839">
        <v>52</v>
      </c>
      <c r="G78" s="831">
        <v>0.1</v>
      </c>
      <c r="H78" s="840">
        <v>-2</v>
      </c>
      <c r="I78" s="833">
        <v>1.7</v>
      </c>
      <c r="J78" s="1433"/>
      <c r="K78" s="1414"/>
      <c r="L78" s="1417"/>
      <c r="N78" s="403"/>
      <c r="O78" s="403"/>
      <c r="V78" s="416"/>
      <c r="W78" s="416"/>
      <c r="X78" s="416"/>
      <c r="Y78" s="416"/>
      <c r="Z78" s="416"/>
      <c r="AA78" s="416"/>
      <c r="AB78" s="489"/>
      <c r="AC78" s="382"/>
      <c r="AD78" s="415"/>
      <c r="AE78" s="416"/>
      <c r="AF78" s="416"/>
      <c r="AG78" s="490"/>
      <c r="BE78" s="382"/>
      <c r="BF78" s="382"/>
    </row>
    <row r="79" spans="1:58" ht="30" customHeight="1" thickBot="1" x14ac:dyDescent="0.25">
      <c r="A79" s="1399"/>
      <c r="B79" s="1400"/>
      <c r="C79" s="1402"/>
      <c r="D79" s="1405"/>
      <c r="E79" s="1408"/>
      <c r="F79" s="834">
        <v>79</v>
      </c>
      <c r="G79" s="835">
        <v>0.1</v>
      </c>
      <c r="H79" s="841">
        <v>1</v>
      </c>
      <c r="I79" s="837">
        <v>1.7</v>
      </c>
      <c r="J79" s="1434"/>
      <c r="K79" s="1415"/>
      <c r="L79" s="1418"/>
      <c r="N79" s="403"/>
      <c r="O79" s="403"/>
      <c r="V79" s="416"/>
      <c r="W79" s="416"/>
      <c r="X79" s="416"/>
      <c r="Y79" s="416"/>
      <c r="Z79" s="416"/>
      <c r="AA79" s="416"/>
      <c r="AB79" s="489"/>
      <c r="AC79" s="382"/>
      <c r="AD79" s="415"/>
      <c r="AE79" s="416"/>
      <c r="AF79" s="416"/>
      <c r="AG79" s="490"/>
      <c r="BF79" s="382"/>
    </row>
    <row r="80" spans="1:58" ht="30" customHeight="1" x14ac:dyDescent="0.2">
      <c r="A80" s="1395" t="s">
        <v>72</v>
      </c>
      <c r="B80" s="1396"/>
      <c r="C80" s="1402"/>
      <c r="D80" s="1405"/>
      <c r="E80" s="1408"/>
      <c r="F80" s="826">
        <v>499.03300000000002</v>
      </c>
      <c r="G80" s="827">
        <v>0.1</v>
      </c>
      <c r="H80" s="842">
        <v>1.706</v>
      </c>
      <c r="I80" s="843">
        <v>7.6999999999999999E-2</v>
      </c>
      <c r="J80" s="1432">
        <v>2</v>
      </c>
      <c r="K80" s="1563" t="s">
        <v>559</v>
      </c>
      <c r="L80" s="1442" t="s">
        <v>551</v>
      </c>
      <c r="N80" s="403"/>
      <c r="O80" s="403"/>
      <c r="V80" s="416"/>
      <c r="W80" s="416"/>
      <c r="AB80" s="489"/>
      <c r="AC80" s="382"/>
      <c r="AD80" s="415"/>
      <c r="AE80" s="416"/>
      <c r="AF80" s="416"/>
      <c r="AG80" s="490"/>
      <c r="BF80" s="382"/>
    </row>
    <row r="81" spans="1:58" ht="30" customHeight="1" thickBot="1" x14ac:dyDescent="0.25">
      <c r="A81" s="1397"/>
      <c r="B81" s="1398"/>
      <c r="C81" s="1402"/>
      <c r="D81" s="1405"/>
      <c r="E81" s="1408"/>
      <c r="F81" s="830">
        <v>752.18100000000004</v>
      </c>
      <c r="G81" s="844">
        <v>0.1</v>
      </c>
      <c r="H81" s="845">
        <v>1.087</v>
      </c>
      <c r="I81" s="833">
        <v>8.3000000000000004E-2</v>
      </c>
      <c r="J81" s="1433"/>
      <c r="K81" s="1414"/>
      <c r="L81" s="1443"/>
      <c r="N81" s="403"/>
      <c r="O81" s="403"/>
      <c r="V81" s="416"/>
      <c r="W81" s="416"/>
      <c r="AB81" s="489"/>
      <c r="AC81" s="382"/>
      <c r="AD81" s="415"/>
      <c r="AE81" s="416"/>
      <c r="AF81" s="416"/>
      <c r="AG81" s="490"/>
      <c r="BF81" s="382"/>
    </row>
    <row r="82" spans="1:58" ht="30" customHeight="1" thickBot="1" x14ac:dyDescent="0.25">
      <c r="A82" s="1399"/>
      <c r="B82" s="1400"/>
      <c r="C82" s="1403"/>
      <c r="D82" s="1406"/>
      <c r="E82" s="1409"/>
      <c r="F82" s="846">
        <v>900.66499999999996</v>
      </c>
      <c r="G82" s="847">
        <v>0.1</v>
      </c>
      <c r="H82" s="848">
        <v>0.94</v>
      </c>
      <c r="I82" s="837">
        <v>8.7999999999999995E-2</v>
      </c>
      <c r="J82" s="1481"/>
      <c r="K82" s="1564"/>
      <c r="L82" s="1444"/>
      <c r="N82" s="403"/>
      <c r="O82" s="403"/>
      <c r="V82" s="416"/>
      <c r="W82" s="416"/>
      <c r="AB82" s="1454" t="s">
        <v>254</v>
      </c>
      <c r="AC82" s="524" t="s">
        <v>3</v>
      </c>
      <c r="AD82" s="621" t="s">
        <v>387</v>
      </c>
      <c r="AE82" s="621" t="s">
        <v>15</v>
      </c>
      <c r="AF82" s="1446" t="s">
        <v>469</v>
      </c>
      <c r="AG82" s="1537" t="s">
        <v>470</v>
      </c>
      <c r="BF82" s="382"/>
    </row>
    <row r="83" spans="1:58" ht="30" customHeight="1" x14ac:dyDescent="0.2">
      <c r="A83" s="444"/>
      <c r="B83" s="491"/>
      <c r="C83" s="492"/>
      <c r="D83" s="493"/>
      <c r="E83" s="494"/>
      <c r="F83" s="445"/>
      <c r="G83" s="445"/>
      <c r="H83" s="445"/>
      <c r="I83" s="445"/>
      <c r="J83" s="445"/>
      <c r="K83" s="495"/>
      <c r="L83" s="403"/>
      <c r="M83" s="403"/>
      <c r="N83" s="403"/>
      <c r="O83" s="403"/>
      <c r="V83" s="416"/>
      <c r="W83" s="416"/>
      <c r="AB83" s="1455"/>
      <c r="AC83" s="529">
        <f>MAX(I84:I87)</f>
        <v>0.2</v>
      </c>
      <c r="AD83" s="625">
        <f>MAX(I88:I90)</f>
        <v>1.7</v>
      </c>
      <c r="AE83" s="626">
        <f>MAX(I91:I93)</f>
        <v>8.8999999999999996E-2</v>
      </c>
      <c r="AF83" s="1447"/>
      <c r="AG83" s="1436"/>
      <c r="BF83" s="382"/>
    </row>
    <row r="84" spans="1:58" ht="30" customHeight="1" thickBot="1" x14ac:dyDescent="0.25">
      <c r="A84" s="496"/>
      <c r="B84" s="497"/>
      <c r="C84" s="498"/>
      <c r="D84" s="499"/>
      <c r="E84" s="500"/>
      <c r="F84" s="501"/>
      <c r="G84" s="501"/>
      <c r="H84" s="501"/>
      <c r="I84" s="501"/>
      <c r="J84" s="433"/>
      <c r="K84" s="502"/>
      <c r="L84" s="403"/>
      <c r="M84" s="403"/>
      <c r="N84" s="403"/>
      <c r="O84" s="403"/>
      <c r="V84" s="416"/>
      <c r="W84" s="416"/>
      <c r="AB84" s="1455"/>
      <c r="AC84" s="627"/>
      <c r="AD84" s="628"/>
      <c r="AE84" s="628"/>
      <c r="AF84" s="1448"/>
      <c r="AG84" s="1551"/>
      <c r="BF84" s="382"/>
    </row>
    <row r="85" spans="1:58" ht="30" customHeight="1" x14ac:dyDescent="0.2">
      <c r="A85" s="1509" t="s">
        <v>27</v>
      </c>
      <c r="B85" s="1510"/>
      <c r="C85" s="1401" t="s">
        <v>257</v>
      </c>
      <c r="D85" s="1404" t="s">
        <v>211</v>
      </c>
      <c r="E85" s="1407" t="s">
        <v>560</v>
      </c>
      <c r="F85" s="876">
        <v>14.9</v>
      </c>
      <c r="G85" s="877">
        <v>0.1</v>
      </c>
      <c r="H85" s="877">
        <v>-0.1</v>
      </c>
      <c r="I85" s="878">
        <v>0.2</v>
      </c>
      <c r="J85" s="1528">
        <v>1.96</v>
      </c>
      <c r="K85" s="1536" t="s">
        <v>558</v>
      </c>
      <c r="L85" s="1538" t="s">
        <v>561</v>
      </c>
      <c r="N85" s="857"/>
      <c r="O85" s="943" t="s">
        <v>3</v>
      </c>
      <c r="P85" s="944" t="s">
        <v>421</v>
      </c>
      <c r="Q85" s="945" t="s">
        <v>15</v>
      </c>
      <c r="V85" s="416"/>
      <c r="W85" s="416"/>
      <c r="AB85" s="503"/>
      <c r="AC85" s="415"/>
      <c r="AD85" s="415"/>
      <c r="AE85" s="415"/>
      <c r="AF85" s="415"/>
      <c r="AG85" s="504"/>
      <c r="BF85" s="382"/>
    </row>
    <row r="86" spans="1:58" ht="30" customHeight="1" x14ac:dyDescent="0.2">
      <c r="A86" s="1511"/>
      <c r="B86" s="1512"/>
      <c r="C86" s="1526"/>
      <c r="D86" s="1405"/>
      <c r="E86" s="1408"/>
      <c r="F86" s="879">
        <v>24.9</v>
      </c>
      <c r="G86" s="880">
        <v>0.1</v>
      </c>
      <c r="H86" s="880">
        <v>0</v>
      </c>
      <c r="I86" s="881">
        <v>0.2</v>
      </c>
      <c r="J86" s="1523"/>
      <c r="K86" s="1492"/>
      <c r="L86" s="1500"/>
      <c r="N86" s="858" t="s">
        <v>258</v>
      </c>
      <c r="O86" s="946">
        <f>MAX(I85:I87)</f>
        <v>0.2</v>
      </c>
      <c r="P86" s="947">
        <f>MAX(I88:I90)</f>
        <v>1.7</v>
      </c>
      <c r="Q86" s="948">
        <f>MAX(I91:I93)</f>
        <v>8.8999999999999996E-2</v>
      </c>
      <c r="V86" s="416"/>
      <c r="W86" s="416"/>
      <c r="AB86" s="489"/>
      <c r="AC86" s="382"/>
      <c r="AD86" s="415"/>
      <c r="AE86" s="416"/>
      <c r="AF86" s="416"/>
      <c r="AG86" s="490"/>
      <c r="BF86" s="382"/>
    </row>
    <row r="87" spans="1:58" ht="30" customHeight="1" thickBot="1" x14ac:dyDescent="0.25">
      <c r="A87" s="1513"/>
      <c r="B87" s="1514"/>
      <c r="C87" s="1526"/>
      <c r="D87" s="1405"/>
      <c r="E87" s="1408"/>
      <c r="F87" s="882">
        <v>30</v>
      </c>
      <c r="G87" s="883">
        <v>0.1</v>
      </c>
      <c r="H87" s="883">
        <v>-0.1</v>
      </c>
      <c r="I87" s="884">
        <v>0.2</v>
      </c>
      <c r="J87" s="1523">
        <v>1.96</v>
      </c>
      <c r="K87" s="1492"/>
      <c r="L87" s="1500"/>
      <c r="N87" s="859"/>
      <c r="O87" s="949"/>
      <c r="P87" s="950"/>
      <c r="Q87" s="951"/>
      <c r="V87" s="416"/>
      <c r="W87" s="416"/>
      <c r="AB87" s="489"/>
      <c r="AC87" s="382"/>
      <c r="AD87" s="415"/>
      <c r="AE87" s="416"/>
      <c r="AF87" s="416"/>
      <c r="AG87" s="490"/>
      <c r="BF87" s="382"/>
    </row>
    <row r="88" spans="1:58" ht="30" customHeight="1" x14ac:dyDescent="0.2">
      <c r="A88" s="1509" t="s">
        <v>250</v>
      </c>
      <c r="B88" s="1510"/>
      <c r="C88" s="1526"/>
      <c r="D88" s="1405"/>
      <c r="E88" s="1408"/>
      <c r="F88" s="885">
        <v>33.4</v>
      </c>
      <c r="G88" s="886">
        <v>0.1</v>
      </c>
      <c r="H88" s="886">
        <v>-3.4</v>
      </c>
      <c r="I88" s="887">
        <v>1.7</v>
      </c>
      <c r="J88" s="1522">
        <v>1.96</v>
      </c>
      <c r="K88" s="1491" t="s">
        <v>557</v>
      </c>
      <c r="L88" s="1508" t="s">
        <v>562</v>
      </c>
      <c r="N88" s="403"/>
      <c r="O88" s="403"/>
      <c r="V88" s="416"/>
      <c r="W88" s="416"/>
      <c r="AB88" s="489"/>
      <c r="AC88" s="382"/>
      <c r="AD88" s="415"/>
      <c r="AE88" s="416"/>
      <c r="AF88" s="416"/>
      <c r="AG88" s="490"/>
      <c r="BF88" s="382"/>
    </row>
    <row r="89" spans="1:58" ht="30" customHeight="1" x14ac:dyDescent="0.2">
      <c r="A89" s="1511"/>
      <c r="B89" s="1512"/>
      <c r="C89" s="1526"/>
      <c r="D89" s="1405"/>
      <c r="E89" s="1408"/>
      <c r="F89" s="879">
        <v>51.1</v>
      </c>
      <c r="G89" s="888">
        <v>0.1</v>
      </c>
      <c r="H89" s="888">
        <v>-1.2</v>
      </c>
      <c r="I89" s="889">
        <v>1.7</v>
      </c>
      <c r="J89" s="1523">
        <v>1.96</v>
      </c>
      <c r="K89" s="1492"/>
      <c r="L89" s="1500"/>
      <c r="N89" s="403"/>
      <c r="O89" s="403"/>
      <c r="V89" s="416"/>
      <c r="W89" s="416"/>
      <c r="AB89" s="489"/>
      <c r="AC89" s="382"/>
      <c r="AD89" s="415"/>
      <c r="AE89" s="416"/>
      <c r="AF89" s="416"/>
      <c r="AG89" s="490"/>
      <c r="BF89" s="382"/>
    </row>
    <row r="90" spans="1:58" ht="30" customHeight="1" thickBot="1" x14ac:dyDescent="0.25">
      <c r="A90" s="1513"/>
      <c r="B90" s="1514"/>
      <c r="C90" s="1526"/>
      <c r="D90" s="1405"/>
      <c r="E90" s="1408"/>
      <c r="F90" s="882">
        <v>77.2</v>
      </c>
      <c r="G90" s="890">
        <v>0.1</v>
      </c>
      <c r="H90" s="890">
        <v>2.8</v>
      </c>
      <c r="I90" s="891">
        <v>1.7</v>
      </c>
      <c r="J90" s="1523"/>
      <c r="K90" s="1492"/>
      <c r="L90" s="1500"/>
      <c r="N90" s="403"/>
      <c r="O90" s="403"/>
      <c r="V90" s="416"/>
      <c r="W90" s="416"/>
      <c r="AB90" s="489"/>
      <c r="AC90" s="382"/>
      <c r="AD90" s="415"/>
      <c r="AE90" s="416"/>
      <c r="AF90" s="416"/>
      <c r="AG90" s="490"/>
      <c r="BF90" s="382"/>
    </row>
    <row r="91" spans="1:58" ht="30" customHeight="1" x14ac:dyDescent="0.2">
      <c r="A91" s="1395" t="s">
        <v>72</v>
      </c>
      <c r="B91" s="1396"/>
      <c r="C91" s="1526"/>
      <c r="D91" s="1405"/>
      <c r="E91" s="1408"/>
      <c r="F91" s="892">
        <v>499.346</v>
      </c>
      <c r="G91" s="886">
        <v>0.1</v>
      </c>
      <c r="H91" s="893">
        <v>1.6890000000000001</v>
      </c>
      <c r="I91" s="894">
        <v>7.5999999999999998E-2</v>
      </c>
      <c r="J91" s="1522">
        <v>2</v>
      </c>
      <c r="K91" s="1491" t="s">
        <v>559</v>
      </c>
      <c r="L91" s="1499" t="s">
        <v>563</v>
      </c>
      <c r="N91" s="403"/>
      <c r="O91" s="403"/>
      <c r="V91" s="416"/>
      <c r="W91" s="416"/>
      <c r="AB91" s="489"/>
      <c r="AC91" s="382"/>
      <c r="AD91" s="415"/>
      <c r="AE91" s="416"/>
      <c r="AF91" s="416"/>
      <c r="AG91" s="490"/>
      <c r="BF91" s="382"/>
    </row>
    <row r="92" spans="1:58" ht="30" customHeight="1" thickBot="1" x14ac:dyDescent="0.25">
      <c r="A92" s="1397"/>
      <c r="B92" s="1398"/>
      <c r="C92" s="1526"/>
      <c r="D92" s="1405"/>
      <c r="E92" s="1408"/>
      <c r="F92" s="895">
        <v>752.18</v>
      </c>
      <c r="G92" s="888">
        <v>0.1</v>
      </c>
      <c r="H92" s="896">
        <v>1.0169999999999999</v>
      </c>
      <c r="I92" s="850">
        <v>8.3000000000000004E-2</v>
      </c>
      <c r="J92" s="1523">
        <v>2</v>
      </c>
      <c r="K92" s="1492"/>
      <c r="L92" s="1500" t="s">
        <v>236</v>
      </c>
      <c r="N92" s="403"/>
      <c r="O92" s="403"/>
      <c r="V92" s="416"/>
      <c r="W92" s="416"/>
      <c r="AB92" s="489"/>
      <c r="AC92" s="382"/>
      <c r="AD92" s="415"/>
      <c r="AE92" s="416"/>
      <c r="AF92" s="416"/>
      <c r="AG92" s="490"/>
      <c r="BF92" s="382"/>
    </row>
    <row r="93" spans="1:58" ht="30" customHeight="1" thickBot="1" x14ac:dyDescent="0.25">
      <c r="A93" s="1399"/>
      <c r="B93" s="1400"/>
      <c r="C93" s="1527"/>
      <c r="D93" s="1406"/>
      <c r="E93" s="1409"/>
      <c r="F93" s="897">
        <v>900.64499999999998</v>
      </c>
      <c r="G93" s="890">
        <v>0.1</v>
      </c>
      <c r="H93" s="898">
        <v>0.80700000000000005</v>
      </c>
      <c r="I93" s="851">
        <v>8.8999999999999996E-2</v>
      </c>
      <c r="J93" s="1524"/>
      <c r="K93" s="1525"/>
      <c r="L93" s="1501"/>
      <c r="N93" s="403"/>
      <c r="O93" s="403"/>
      <c r="V93" s="416"/>
      <c r="W93" s="416"/>
      <c r="AB93" s="1454" t="s">
        <v>256</v>
      </c>
      <c r="AC93" s="524" t="s">
        <v>3</v>
      </c>
      <c r="AD93" s="621" t="s">
        <v>387</v>
      </c>
      <c r="AE93" s="621" t="s">
        <v>15</v>
      </c>
      <c r="AF93" s="1555" t="s">
        <v>545</v>
      </c>
      <c r="AG93" s="1558" t="s">
        <v>544</v>
      </c>
      <c r="BF93" s="382"/>
    </row>
    <row r="94" spans="1:58" ht="30" customHeight="1" x14ac:dyDescent="0.2">
      <c r="A94" s="382"/>
      <c r="B94" s="505"/>
      <c r="C94" s="382"/>
      <c r="D94" s="382"/>
      <c r="E94" s="403"/>
      <c r="F94" s="403"/>
      <c r="G94" s="403"/>
      <c r="H94" s="403"/>
      <c r="I94" s="403"/>
      <c r="J94" s="403"/>
      <c r="K94" s="403"/>
      <c r="L94" s="403"/>
      <c r="N94" s="403"/>
      <c r="O94" s="403"/>
      <c r="V94" s="416"/>
      <c r="W94" s="416"/>
      <c r="AB94" s="1455"/>
      <c r="AC94" s="620">
        <f>MAX(I96:I98)</f>
        <v>0.2</v>
      </c>
      <c r="AD94" s="622">
        <f>MAX(I99:I101)</f>
        <v>1.7</v>
      </c>
      <c r="AE94" s="622">
        <f>MAX(I102:I104)</f>
        <v>8.7999999999999995E-2</v>
      </c>
      <c r="AF94" s="1556"/>
      <c r="AG94" s="1559"/>
      <c r="BF94" s="382"/>
    </row>
    <row r="95" spans="1:58" ht="30" customHeight="1" thickBot="1" x14ac:dyDescent="0.25">
      <c r="A95" s="382"/>
      <c r="B95" s="505"/>
      <c r="C95" s="506"/>
      <c r="D95" s="507"/>
      <c r="E95" s="508"/>
      <c r="F95" s="433"/>
      <c r="G95" s="433"/>
      <c r="H95" s="433"/>
      <c r="I95" s="433"/>
      <c r="J95" s="433"/>
      <c r="K95" s="502"/>
      <c r="L95" s="403"/>
      <c r="N95" s="403"/>
      <c r="O95" s="403"/>
      <c r="V95" s="416"/>
      <c r="W95" s="416"/>
      <c r="AB95" s="1456"/>
      <c r="AC95" s="623"/>
      <c r="AD95" s="624"/>
      <c r="AE95" s="624"/>
      <c r="AF95" s="1557"/>
      <c r="AG95" s="1560"/>
      <c r="BF95" s="382"/>
    </row>
    <row r="96" spans="1:58" ht="30" customHeight="1" x14ac:dyDescent="0.2">
      <c r="A96" s="1395" t="s">
        <v>27</v>
      </c>
      <c r="B96" s="1396"/>
      <c r="C96" s="1401" t="s">
        <v>259</v>
      </c>
      <c r="D96" s="1404" t="s">
        <v>211</v>
      </c>
      <c r="E96" s="1529" t="s">
        <v>260</v>
      </c>
      <c r="F96" s="899">
        <v>14.8</v>
      </c>
      <c r="G96" s="900">
        <v>0.1</v>
      </c>
      <c r="H96" s="901">
        <v>0</v>
      </c>
      <c r="I96" s="902">
        <v>0.2</v>
      </c>
      <c r="J96" s="1532">
        <v>1.96</v>
      </c>
      <c r="K96" s="1552" t="s">
        <v>558</v>
      </c>
      <c r="L96" s="1515" t="s">
        <v>564</v>
      </c>
      <c r="N96" s="857"/>
      <c r="O96" s="943" t="s">
        <v>3</v>
      </c>
      <c r="P96" s="944" t="s">
        <v>421</v>
      </c>
      <c r="Q96" s="945" t="s">
        <v>15</v>
      </c>
      <c r="V96" s="416"/>
      <c r="W96" s="416"/>
      <c r="AB96" s="489"/>
      <c r="AC96" s="382"/>
      <c r="AD96" s="415"/>
      <c r="AE96" s="416"/>
      <c r="AF96" s="416"/>
      <c r="AG96" s="490"/>
      <c r="BF96" s="382"/>
    </row>
    <row r="97" spans="1:58" ht="30" customHeight="1" x14ac:dyDescent="0.2">
      <c r="A97" s="1397"/>
      <c r="B97" s="1398"/>
      <c r="C97" s="1526"/>
      <c r="D97" s="1405"/>
      <c r="E97" s="1530"/>
      <c r="F97" s="903">
        <v>24.8</v>
      </c>
      <c r="G97" s="904">
        <v>0.1</v>
      </c>
      <c r="H97" s="905">
        <v>0.1</v>
      </c>
      <c r="I97" s="906">
        <v>0.2</v>
      </c>
      <c r="J97" s="1506"/>
      <c r="K97" s="1480"/>
      <c r="L97" s="1503"/>
      <c r="N97" s="858" t="s">
        <v>263</v>
      </c>
      <c r="O97" s="946">
        <f>MAX(I96:I98)</f>
        <v>0.2</v>
      </c>
      <c r="P97" s="947">
        <f>MAX(I99:I101)</f>
        <v>1.7</v>
      </c>
      <c r="Q97" s="948">
        <f>MAX(I102:I104)</f>
        <v>8.7999999999999995E-2</v>
      </c>
      <c r="V97" s="416"/>
      <c r="W97" s="416"/>
      <c r="AB97" s="489"/>
      <c r="AC97" s="382"/>
      <c r="AD97" s="415"/>
      <c r="AE97" s="416"/>
      <c r="AF97" s="416"/>
      <c r="AG97" s="490"/>
      <c r="BF97" s="382"/>
    </row>
    <row r="98" spans="1:58" ht="30" customHeight="1" thickBot="1" x14ac:dyDescent="0.25">
      <c r="A98" s="1399"/>
      <c r="B98" s="1400"/>
      <c r="C98" s="1526"/>
      <c r="D98" s="1405"/>
      <c r="E98" s="1530"/>
      <c r="F98" s="907">
        <v>29.8</v>
      </c>
      <c r="G98" s="908">
        <v>0.1</v>
      </c>
      <c r="H98" s="909">
        <v>0.1</v>
      </c>
      <c r="I98" s="910">
        <v>0.2</v>
      </c>
      <c r="J98" s="1506"/>
      <c r="K98" s="1480"/>
      <c r="L98" s="1503"/>
      <c r="N98" s="859"/>
      <c r="O98" s="949"/>
      <c r="P98" s="950"/>
      <c r="Q98" s="951"/>
      <c r="V98" s="416"/>
      <c r="W98" s="416"/>
      <c r="AB98" s="489"/>
      <c r="AC98" s="382"/>
      <c r="AD98" s="415"/>
      <c r="AE98" s="416"/>
      <c r="AF98" s="416"/>
      <c r="AG98" s="490"/>
      <c r="BF98" s="382"/>
    </row>
    <row r="99" spans="1:58" ht="30" customHeight="1" x14ac:dyDescent="0.2">
      <c r="A99" s="1395" t="s">
        <v>250</v>
      </c>
      <c r="B99" s="1396"/>
      <c r="C99" s="1526"/>
      <c r="D99" s="1405"/>
      <c r="E99" s="1530"/>
      <c r="F99" s="911">
        <v>33.4</v>
      </c>
      <c r="G99" s="900">
        <v>0.1</v>
      </c>
      <c r="H99" s="900">
        <v>-3.4</v>
      </c>
      <c r="I99" s="902">
        <v>1.7</v>
      </c>
      <c r="J99" s="1505">
        <v>1.96</v>
      </c>
      <c r="K99" s="1479" t="s">
        <v>557</v>
      </c>
      <c r="L99" s="1502" t="s">
        <v>565</v>
      </c>
      <c r="N99" s="403"/>
      <c r="O99" s="403"/>
      <c r="V99" s="416"/>
      <c r="W99" s="416"/>
      <c r="AB99" s="489"/>
      <c r="AC99" s="382"/>
      <c r="AD99" s="415"/>
      <c r="AE99" s="416"/>
      <c r="AF99" s="416"/>
      <c r="AG99" s="490"/>
      <c r="BF99" s="382"/>
    </row>
    <row r="100" spans="1:58" ht="30" customHeight="1" x14ac:dyDescent="0.2">
      <c r="A100" s="1397"/>
      <c r="B100" s="1398"/>
      <c r="C100" s="1526"/>
      <c r="D100" s="1405"/>
      <c r="E100" s="1530"/>
      <c r="F100" s="903">
        <v>51.1</v>
      </c>
      <c r="G100" s="904">
        <v>0.1</v>
      </c>
      <c r="H100" s="904">
        <v>-1.1000000000000001</v>
      </c>
      <c r="I100" s="906">
        <v>1.7</v>
      </c>
      <c r="J100" s="1506"/>
      <c r="K100" s="1480"/>
      <c r="L100" s="1503"/>
      <c r="N100" s="403"/>
      <c r="O100" s="403"/>
      <c r="V100" s="416"/>
      <c r="W100" s="416"/>
      <c r="AB100" s="489"/>
      <c r="AC100" s="382"/>
      <c r="AD100" s="415"/>
      <c r="AE100" s="416"/>
      <c r="AF100" s="416"/>
      <c r="AG100" s="490"/>
      <c r="BF100" s="382"/>
    </row>
    <row r="101" spans="1:58" ht="30" customHeight="1" thickBot="1" x14ac:dyDescent="0.25">
      <c r="A101" s="1399"/>
      <c r="B101" s="1400"/>
      <c r="C101" s="1526"/>
      <c r="D101" s="1405"/>
      <c r="E101" s="1530"/>
      <c r="F101" s="907">
        <v>76.8</v>
      </c>
      <c r="G101" s="909">
        <v>0.1</v>
      </c>
      <c r="H101" s="909">
        <v>3.2</v>
      </c>
      <c r="I101" s="910">
        <v>1.7</v>
      </c>
      <c r="J101" s="1506"/>
      <c r="K101" s="1480"/>
      <c r="L101" s="1503"/>
      <c r="N101" s="403"/>
      <c r="O101" s="403"/>
      <c r="V101" s="416"/>
      <c r="W101" s="416"/>
      <c r="AB101" s="489"/>
      <c r="AC101" s="382"/>
      <c r="AD101" s="415"/>
      <c r="AE101" s="416"/>
      <c r="AF101" s="416"/>
      <c r="AG101" s="490"/>
      <c r="BF101" s="382"/>
    </row>
    <row r="102" spans="1:58" ht="30" customHeight="1" x14ac:dyDescent="0.2">
      <c r="A102" s="1395" t="s">
        <v>72</v>
      </c>
      <c r="B102" s="1396"/>
      <c r="C102" s="1526"/>
      <c r="D102" s="1405"/>
      <c r="E102" s="1530"/>
      <c r="F102" s="912">
        <v>499.02600000000001</v>
      </c>
      <c r="G102" s="913">
        <v>0.1</v>
      </c>
      <c r="H102" s="914">
        <v>1.573</v>
      </c>
      <c r="I102" s="915">
        <v>7.6999999999999999E-2</v>
      </c>
      <c r="J102" s="1505">
        <v>1.96</v>
      </c>
      <c r="K102" s="1553" t="s">
        <v>559</v>
      </c>
      <c r="L102" s="1502" t="s">
        <v>566</v>
      </c>
      <c r="N102" s="403"/>
      <c r="O102" s="403"/>
      <c r="V102" s="416"/>
      <c r="W102" s="416"/>
      <c r="AB102" s="489"/>
      <c r="AC102" s="382"/>
      <c r="AD102" s="415"/>
      <c r="AE102" s="416"/>
      <c r="AF102" s="416"/>
      <c r="AG102" s="490"/>
      <c r="BF102" s="382"/>
    </row>
    <row r="103" spans="1:58" ht="30" customHeight="1" thickBot="1" x14ac:dyDescent="0.25">
      <c r="A103" s="1397"/>
      <c r="B103" s="1398"/>
      <c r="C103" s="1526"/>
      <c r="D103" s="1405"/>
      <c r="E103" s="1530"/>
      <c r="F103" s="903">
        <v>752.18100000000004</v>
      </c>
      <c r="G103" s="904">
        <v>0.1</v>
      </c>
      <c r="H103" s="916">
        <v>1.0469999999999999</v>
      </c>
      <c r="I103" s="906">
        <v>8.3000000000000004E-2</v>
      </c>
      <c r="J103" s="1506">
        <v>1.96</v>
      </c>
      <c r="K103" s="1480"/>
      <c r="L103" s="1503" t="s">
        <v>261</v>
      </c>
      <c r="N103" s="403"/>
      <c r="O103" s="403"/>
      <c r="V103" s="416"/>
      <c r="W103" s="416"/>
      <c r="AB103" s="489"/>
      <c r="AC103" s="382"/>
      <c r="AD103" s="415"/>
      <c r="AE103" s="416"/>
      <c r="AF103" s="416"/>
      <c r="AG103" s="490"/>
      <c r="BF103" s="382"/>
    </row>
    <row r="104" spans="1:58" ht="30" customHeight="1" thickBot="1" x14ac:dyDescent="0.25">
      <c r="A104" s="1399"/>
      <c r="B104" s="1400"/>
      <c r="C104" s="1527"/>
      <c r="D104" s="1406"/>
      <c r="E104" s="1531"/>
      <c r="F104" s="907">
        <v>900.66499999999996</v>
      </c>
      <c r="G104" s="909">
        <v>0.1</v>
      </c>
      <c r="H104" s="917">
        <v>0.73699999999999999</v>
      </c>
      <c r="I104" s="910">
        <v>8.7999999999999995E-2</v>
      </c>
      <c r="J104" s="1507">
        <v>2</v>
      </c>
      <c r="K104" s="1554"/>
      <c r="L104" s="1504" t="s">
        <v>262</v>
      </c>
      <c r="N104" s="403"/>
      <c r="O104" s="403"/>
      <c r="V104" s="416"/>
      <c r="W104" s="416"/>
      <c r="AB104" s="1454" t="s">
        <v>258</v>
      </c>
      <c r="AC104" s="524" t="s">
        <v>3</v>
      </c>
      <c r="AD104" s="621" t="s">
        <v>387</v>
      </c>
      <c r="AE104" s="621" t="s">
        <v>15</v>
      </c>
      <c r="AF104" s="1446" t="s">
        <v>471</v>
      </c>
      <c r="AG104" s="1537" t="s">
        <v>472</v>
      </c>
      <c r="BF104" s="382"/>
    </row>
    <row r="105" spans="1:58" ht="30" customHeight="1" x14ac:dyDescent="0.2">
      <c r="A105" s="382"/>
      <c r="B105" s="505"/>
      <c r="C105" s="382"/>
      <c r="D105" s="382"/>
      <c r="E105" s="403"/>
      <c r="F105" s="403"/>
      <c r="G105" s="403"/>
      <c r="H105" s="403"/>
      <c r="I105" s="403"/>
      <c r="J105" s="403"/>
      <c r="K105" s="403"/>
      <c r="L105" s="403"/>
      <c r="N105" s="403"/>
      <c r="O105" s="403"/>
      <c r="V105" s="416"/>
      <c r="W105" s="416"/>
      <c r="AB105" s="1455"/>
      <c r="AC105" s="620">
        <f>MAX(I107:I109)</f>
        <v>0.4</v>
      </c>
      <c r="AD105" s="622">
        <f>MAX(I110:I112)</f>
        <v>1.7</v>
      </c>
      <c r="AE105" s="622">
        <f>MAX(I113:I115)</f>
        <v>9.0999999999999998E-2</v>
      </c>
      <c r="AF105" s="1447"/>
      <c r="AG105" s="1436"/>
      <c r="BF105" s="382"/>
    </row>
    <row r="106" spans="1:58" ht="30" customHeight="1" thickBot="1" x14ac:dyDescent="0.25">
      <c r="A106" s="382"/>
      <c r="B106" s="505"/>
      <c r="C106" s="507"/>
      <c r="D106" s="506"/>
      <c r="E106" s="508"/>
      <c r="F106" s="433"/>
      <c r="G106" s="433"/>
      <c r="H106" s="433"/>
      <c r="I106" s="433"/>
      <c r="J106" s="433"/>
      <c r="K106" s="502"/>
      <c r="L106" s="403"/>
      <c r="N106" s="403"/>
      <c r="O106" s="403"/>
      <c r="V106" s="416"/>
      <c r="W106" s="416"/>
      <c r="AB106" s="1456"/>
      <c r="AC106" s="623"/>
      <c r="AD106" s="624"/>
      <c r="AE106" s="624"/>
      <c r="AF106" s="1453"/>
      <c r="AG106" s="1437"/>
      <c r="BF106" s="382"/>
    </row>
    <row r="107" spans="1:58" ht="30" customHeight="1" x14ac:dyDescent="0.2">
      <c r="A107" s="1493" t="s">
        <v>27</v>
      </c>
      <c r="B107" s="1494"/>
      <c r="C107" s="1401" t="s">
        <v>253</v>
      </c>
      <c r="D107" s="1540" t="s">
        <v>211</v>
      </c>
      <c r="E107" s="1407">
        <v>19506160802033</v>
      </c>
      <c r="F107" s="885">
        <v>15.1</v>
      </c>
      <c r="G107" s="877">
        <v>0.1</v>
      </c>
      <c r="H107" s="918">
        <v>0</v>
      </c>
      <c r="I107" s="919">
        <v>0.3</v>
      </c>
      <c r="J107" s="1516">
        <v>1.96</v>
      </c>
      <c r="K107" s="1536" t="s">
        <v>567</v>
      </c>
      <c r="L107" s="1538" t="s">
        <v>568</v>
      </c>
      <c r="N107" s="857"/>
      <c r="O107" s="943" t="s">
        <v>3</v>
      </c>
      <c r="P107" s="944" t="s">
        <v>421</v>
      </c>
      <c r="Q107" s="945" t="s">
        <v>15</v>
      </c>
      <c r="V107" s="416"/>
      <c r="W107" s="416"/>
      <c r="AB107" s="489"/>
      <c r="AC107" s="382"/>
      <c r="AD107" s="415"/>
      <c r="AE107" s="416"/>
      <c r="AF107" s="416"/>
      <c r="AG107" s="490"/>
      <c r="BF107" s="382"/>
    </row>
    <row r="108" spans="1:58" ht="30" customHeight="1" x14ac:dyDescent="0.2">
      <c r="A108" s="1495"/>
      <c r="B108" s="1496"/>
      <c r="C108" s="1402"/>
      <c r="D108" s="1541"/>
      <c r="E108" s="1408"/>
      <c r="F108" s="879">
        <v>24.9</v>
      </c>
      <c r="G108" s="880">
        <v>0.1</v>
      </c>
      <c r="H108" s="920">
        <v>0</v>
      </c>
      <c r="I108" s="921">
        <v>0.2</v>
      </c>
      <c r="J108" s="1517"/>
      <c r="K108" s="1492"/>
      <c r="L108" s="1500"/>
      <c r="N108" s="858" t="s">
        <v>254</v>
      </c>
      <c r="O108" s="946">
        <f>MAX(I107:I109)</f>
        <v>0.4</v>
      </c>
      <c r="P108" s="947">
        <f>MAX(I110:I112)</f>
        <v>1.7</v>
      </c>
      <c r="Q108" s="948">
        <f>MAX(I113:I115)</f>
        <v>9.0999999999999998E-2</v>
      </c>
      <c r="V108" s="416"/>
      <c r="W108" s="416"/>
      <c r="AB108" s="489"/>
      <c r="AC108" s="382"/>
      <c r="AD108" s="415"/>
      <c r="AE108" s="416"/>
      <c r="AF108" s="416"/>
      <c r="AG108" s="490"/>
      <c r="BF108" s="382"/>
    </row>
    <row r="109" spans="1:58" ht="30" customHeight="1" thickBot="1" x14ac:dyDescent="0.25">
      <c r="A109" s="1497"/>
      <c r="B109" s="1498"/>
      <c r="C109" s="1402"/>
      <c r="D109" s="1541"/>
      <c r="E109" s="1408"/>
      <c r="F109" s="922">
        <v>34.700000000000003</v>
      </c>
      <c r="G109" s="883">
        <v>0.1</v>
      </c>
      <c r="H109" s="923">
        <v>0</v>
      </c>
      <c r="I109" s="852">
        <v>0.4</v>
      </c>
      <c r="J109" s="1517"/>
      <c r="K109" s="1492"/>
      <c r="L109" s="1500"/>
      <c r="N109" s="859"/>
      <c r="O109" s="949"/>
      <c r="P109" s="950"/>
      <c r="Q109" s="951"/>
      <c r="W109" s="416"/>
      <c r="AB109" s="489"/>
      <c r="AC109" s="382"/>
      <c r="AD109" s="415"/>
      <c r="AE109" s="416"/>
      <c r="AF109" s="416"/>
      <c r="AG109" s="490"/>
      <c r="BF109" s="382"/>
    </row>
    <row r="110" spans="1:58" ht="30" customHeight="1" x14ac:dyDescent="0.2">
      <c r="A110" s="1395" t="s">
        <v>250</v>
      </c>
      <c r="B110" s="1396"/>
      <c r="C110" s="1402"/>
      <c r="D110" s="1541"/>
      <c r="E110" s="1408"/>
      <c r="F110" s="885">
        <v>32.700000000000003</v>
      </c>
      <c r="G110" s="877">
        <v>0.1</v>
      </c>
      <c r="H110" s="877">
        <v>-2.7</v>
      </c>
      <c r="I110" s="924">
        <v>1.7</v>
      </c>
      <c r="J110" s="1521">
        <v>1.96</v>
      </c>
      <c r="K110" s="1491" t="s">
        <v>569</v>
      </c>
      <c r="L110" s="1508" t="s">
        <v>570</v>
      </c>
      <c r="N110" s="403"/>
      <c r="O110" s="403"/>
      <c r="AB110" s="489"/>
      <c r="AC110" s="382"/>
      <c r="AD110" s="415"/>
      <c r="AE110" s="416"/>
      <c r="AF110" s="416"/>
      <c r="AG110" s="490"/>
      <c r="BF110" s="382"/>
    </row>
    <row r="111" spans="1:58" ht="30" customHeight="1" x14ac:dyDescent="0.2">
      <c r="A111" s="1397"/>
      <c r="B111" s="1398"/>
      <c r="C111" s="1402"/>
      <c r="D111" s="1541"/>
      <c r="E111" s="1408"/>
      <c r="F111" s="879">
        <v>50.5</v>
      </c>
      <c r="G111" s="880">
        <v>0.1</v>
      </c>
      <c r="H111" s="880">
        <v>-0.5</v>
      </c>
      <c r="I111" s="853">
        <v>1.7</v>
      </c>
      <c r="J111" s="1517"/>
      <c r="K111" s="1492"/>
      <c r="L111" s="1500"/>
      <c r="N111" s="403"/>
      <c r="O111" s="403"/>
      <c r="AB111" s="489"/>
      <c r="AC111" s="382"/>
      <c r="AD111" s="415"/>
      <c r="AE111" s="416"/>
      <c r="AF111" s="416"/>
      <c r="AG111" s="490"/>
      <c r="BF111" s="382"/>
    </row>
    <row r="112" spans="1:58" ht="30" customHeight="1" thickBot="1" x14ac:dyDescent="0.25">
      <c r="A112" s="1399"/>
      <c r="B112" s="1400"/>
      <c r="C112" s="1402"/>
      <c r="D112" s="1541"/>
      <c r="E112" s="1408"/>
      <c r="F112" s="882">
        <v>76.7</v>
      </c>
      <c r="G112" s="883">
        <v>0.1</v>
      </c>
      <c r="H112" s="883">
        <v>3.3</v>
      </c>
      <c r="I112" s="854">
        <v>1.7</v>
      </c>
      <c r="J112" s="1517"/>
      <c r="K112" s="1492"/>
      <c r="L112" s="1500"/>
      <c r="N112" s="403"/>
      <c r="O112" s="403"/>
      <c r="AB112" s="489"/>
      <c r="AC112" s="382"/>
      <c r="AD112" s="415"/>
      <c r="AE112" s="416"/>
      <c r="AF112" s="416"/>
      <c r="AG112" s="490"/>
      <c r="BF112" s="382"/>
    </row>
    <row r="113" spans="1:58" ht="30" customHeight="1" x14ac:dyDescent="0.2">
      <c r="A113" s="1395" t="s">
        <v>72</v>
      </c>
      <c r="B113" s="1396"/>
      <c r="C113" s="1402"/>
      <c r="D113" s="1541"/>
      <c r="E113" s="1408"/>
      <c r="F113" s="885">
        <v>399.52300000000002</v>
      </c>
      <c r="G113" s="877">
        <v>0.1</v>
      </c>
      <c r="H113" s="877">
        <v>1.96</v>
      </c>
      <c r="I113" s="925">
        <v>7.5999999999999998E-2</v>
      </c>
      <c r="J113" s="1518">
        <v>2</v>
      </c>
      <c r="K113" s="1491" t="s">
        <v>559</v>
      </c>
      <c r="L113" s="1535" t="s">
        <v>571</v>
      </c>
      <c r="N113" s="403"/>
      <c r="O113" s="403"/>
      <c r="AB113" s="489"/>
      <c r="AC113" s="382"/>
      <c r="AD113" s="415"/>
      <c r="AE113" s="416"/>
      <c r="AF113" s="416"/>
      <c r="AG113" s="490"/>
      <c r="BF113" s="382"/>
    </row>
    <row r="114" spans="1:58" ht="30" customHeight="1" thickBot="1" x14ac:dyDescent="0.25">
      <c r="A114" s="1397"/>
      <c r="B114" s="1398"/>
      <c r="C114" s="1402"/>
      <c r="D114" s="1541"/>
      <c r="E114" s="1408"/>
      <c r="F114" s="895">
        <v>752.18100000000004</v>
      </c>
      <c r="G114" s="880">
        <v>0.1</v>
      </c>
      <c r="H114" s="926">
        <v>1.1479999999999999</v>
      </c>
      <c r="I114" s="850">
        <v>8.3000000000000004E-2</v>
      </c>
      <c r="J114" s="1519"/>
      <c r="K114" s="1492"/>
      <c r="L114" s="1500"/>
      <c r="N114" s="403"/>
      <c r="O114" s="403"/>
      <c r="AB114" s="489"/>
      <c r="AC114" s="382"/>
      <c r="AD114" s="415"/>
      <c r="AE114" s="416"/>
      <c r="AF114" s="416"/>
      <c r="AG114" s="490"/>
      <c r="BF114" s="382"/>
    </row>
    <row r="115" spans="1:58" ht="30" customHeight="1" thickBot="1" x14ac:dyDescent="0.25">
      <c r="A115" s="1399"/>
      <c r="B115" s="1400"/>
      <c r="C115" s="1403"/>
      <c r="D115" s="1542"/>
      <c r="E115" s="1409"/>
      <c r="F115" s="897">
        <v>1099.1110000000001</v>
      </c>
      <c r="G115" s="883">
        <v>0.1</v>
      </c>
      <c r="H115" s="883">
        <v>1.0669999999999999</v>
      </c>
      <c r="I115" s="851">
        <v>9.0999999999999998E-2</v>
      </c>
      <c r="J115" s="1520"/>
      <c r="K115" s="1525"/>
      <c r="L115" s="1501"/>
      <c r="N115" s="403"/>
      <c r="O115" s="403"/>
      <c r="AB115" s="1454" t="s">
        <v>263</v>
      </c>
      <c r="AC115" s="524" t="s">
        <v>3</v>
      </c>
      <c r="AD115" s="621" t="s">
        <v>387</v>
      </c>
      <c r="AE115" s="621" t="s">
        <v>15</v>
      </c>
      <c r="AF115" s="1446" t="s">
        <v>473</v>
      </c>
      <c r="AG115" s="1537" t="s">
        <v>474</v>
      </c>
      <c r="BF115" s="382"/>
    </row>
    <row r="116" spans="1:58" ht="33.950000000000003" customHeight="1" x14ac:dyDescent="0.2">
      <c r="A116" s="382"/>
      <c r="B116" s="505"/>
      <c r="C116" s="382"/>
      <c r="D116" s="382"/>
      <c r="E116" s="403"/>
      <c r="F116" s="403"/>
      <c r="G116" s="403"/>
      <c r="H116" s="403"/>
      <c r="I116" s="403"/>
      <c r="J116" s="403"/>
      <c r="K116" s="403"/>
      <c r="L116" s="403"/>
      <c r="N116" s="403"/>
      <c r="O116" s="403"/>
      <c r="AB116" s="1455"/>
      <c r="AC116" s="620">
        <f>MAX(I118:I120)</f>
        <v>0.5</v>
      </c>
      <c r="AD116" s="622">
        <f>MAX(I121:I123)</f>
        <v>1.7</v>
      </c>
      <c r="AE116" s="622">
        <f>MAX(I124:I126)</f>
        <v>7.0000000000000007E-2</v>
      </c>
      <c r="AF116" s="1447"/>
      <c r="AG116" s="1436"/>
      <c r="BF116" s="382"/>
    </row>
    <row r="117" spans="1:58" ht="33.950000000000003" customHeight="1" thickBot="1" x14ac:dyDescent="0.25">
      <c r="A117" s="382"/>
      <c r="B117" s="505"/>
      <c r="C117" s="507"/>
      <c r="D117" s="506"/>
      <c r="E117" s="508"/>
      <c r="F117" s="433"/>
      <c r="G117" s="433"/>
      <c r="H117" s="433"/>
      <c r="I117" s="433"/>
      <c r="J117" s="433"/>
      <c r="K117" s="502"/>
      <c r="L117" s="403"/>
      <c r="N117" s="403"/>
      <c r="O117" s="403"/>
      <c r="AB117" s="1456"/>
      <c r="AC117" s="623"/>
      <c r="AD117" s="624"/>
      <c r="AE117" s="624"/>
      <c r="AF117" s="1453"/>
      <c r="AG117" s="1437"/>
      <c r="BF117" s="382"/>
    </row>
    <row r="118" spans="1:58" ht="30" customHeight="1" x14ac:dyDescent="0.2">
      <c r="A118" s="1395" t="s">
        <v>27</v>
      </c>
      <c r="B118" s="1396"/>
      <c r="C118" s="1401" t="s">
        <v>255</v>
      </c>
      <c r="D118" s="1404" t="s">
        <v>211</v>
      </c>
      <c r="E118" s="1407">
        <v>19406160802033</v>
      </c>
      <c r="F118" s="885">
        <v>15.1</v>
      </c>
      <c r="G118" s="877">
        <v>0.1</v>
      </c>
      <c r="H118" s="918">
        <v>0</v>
      </c>
      <c r="I118" s="927">
        <v>0.3</v>
      </c>
      <c r="J118" s="1528">
        <v>1.96</v>
      </c>
      <c r="K118" s="1536" t="s">
        <v>572</v>
      </c>
      <c r="L118" s="1538" t="s">
        <v>543</v>
      </c>
      <c r="N118" s="857"/>
      <c r="O118" s="943" t="s">
        <v>3</v>
      </c>
      <c r="P118" s="944" t="s">
        <v>421</v>
      </c>
      <c r="Q118" s="945" t="s">
        <v>15</v>
      </c>
      <c r="AB118" s="489"/>
      <c r="AC118" s="382"/>
      <c r="AD118" s="415"/>
      <c r="AE118" s="416"/>
      <c r="AF118" s="416"/>
      <c r="AG118" s="490"/>
      <c r="BF118" s="382"/>
    </row>
    <row r="119" spans="1:58" ht="30" customHeight="1" x14ac:dyDescent="0.2">
      <c r="A119" s="1397"/>
      <c r="B119" s="1398"/>
      <c r="C119" s="1402"/>
      <c r="D119" s="1405"/>
      <c r="E119" s="1408"/>
      <c r="F119" s="928">
        <v>24.9</v>
      </c>
      <c r="G119" s="880">
        <v>0.1</v>
      </c>
      <c r="H119" s="920">
        <v>0</v>
      </c>
      <c r="I119" s="929">
        <v>0.2</v>
      </c>
      <c r="J119" s="1523"/>
      <c r="K119" s="1492"/>
      <c r="L119" s="1500"/>
      <c r="N119" s="858" t="s">
        <v>256</v>
      </c>
      <c r="O119" s="946">
        <f>MAX(I118:I120)</f>
        <v>0.5</v>
      </c>
      <c r="P119" s="947">
        <f>MAX(I121:I123)</f>
        <v>1.7</v>
      </c>
      <c r="Q119" s="948">
        <f>MAX(I124:I126)</f>
        <v>7.0000000000000007E-2</v>
      </c>
      <c r="AB119" s="489"/>
      <c r="AC119" s="382"/>
      <c r="AD119" s="415"/>
      <c r="AE119" s="416"/>
      <c r="AF119" s="416"/>
      <c r="AG119" s="490"/>
      <c r="BF119" s="382"/>
    </row>
    <row r="120" spans="1:58" ht="30" customHeight="1" thickBot="1" x14ac:dyDescent="0.25">
      <c r="A120" s="1399"/>
      <c r="B120" s="1400"/>
      <c r="C120" s="1402"/>
      <c r="D120" s="1405"/>
      <c r="E120" s="1408"/>
      <c r="F120" s="922">
        <v>34.700000000000003</v>
      </c>
      <c r="G120" s="883">
        <v>0.1</v>
      </c>
      <c r="H120" s="923">
        <v>0.1</v>
      </c>
      <c r="I120" s="930">
        <v>0.5</v>
      </c>
      <c r="J120" s="1523"/>
      <c r="K120" s="1492"/>
      <c r="L120" s="1500"/>
      <c r="N120" s="859"/>
      <c r="O120" s="949"/>
      <c r="P120" s="950"/>
      <c r="Q120" s="951"/>
      <c r="AB120" s="489"/>
      <c r="AC120" s="382"/>
      <c r="AD120" s="415"/>
      <c r="AE120" s="416"/>
      <c r="AF120" s="416"/>
      <c r="AG120" s="490"/>
      <c r="BF120" s="382"/>
    </row>
    <row r="121" spans="1:58" ht="30" customHeight="1" x14ac:dyDescent="0.2">
      <c r="A121" s="1395" t="s">
        <v>250</v>
      </c>
      <c r="B121" s="1396"/>
      <c r="C121" s="1402"/>
      <c r="D121" s="1405"/>
      <c r="E121" s="1408"/>
      <c r="F121" s="885">
        <v>33</v>
      </c>
      <c r="G121" s="877">
        <v>0.1</v>
      </c>
      <c r="H121" s="877">
        <v>-3</v>
      </c>
      <c r="I121" s="924">
        <v>1.7</v>
      </c>
      <c r="J121" s="1547">
        <v>1.96</v>
      </c>
      <c r="K121" s="1491" t="s">
        <v>573</v>
      </c>
      <c r="L121" s="1508" t="s">
        <v>546</v>
      </c>
      <c r="N121" s="403"/>
      <c r="O121" s="403"/>
      <c r="AB121" s="489"/>
      <c r="AC121" s="382"/>
      <c r="AD121" s="415"/>
      <c r="AE121" s="416"/>
      <c r="AF121" s="416"/>
      <c r="AG121" s="490"/>
      <c r="BF121" s="382"/>
    </row>
    <row r="122" spans="1:58" ht="30" customHeight="1" x14ac:dyDescent="0.2">
      <c r="A122" s="1397"/>
      <c r="B122" s="1398"/>
      <c r="C122" s="1402"/>
      <c r="D122" s="1405"/>
      <c r="E122" s="1408"/>
      <c r="F122" s="879">
        <v>50.9</v>
      </c>
      <c r="G122" s="880">
        <v>0.1</v>
      </c>
      <c r="H122" s="880">
        <v>-0.9</v>
      </c>
      <c r="I122" s="931">
        <v>1.7</v>
      </c>
      <c r="J122" s="1523">
        <v>2</v>
      </c>
      <c r="K122" s="1492"/>
      <c r="L122" s="1500"/>
      <c r="N122" s="403"/>
      <c r="O122" s="403"/>
      <c r="AB122" s="489"/>
      <c r="AC122" s="382"/>
      <c r="AD122" s="415"/>
      <c r="AE122" s="416"/>
      <c r="AF122" s="416"/>
      <c r="AG122" s="490"/>
      <c r="BF122" s="382"/>
    </row>
    <row r="123" spans="1:58" ht="30" customHeight="1" thickBot="1" x14ac:dyDescent="0.25">
      <c r="A123" s="1399"/>
      <c r="B123" s="1400"/>
      <c r="C123" s="1402"/>
      <c r="D123" s="1405"/>
      <c r="E123" s="1408"/>
      <c r="F123" s="882">
        <v>79.099999999999994</v>
      </c>
      <c r="G123" s="883">
        <v>0.1</v>
      </c>
      <c r="H123" s="883">
        <v>0.9</v>
      </c>
      <c r="I123" s="932">
        <v>1.7</v>
      </c>
      <c r="J123" s="1523"/>
      <c r="K123" s="1492"/>
      <c r="L123" s="1500"/>
      <c r="N123" s="403"/>
      <c r="O123" s="403"/>
      <c r="AB123" s="509"/>
      <c r="AC123" s="510"/>
      <c r="AD123" s="511"/>
      <c r="AE123" s="512"/>
      <c r="AF123" s="512"/>
      <c r="AG123" s="513"/>
      <c r="BF123" s="382"/>
    </row>
    <row r="124" spans="1:58" ht="30" customHeight="1" x14ac:dyDescent="0.2">
      <c r="A124" s="1395" t="s">
        <v>72</v>
      </c>
      <c r="B124" s="1396"/>
      <c r="C124" s="1402"/>
      <c r="D124" s="1405"/>
      <c r="E124" s="1408"/>
      <c r="F124" s="933">
        <v>398.61399999999998</v>
      </c>
      <c r="G124" s="934">
        <v>0.1</v>
      </c>
      <c r="H124" s="934">
        <v>1.64</v>
      </c>
      <c r="I124" s="935">
        <v>6.5000000000000002E-2</v>
      </c>
      <c r="J124" s="1518">
        <v>2</v>
      </c>
      <c r="K124" s="1491" t="s">
        <v>634</v>
      </c>
      <c r="L124" s="1535" t="s">
        <v>633</v>
      </c>
      <c r="N124" s="403"/>
      <c r="O124" s="403"/>
      <c r="BF124" s="382"/>
    </row>
    <row r="125" spans="1:58" ht="30" customHeight="1" x14ac:dyDescent="0.2">
      <c r="A125" s="1397"/>
      <c r="B125" s="1398"/>
      <c r="C125" s="1402"/>
      <c r="D125" s="1405"/>
      <c r="E125" s="1408"/>
      <c r="F125" s="879">
        <v>752.91200000000003</v>
      </c>
      <c r="G125" s="880">
        <v>0.1</v>
      </c>
      <c r="H125" s="936">
        <v>0.877</v>
      </c>
      <c r="I125" s="850">
        <v>6.8000000000000005E-2</v>
      </c>
      <c r="J125" s="1519">
        <v>2</v>
      </c>
      <c r="K125" s="1492"/>
      <c r="L125" s="1500"/>
      <c r="N125" s="403"/>
      <c r="O125" s="403"/>
      <c r="BF125" s="382"/>
    </row>
    <row r="126" spans="1:58" ht="30" customHeight="1" thickBot="1" x14ac:dyDescent="0.25">
      <c r="A126" s="1399"/>
      <c r="B126" s="1400"/>
      <c r="C126" s="1403"/>
      <c r="D126" s="1406"/>
      <c r="E126" s="1409"/>
      <c r="F126" s="897">
        <v>801.26800000000003</v>
      </c>
      <c r="G126" s="883">
        <v>0.1</v>
      </c>
      <c r="H126" s="883">
        <v>0.81200000000000006</v>
      </c>
      <c r="I126" s="1145">
        <v>7.0000000000000007E-2</v>
      </c>
      <c r="J126" s="1520"/>
      <c r="K126" s="1525"/>
      <c r="L126" s="1501"/>
      <c r="BF126" s="382"/>
    </row>
    <row r="127" spans="1:58" ht="33.950000000000003" customHeight="1" x14ac:dyDescent="0.2">
      <c r="A127" s="447"/>
      <c r="BF127" s="382"/>
    </row>
    <row r="128" spans="1:58" ht="30" customHeight="1" x14ac:dyDescent="0.2">
      <c r="A128" s="447"/>
      <c r="V128" s="540"/>
      <c r="BF128" s="382"/>
    </row>
    <row r="129" spans="1:58" ht="30" customHeight="1" thickBot="1" x14ac:dyDescent="0.25">
      <c r="A129" s="447"/>
      <c r="BF129" s="382"/>
    </row>
    <row r="130" spans="1:58" ht="60" customHeight="1" thickBot="1" x14ac:dyDescent="0.25">
      <c r="A130" s="447"/>
      <c r="B130" s="600" t="s">
        <v>251</v>
      </c>
      <c r="C130" s="601" t="str">
        <f>D142</f>
        <v>Fabricante</v>
      </c>
      <c r="D130" s="602" t="str">
        <f>E36</f>
        <v>Identificación / Serie</v>
      </c>
      <c r="E130" s="602" t="str">
        <f>AF69</f>
        <v>Fecha de Calibración</v>
      </c>
      <c r="F130" s="602" t="str">
        <f>AG69</f>
        <v>Trazabilidad y numero</v>
      </c>
      <c r="G130" s="602" t="s">
        <v>3</v>
      </c>
      <c r="H130" s="602" t="s">
        <v>421</v>
      </c>
      <c r="I130" s="602" t="s">
        <v>15</v>
      </c>
      <c r="J130" s="602" t="s">
        <v>389</v>
      </c>
      <c r="K130" s="602" t="s">
        <v>390</v>
      </c>
      <c r="L130" s="602" t="s">
        <v>438</v>
      </c>
      <c r="M130" s="602" t="s">
        <v>437</v>
      </c>
      <c r="N130" s="602" t="s">
        <v>391</v>
      </c>
      <c r="O130" s="603" t="s">
        <v>392</v>
      </c>
      <c r="BF130" s="382"/>
    </row>
    <row r="131" spans="1:58" ht="30" customHeight="1" thickBot="1" x14ac:dyDescent="0.25">
      <c r="A131" s="447"/>
      <c r="B131" s="554"/>
      <c r="C131" s="555"/>
      <c r="D131" s="555"/>
      <c r="E131" s="555"/>
      <c r="F131" s="555"/>
      <c r="G131" s="555"/>
      <c r="H131" s="555"/>
      <c r="I131" s="555"/>
      <c r="J131" s="555"/>
      <c r="K131" s="555"/>
      <c r="L131" s="555"/>
      <c r="M131" s="555"/>
      <c r="N131" s="555"/>
      <c r="O131" s="556"/>
      <c r="BF131" s="382"/>
    </row>
    <row r="132" spans="1:58" ht="45" customHeight="1" x14ac:dyDescent="0.2">
      <c r="A132" s="447"/>
      <c r="B132" s="952" t="str">
        <f>N75</f>
        <v>V-002</v>
      </c>
      <c r="C132" s="453" t="str">
        <f>D74</f>
        <v>Lufft Opus 20</v>
      </c>
      <c r="D132" s="953" t="str">
        <f>E74</f>
        <v>0,23.0714.0802.024</v>
      </c>
      <c r="E132" s="937" t="str">
        <f>K74&amp;" "&amp;K77&amp;" "&amp;K80</f>
        <v>2021-06-23 2021-06-25 2021-05-31</v>
      </c>
      <c r="F132" s="940" t="str">
        <f>L74&amp;" "&amp;L77&amp;" "&amp;L80</f>
        <v>INM 5288 INM 5289 INM 5243</v>
      </c>
      <c r="G132" s="537">
        <f>O75</f>
        <v>0.2</v>
      </c>
      <c r="H132" s="453">
        <f>P75</f>
        <v>1.7</v>
      </c>
      <c r="I132" s="454">
        <f>Q75</f>
        <v>8.7999999999999995E-2</v>
      </c>
      <c r="J132" s="958">
        <f>SLOPE(H74:H76,F74:F76)</f>
        <v>2.0890263223679416E-34</v>
      </c>
      <c r="K132" s="456">
        <f>INTERCEPT(H74:H76,F74:F76)</f>
        <v>-0.10000000000000002</v>
      </c>
      <c r="L132" s="456">
        <f>SLOPE(H77:H79,F77:F79)</f>
        <v>0.10883900317735601</v>
      </c>
      <c r="M132" s="456">
        <f>INTERCEPT(H77:H79,F77:F79)</f>
        <v>-7.6158505413153357</v>
      </c>
      <c r="N132" s="456">
        <f>SLOPE(H80:H82,F80:F82)</f>
        <v>-1.9648258861956771E-3</v>
      </c>
      <c r="O132" s="959">
        <f>INTERCEPT(H80:H82,F80:F82)</f>
        <v>2.6536891877202891</v>
      </c>
      <c r="BF132" s="382"/>
    </row>
    <row r="133" spans="1:58" ht="45" customHeight="1" x14ac:dyDescent="0.2">
      <c r="A133" s="447"/>
      <c r="B133" s="954" t="str">
        <f>N86</f>
        <v>M-010</v>
      </c>
      <c r="C133" s="825" t="str">
        <f>D85</f>
        <v>Lufft Opus 20</v>
      </c>
      <c r="D133" s="955" t="str">
        <f>E85</f>
        <v>0,26.0714.0802.024</v>
      </c>
      <c r="E133" s="849" t="str">
        <f>K85&amp;" "&amp;K88&amp;" "&amp;K91</f>
        <v>2021-06-25 2021-06-23 2021-05-31</v>
      </c>
      <c r="F133" s="941" t="str">
        <f>L85&amp;" "&amp;L88&amp;" "&amp;L91</f>
        <v>INM 5284 INM 5285 INM 5238</v>
      </c>
      <c r="G133" s="526">
        <f>O86</f>
        <v>0.2</v>
      </c>
      <c r="H133" s="526">
        <f>P86</f>
        <v>1.7</v>
      </c>
      <c r="I133" s="539">
        <f>Q86</f>
        <v>8.8999999999999996E-2</v>
      </c>
      <c r="J133" s="960">
        <f>SLOPE(H85:H87,F85:F87)</f>
        <v>1.3841025930738371E-3</v>
      </c>
      <c r="K133" s="960">
        <f>INTERCEPT(H85:H87,F85:F87)</f>
        <v>-9.8870120332184605E-2</v>
      </c>
      <c r="L133" s="960">
        <f>SLOPE(H88:H90,F88:F90)</f>
        <v>0.14243341778409441</v>
      </c>
      <c r="M133" s="960">
        <f>INTERCEPT(H88:H90,F88:F90)</f>
        <v>-8.2771612185626893</v>
      </c>
      <c r="N133" s="960">
        <f>SLOPE(H91:H93,F91:F93)</f>
        <v>-2.2470054458449541E-3</v>
      </c>
      <c r="O133" s="961">
        <f>INTERCEPT(H91:H93,F91:F93)</f>
        <v>2.7829799857965267</v>
      </c>
      <c r="BF133" s="382"/>
    </row>
    <row r="134" spans="1:58" ht="45" customHeight="1" x14ac:dyDescent="0.2">
      <c r="A134" s="447"/>
      <c r="B134" s="954" t="str">
        <f>N97</f>
        <v>M-011</v>
      </c>
      <c r="C134" s="825" t="str">
        <f>D96</f>
        <v>Lufft Opus 20</v>
      </c>
      <c r="D134" s="955" t="str">
        <f>E96</f>
        <v>0,22.0714.0802.024</v>
      </c>
      <c r="E134" s="938" t="str">
        <f>K96&amp;" "&amp;K99&amp;" "&amp;K102</f>
        <v>2021-06-25 2021-06-23 2021-05-31</v>
      </c>
      <c r="F134" s="941" t="str">
        <f>L96&amp;" "&amp;L99&amp;" "&amp;L102</f>
        <v>INM 5286 INM 5287 INM 5239</v>
      </c>
      <c r="G134" s="539">
        <f>O97</f>
        <v>0.2</v>
      </c>
      <c r="H134" s="539">
        <f>P97</f>
        <v>1.7</v>
      </c>
      <c r="I134" s="539">
        <f>Q97</f>
        <v>8.7999999999999995E-2</v>
      </c>
      <c r="J134" s="960">
        <f>SLOPE(H96:H98,F96:F98)</f>
        <v>7.1428571428571426E-3</v>
      </c>
      <c r="K134" s="960">
        <f>INTERCEPT(H96:H98,F96:F98)</f>
        <v>-9.8571428571428601E-2</v>
      </c>
      <c r="L134" s="960">
        <f>SLOPE(H99:H101,F99:F101)</f>
        <v>0.15317043124024443</v>
      </c>
      <c r="M134" s="960">
        <f>INTERCEPT(H99:H101,F99:F101)</f>
        <v>-8.6687968530171435</v>
      </c>
      <c r="N134" s="960">
        <f>SLOPE(H102:H104,F102:F104)</f>
        <v>-2.0810757363394542E-3</v>
      </c>
      <c r="O134" s="961">
        <f>INTERCEPT(H102:H104,F102:F104)</f>
        <v>2.6117362023027515</v>
      </c>
      <c r="AB134" s="416"/>
      <c r="AC134" s="416"/>
      <c r="AD134" s="382"/>
      <c r="BF134" s="382"/>
    </row>
    <row r="135" spans="1:58" ht="45" customHeight="1" x14ac:dyDescent="0.2">
      <c r="A135" s="447"/>
      <c r="B135" s="954" t="str">
        <f>N108</f>
        <v xml:space="preserve">M-012  </v>
      </c>
      <c r="C135" s="825" t="str">
        <f>D107</f>
        <v>Lufft Opus 20</v>
      </c>
      <c r="D135" s="955">
        <f>E107</f>
        <v>19506160802033</v>
      </c>
      <c r="E135" s="938" t="str">
        <f>K107&amp;" "&amp;K110&amp;" "&amp;K113</f>
        <v>2021-07-09 2021-07-07 2021-05-31</v>
      </c>
      <c r="F135" s="875" t="str">
        <f>L107&amp;" "&amp;L110&amp;" "&amp;L113</f>
        <v>INM 5303 INM 5304 INM 5240</v>
      </c>
      <c r="G135" s="539">
        <f>O108</f>
        <v>0.4</v>
      </c>
      <c r="H135" s="539">
        <f>P108</f>
        <v>1.7</v>
      </c>
      <c r="I135" s="539">
        <f>Q108</f>
        <v>9.0999999999999998E-2</v>
      </c>
      <c r="J135" s="960">
        <f>SLOPE(H107:H109,F107:F109)</f>
        <v>0</v>
      </c>
      <c r="K135" s="960">
        <f>INTERCEPT(H107:H109,F107:F109)</f>
        <v>0</v>
      </c>
      <c r="L135" s="960">
        <f>SLOPE(H110:H112,F110:F112)</f>
        <v>0.13701314607659021</v>
      </c>
      <c r="M135" s="960">
        <f>INTERCEPT(H110:H112,F110:F112)</f>
        <v>-7.2694673525489257</v>
      </c>
      <c r="N135" s="960">
        <f>SLOPE(H113:H115,F113:F115)</f>
        <v>-1.2792887594359357E-3</v>
      </c>
      <c r="O135" s="961">
        <f>INTERCEPT(H113:H115,F113:F115)</f>
        <v>2.351480776356599</v>
      </c>
      <c r="AB135" s="416"/>
      <c r="AC135" s="416"/>
      <c r="AD135" s="382"/>
      <c r="BF135" s="382"/>
    </row>
    <row r="136" spans="1:58" ht="45" customHeight="1" thickBot="1" x14ac:dyDescent="0.25">
      <c r="A136" s="447"/>
      <c r="B136" s="956" t="str">
        <f>N119</f>
        <v xml:space="preserve">M-013  </v>
      </c>
      <c r="C136" s="459" t="str">
        <f>D107</f>
        <v>Lufft Opus 20</v>
      </c>
      <c r="D136" s="957">
        <f>E118</f>
        <v>19406160802033</v>
      </c>
      <c r="E136" s="939" t="str">
        <f>K118&amp;" "&amp;K121&amp;" "&amp;K124</f>
        <v>2021-05-12 2021-05-13 2021-10-22</v>
      </c>
      <c r="F136" s="942" t="str">
        <f>L118&amp;" "&amp;L121&amp;" "&amp;L124</f>
        <v>INM 4782 INM 4783 INM 5548</v>
      </c>
      <c r="G136" s="462">
        <f>O119</f>
        <v>0.5</v>
      </c>
      <c r="H136" s="462">
        <f>P119</f>
        <v>1.7</v>
      </c>
      <c r="I136" s="462">
        <f>Q119</f>
        <v>7.0000000000000007E-2</v>
      </c>
      <c r="J136" s="962">
        <f>SLOPE(H118:H120,F118:F120)</f>
        <v>5.1020408163265311E-3</v>
      </c>
      <c r="K136" s="962">
        <f>INTERCEPT(H118:H120,F118:F120)</f>
        <v>-9.3707482993197311E-2</v>
      </c>
      <c r="L136" s="962">
        <f>SLOPE(H121:H123,F121:F123)</f>
        <v>8.2737298124571895E-2</v>
      </c>
      <c r="M136" s="962">
        <f>INTERCEPT(H121:H123,F121:F123)</f>
        <v>-5.4953931981017394</v>
      </c>
      <c r="N136" s="962">
        <f>SLOPE(H124:H126,F124:F126)</f>
        <v>-2.0926868742257511E-3</v>
      </c>
      <c r="O136" s="963">
        <f>INTERCEPT(H124:H126,F124:F126)</f>
        <v>2.4718621239556002</v>
      </c>
      <c r="AB136" s="416"/>
      <c r="AC136" s="416"/>
      <c r="AD136" s="382"/>
      <c r="BF136" s="382"/>
    </row>
    <row r="137" spans="1:58" ht="30" customHeight="1" x14ac:dyDescent="0.2">
      <c r="A137" s="447"/>
      <c r="AB137" s="416"/>
      <c r="AC137" s="416"/>
      <c r="AD137" s="382"/>
      <c r="AV137" s="382"/>
      <c r="AW137" s="382"/>
      <c r="AX137" s="382"/>
      <c r="AY137" s="382"/>
      <c r="AZ137" s="382"/>
      <c r="BA137" s="382"/>
      <c r="BB137" s="382"/>
      <c r="BC137" s="382"/>
      <c r="BD137" s="382"/>
      <c r="BE137" s="382"/>
      <c r="BF137" s="382"/>
    </row>
    <row r="138" spans="1:58" ht="33.950000000000003" customHeight="1" x14ac:dyDescent="0.2">
      <c r="A138" s="447"/>
      <c r="AB138" s="416"/>
      <c r="AC138" s="416"/>
      <c r="AD138" s="382"/>
      <c r="AV138" s="382"/>
      <c r="AW138" s="382"/>
      <c r="AX138" s="382"/>
      <c r="AY138" s="382"/>
      <c r="AZ138" s="382"/>
      <c r="BA138" s="382"/>
      <c r="BB138" s="382"/>
      <c r="BC138" s="382"/>
      <c r="BD138" s="382"/>
      <c r="BE138" s="382"/>
      <c r="BF138" s="382"/>
    </row>
    <row r="139" spans="1:58" ht="33.950000000000003" customHeight="1" x14ac:dyDescent="0.2">
      <c r="A139" s="447"/>
      <c r="AB139" s="416"/>
      <c r="AC139" s="416"/>
      <c r="AD139" s="382"/>
      <c r="AV139" s="382"/>
      <c r="AW139" s="382"/>
      <c r="AX139" s="382"/>
      <c r="AY139" s="382"/>
      <c r="AZ139" s="382"/>
      <c r="BA139" s="382"/>
      <c r="BB139" s="382"/>
      <c r="BC139" s="382"/>
      <c r="BD139" s="382"/>
      <c r="BE139" s="382"/>
      <c r="BF139" s="382"/>
    </row>
    <row r="140" spans="1:58" ht="33.950000000000003" customHeight="1" thickBot="1" x14ac:dyDescent="0.25">
      <c r="A140" s="447"/>
      <c r="AB140" s="416"/>
      <c r="AC140" s="416"/>
      <c r="AD140" s="382"/>
      <c r="AV140" s="382"/>
      <c r="AW140" s="382"/>
      <c r="AX140" s="382"/>
      <c r="AY140" s="382"/>
      <c r="AZ140" s="382"/>
      <c r="BA140" s="382"/>
      <c r="BB140" s="382"/>
      <c r="BC140" s="382"/>
      <c r="BD140" s="382"/>
      <c r="BE140" s="382"/>
      <c r="BF140" s="382"/>
    </row>
    <row r="141" spans="1:58" ht="33.950000000000003" customHeight="1" thickBot="1" x14ac:dyDescent="0.25">
      <c r="A141" s="447"/>
      <c r="B141" s="1359" t="s">
        <v>235</v>
      </c>
      <c r="C141" s="1362"/>
      <c r="D141" s="1360"/>
      <c r="E141" s="1360"/>
      <c r="F141" s="1360"/>
      <c r="G141" s="1360"/>
      <c r="H141" s="1360"/>
      <c r="I141" s="1360"/>
      <c r="J141" s="1360"/>
      <c r="K141" s="1360"/>
      <c r="L141" s="1360"/>
      <c r="M141" s="1360"/>
      <c r="N141" s="1360"/>
      <c r="O141" s="1360"/>
      <c r="P141" s="1360"/>
      <c r="Q141" s="1360"/>
      <c r="R141" s="1360"/>
      <c r="S141" s="1360"/>
      <c r="T141" s="1360"/>
      <c r="U141" s="1360"/>
      <c r="V141" s="1360"/>
      <c r="W141" s="1361"/>
      <c r="AB141" s="416"/>
      <c r="AC141" s="416"/>
      <c r="AD141" s="382"/>
      <c r="AV141" s="382"/>
      <c r="AW141" s="382"/>
      <c r="AX141" s="382"/>
      <c r="AY141" s="382"/>
      <c r="AZ141" s="382"/>
      <c r="BA141" s="382"/>
      <c r="BB141" s="382"/>
      <c r="BC141" s="382"/>
      <c r="BD141" s="382"/>
      <c r="BE141" s="382"/>
      <c r="BF141" s="382"/>
    </row>
    <row r="142" spans="1:58" ht="33.950000000000003" customHeight="1" thickBot="1" x14ac:dyDescent="0.25">
      <c r="A142" s="447"/>
      <c r="B142" s="1543" t="s">
        <v>155</v>
      </c>
      <c r="C142" s="514"/>
      <c r="D142" s="515" t="s">
        <v>35</v>
      </c>
      <c r="E142" s="516" t="s">
        <v>206</v>
      </c>
      <c r="F142" s="516" t="s">
        <v>205</v>
      </c>
      <c r="G142" s="516" t="s">
        <v>148</v>
      </c>
      <c r="H142" s="516" t="s">
        <v>178</v>
      </c>
      <c r="I142" s="516" t="s">
        <v>146</v>
      </c>
      <c r="J142" s="516" t="s">
        <v>179</v>
      </c>
      <c r="K142" s="517" t="s">
        <v>147</v>
      </c>
      <c r="L142" s="516" t="s">
        <v>323</v>
      </c>
      <c r="M142" s="516" t="s">
        <v>367</v>
      </c>
      <c r="N142" s="516" t="s">
        <v>409</v>
      </c>
      <c r="O142" s="516" t="s">
        <v>410</v>
      </c>
      <c r="P142" s="518" t="s">
        <v>408</v>
      </c>
      <c r="Q142" s="516" t="s">
        <v>411</v>
      </c>
      <c r="R142" s="516" t="s">
        <v>412</v>
      </c>
      <c r="S142" s="518" t="s">
        <v>408</v>
      </c>
      <c r="T142" s="516" t="s">
        <v>413</v>
      </c>
      <c r="U142" s="516" t="s">
        <v>414</v>
      </c>
      <c r="V142" s="518" t="s">
        <v>408</v>
      </c>
      <c r="W142" s="519" t="s">
        <v>467</v>
      </c>
      <c r="AB142" s="416"/>
      <c r="AC142" s="416"/>
      <c r="AD142" s="382"/>
      <c r="AV142" s="382"/>
      <c r="AW142" s="382"/>
      <c r="AX142" s="382"/>
      <c r="AY142" s="382"/>
      <c r="AZ142" s="382"/>
      <c r="BA142" s="382"/>
      <c r="BB142" s="382"/>
      <c r="BC142" s="382"/>
      <c r="BD142" s="382"/>
      <c r="BE142" s="382"/>
      <c r="BF142" s="382"/>
    </row>
    <row r="143" spans="1:58" ht="33.950000000000003" customHeight="1" thickBot="1" x14ac:dyDescent="0.25">
      <c r="A143" s="447"/>
      <c r="B143" s="1544"/>
      <c r="C143" s="520"/>
      <c r="D143" s="450"/>
      <c r="E143" s="469"/>
      <c r="F143" s="469"/>
      <c r="G143" s="469"/>
      <c r="H143" s="469"/>
      <c r="I143" s="469"/>
      <c r="J143" s="469"/>
      <c r="K143" s="487"/>
      <c r="L143" s="487"/>
      <c r="M143" s="487"/>
      <c r="N143" s="470"/>
      <c r="O143" s="521"/>
      <c r="P143" s="450"/>
      <c r="Q143" s="450"/>
      <c r="R143" s="450"/>
      <c r="S143" s="450"/>
      <c r="T143" s="469"/>
      <c r="U143" s="469"/>
      <c r="V143" s="469"/>
      <c r="W143" s="471"/>
      <c r="AB143" s="416"/>
      <c r="AC143" s="416"/>
      <c r="AD143" s="382"/>
      <c r="AV143" s="382"/>
      <c r="AW143" s="382"/>
      <c r="AX143" s="382"/>
      <c r="AY143" s="382"/>
      <c r="AZ143" s="382"/>
      <c r="BA143" s="382"/>
      <c r="BB143" s="382"/>
      <c r="BC143" s="382"/>
      <c r="BD143" s="382"/>
      <c r="BE143" s="382"/>
      <c r="BF143" s="382"/>
    </row>
    <row r="144" spans="1:58" ht="33.950000000000003" customHeight="1" x14ac:dyDescent="0.2">
      <c r="A144" s="447"/>
      <c r="B144" s="1545"/>
      <c r="C144" s="1131" t="s">
        <v>627</v>
      </c>
      <c r="D144" s="453" t="s">
        <v>212</v>
      </c>
      <c r="E144" s="453">
        <v>5295</v>
      </c>
      <c r="F144" s="453">
        <v>5</v>
      </c>
      <c r="G144" s="453">
        <v>0.05</v>
      </c>
      <c r="H144" s="453">
        <v>5.4999999999999997E-3</v>
      </c>
      <c r="I144" s="453">
        <v>2.0999999999999999E-3</v>
      </c>
      <c r="J144" s="453">
        <v>2</v>
      </c>
      <c r="K144" s="538">
        <v>44469</v>
      </c>
      <c r="L144" s="1139" t="s">
        <v>629</v>
      </c>
      <c r="M144" s="1138" t="s">
        <v>628</v>
      </c>
      <c r="N144" s="968">
        <v>4.4999999999999997E-3</v>
      </c>
      <c r="O144" s="1146">
        <v>4.4999999999999997E-3</v>
      </c>
      <c r="P144" s="1148">
        <f>+N144-O144</f>
        <v>0</v>
      </c>
      <c r="Q144" s="968">
        <v>-6.0000000000000001E-3</v>
      </c>
      <c r="R144" s="968">
        <v>-6.0000000000000001E-3</v>
      </c>
      <c r="S144" s="1148">
        <f>+Q144-R144</f>
        <v>0</v>
      </c>
      <c r="T144" s="1146">
        <v>-5.4999999999999997E-3</v>
      </c>
      <c r="U144" s="1146">
        <v>-5.4999999999999997E-3</v>
      </c>
      <c r="V144" s="1148">
        <f>+T144-U144</f>
        <v>0</v>
      </c>
      <c r="W144" s="1151">
        <f>ABS(MAX(P144,S144,V144))</f>
        <v>0</v>
      </c>
      <c r="AB144" s="416"/>
      <c r="AC144" s="416"/>
      <c r="AD144" s="382"/>
      <c r="AH144" s="382"/>
      <c r="AI144" s="442"/>
      <c r="AJ144" s="442"/>
      <c r="AK144" s="442"/>
      <c r="AL144" s="442"/>
      <c r="AM144" s="442"/>
      <c r="AN144" s="442"/>
      <c r="AO144" s="442"/>
      <c r="AP144" s="442"/>
      <c r="AQ144" s="483"/>
      <c r="AR144" s="442"/>
      <c r="AS144" s="442"/>
      <c r="AV144" s="382"/>
      <c r="AW144" s="382"/>
      <c r="AX144" s="382"/>
      <c r="AY144" s="382"/>
      <c r="AZ144" s="382"/>
      <c r="BA144" s="382"/>
      <c r="BB144" s="382"/>
      <c r="BC144" s="382"/>
      <c r="BD144" s="382"/>
      <c r="BE144" s="382"/>
      <c r="BF144" s="382"/>
    </row>
    <row r="145" spans="1:58" ht="35.1" customHeight="1" x14ac:dyDescent="0.2">
      <c r="A145" s="447"/>
      <c r="B145" s="1545"/>
      <c r="C145" s="1132" t="s">
        <v>611</v>
      </c>
      <c r="D145" s="407" t="s">
        <v>212</v>
      </c>
      <c r="E145" s="407">
        <v>27760</v>
      </c>
      <c r="F145" s="407">
        <v>5.0199999999999996</v>
      </c>
      <c r="G145" s="407">
        <v>0.05</v>
      </c>
      <c r="H145" s="407">
        <v>0.02</v>
      </c>
      <c r="I145" s="407">
        <v>3.7999999999999999E-2</v>
      </c>
      <c r="J145" s="526">
        <v>2</v>
      </c>
      <c r="K145" s="527">
        <v>43027</v>
      </c>
      <c r="L145" s="528" t="s">
        <v>237</v>
      </c>
      <c r="M145" s="407" t="s">
        <v>368</v>
      </c>
      <c r="N145" s="965">
        <v>0.51</v>
      </c>
      <c r="O145" s="965">
        <v>0.5</v>
      </c>
      <c r="P145" s="1149">
        <f>N145-O145</f>
        <v>1.0000000000000009E-2</v>
      </c>
      <c r="Q145" s="875">
        <v>2.52</v>
      </c>
      <c r="R145" s="875">
        <v>2.5099999999999998</v>
      </c>
      <c r="S145" s="1149">
        <f>Q145-R145</f>
        <v>1.0000000000000231E-2</v>
      </c>
      <c r="T145" s="875">
        <v>5.0199999999999996</v>
      </c>
      <c r="U145" s="875">
        <v>5.0199999999999996</v>
      </c>
      <c r="V145" s="1149">
        <f>T145-U145</f>
        <v>0</v>
      </c>
      <c r="W145" s="1152">
        <f>ABS(MAX(P145,S145,V145))</f>
        <v>1.0000000000000231E-2</v>
      </c>
      <c r="AB145" s="442"/>
      <c r="AC145" s="382"/>
      <c r="AD145" s="382"/>
      <c r="AH145" s="382"/>
      <c r="AI145" s="382"/>
      <c r="AJ145" s="382"/>
      <c r="AK145" s="382"/>
      <c r="AL145" s="382"/>
      <c r="AM145" s="382"/>
      <c r="AN145" s="382"/>
      <c r="AO145" s="382"/>
      <c r="AP145" s="382"/>
      <c r="AQ145" s="449"/>
      <c r="AR145" s="382"/>
      <c r="AS145" s="442"/>
      <c r="AV145" s="382"/>
      <c r="AW145" s="382"/>
      <c r="AX145" s="382"/>
      <c r="AY145" s="382"/>
      <c r="AZ145" s="382"/>
      <c r="BA145" s="382"/>
      <c r="BB145" s="382"/>
      <c r="BC145" s="382"/>
      <c r="BD145" s="382"/>
      <c r="BE145" s="382"/>
      <c r="BF145" s="382"/>
    </row>
    <row r="146" spans="1:58" ht="33.950000000000003" customHeight="1" x14ac:dyDescent="0.2">
      <c r="A146" s="447"/>
      <c r="B146" s="1545"/>
      <c r="C146" s="1140" t="s">
        <v>630</v>
      </c>
      <c r="D146" s="825" t="s">
        <v>212</v>
      </c>
      <c r="E146" s="825">
        <v>5293</v>
      </c>
      <c r="F146" s="825">
        <v>9.98</v>
      </c>
      <c r="G146" s="825">
        <v>0.1</v>
      </c>
      <c r="H146" s="825">
        <v>1.4E-2</v>
      </c>
      <c r="I146" s="825">
        <v>1.6000000000000001E-3</v>
      </c>
      <c r="J146" s="825">
        <v>2</v>
      </c>
      <c r="K146" s="527">
        <v>44469</v>
      </c>
      <c r="L146" s="1141" t="s">
        <v>631</v>
      </c>
      <c r="M146" s="1142" t="s">
        <v>632</v>
      </c>
      <c r="N146" s="970">
        <v>-1.8E-3</v>
      </c>
      <c r="O146" s="875">
        <v>-1.8E-3</v>
      </c>
      <c r="P146" s="1149">
        <f>+N146-O146</f>
        <v>0</v>
      </c>
      <c r="Q146" s="875">
        <v>-1.8E-3</v>
      </c>
      <c r="R146" s="875">
        <v>-1.8E-3</v>
      </c>
      <c r="S146" s="1149">
        <f>+Q146-R146</f>
        <v>0</v>
      </c>
      <c r="T146" s="875">
        <v>-1.41E-2</v>
      </c>
      <c r="U146" s="875">
        <v>-1.41E-2</v>
      </c>
      <c r="V146" s="1149">
        <f>+T146-U146</f>
        <v>0</v>
      </c>
      <c r="W146" s="1152">
        <f>ABS(MAX(P146,S146,V146))</f>
        <v>0</v>
      </c>
      <c r="AB146" s="382"/>
      <c r="AC146" s="382"/>
      <c r="AD146" s="382"/>
      <c r="AH146" s="382"/>
      <c r="AI146" s="382"/>
      <c r="AJ146" s="382"/>
      <c r="AK146" s="382"/>
      <c r="AL146" s="382"/>
      <c r="AM146" s="382"/>
      <c r="AN146" s="382"/>
      <c r="AO146" s="382"/>
      <c r="AP146" s="382"/>
      <c r="AQ146" s="449"/>
      <c r="AR146" s="382"/>
      <c r="AS146" s="442"/>
      <c r="AV146" s="382"/>
      <c r="AW146" s="382"/>
      <c r="AX146" s="382"/>
      <c r="AY146" s="382"/>
      <c r="AZ146" s="382"/>
      <c r="BA146" s="382"/>
      <c r="BB146" s="382"/>
      <c r="BC146" s="382"/>
      <c r="BD146" s="382"/>
      <c r="BE146" s="382"/>
      <c r="BF146" s="382"/>
    </row>
    <row r="147" spans="1:58" ht="33.950000000000003" customHeight="1" x14ac:dyDescent="0.2">
      <c r="A147" s="447"/>
      <c r="B147" s="1545"/>
      <c r="C147" s="1132" t="s">
        <v>612</v>
      </c>
      <c r="D147" s="407" t="s">
        <v>212</v>
      </c>
      <c r="E147" s="407">
        <v>27761</v>
      </c>
      <c r="F147" s="407">
        <v>10.02</v>
      </c>
      <c r="G147" s="407">
        <v>0.1</v>
      </c>
      <c r="H147" s="407">
        <v>0.02</v>
      </c>
      <c r="I147" s="407">
        <v>6.7000000000000004E-2</v>
      </c>
      <c r="J147" s="526">
        <v>2</v>
      </c>
      <c r="K147" s="527">
        <v>43020</v>
      </c>
      <c r="L147" s="528" t="s">
        <v>238</v>
      </c>
      <c r="M147" s="407" t="s">
        <v>369</v>
      </c>
      <c r="N147" s="969">
        <v>1</v>
      </c>
      <c r="O147" s="875">
        <v>1.0069999999999999</v>
      </c>
      <c r="P147" s="1149">
        <f>N147-O147</f>
        <v>-6.9999999999998952E-3</v>
      </c>
      <c r="Q147" s="875">
        <v>5.01</v>
      </c>
      <c r="R147" s="875">
        <v>5.0140000000000002</v>
      </c>
      <c r="S147" s="1149">
        <f>+Q147-R147</f>
        <v>-4.0000000000004476E-3</v>
      </c>
      <c r="T147" s="875">
        <v>10.02</v>
      </c>
      <c r="U147" s="875">
        <v>10.022</v>
      </c>
      <c r="V147" s="1149">
        <f>+T147-U147</f>
        <v>-2.0000000000006679E-3</v>
      </c>
      <c r="W147" s="1152">
        <f>ABS(MAX(P147,S147,V147))</f>
        <v>2.0000000000006679E-3</v>
      </c>
      <c r="AB147" s="382"/>
      <c r="AC147" s="382"/>
      <c r="AD147" s="382"/>
      <c r="BD147" s="382"/>
      <c r="BE147" s="382"/>
      <c r="BF147" s="382"/>
    </row>
    <row r="148" spans="1:58" ht="33.950000000000003" customHeight="1" thickBot="1" x14ac:dyDescent="0.25">
      <c r="A148" s="447"/>
      <c r="B148" s="1546"/>
      <c r="C148" s="1133" t="s">
        <v>613</v>
      </c>
      <c r="D148" s="459" t="s">
        <v>212</v>
      </c>
      <c r="E148" s="459">
        <v>27762</v>
      </c>
      <c r="F148" s="459">
        <v>24.9</v>
      </c>
      <c r="G148" s="459">
        <v>0.1</v>
      </c>
      <c r="H148" s="459">
        <v>-0.1</v>
      </c>
      <c r="I148" s="459">
        <v>6.5000000000000002E-2</v>
      </c>
      <c r="J148" s="461">
        <v>2</v>
      </c>
      <c r="K148" s="534">
        <v>43025</v>
      </c>
      <c r="L148" s="460" t="s">
        <v>239</v>
      </c>
      <c r="M148" s="459" t="s">
        <v>370</v>
      </c>
      <c r="N148" s="966">
        <v>2.48</v>
      </c>
      <c r="O148" s="966">
        <v>2.48</v>
      </c>
      <c r="P148" s="1150">
        <f>N148-O148</f>
        <v>0</v>
      </c>
      <c r="Q148" s="1147">
        <v>12.5</v>
      </c>
      <c r="R148" s="1147">
        <v>12.5</v>
      </c>
      <c r="S148" s="1150">
        <f>Q148-R148</f>
        <v>0</v>
      </c>
      <c r="T148" s="1147">
        <v>24.9</v>
      </c>
      <c r="U148" s="1147">
        <v>24.8</v>
      </c>
      <c r="V148" s="1150">
        <f>T148-U148</f>
        <v>9.9999999999997868E-2</v>
      </c>
      <c r="W148" s="1153">
        <f>ABS(MAX(P148,S148,V148))</f>
        <v>9.9999999999997868E-2</v>
      </c>
      <c r="AA148" s="416"/>
      <c r="AB148" s="386"/>
      <c r="AV148" s="382"/>
      <c r="AW148" s="382"/>
      <c r="AX148" s="382"/>
      <c r="AY148" s="382"/>
      <c r="AZ148" s="382"/>
      <c r="BA148" s="382"/>
      <c r="BB148" s="382"/>
      <c r="BC148" s="382"/>
      <c r="BD148" s="382"/>
      <c r="BE148" s="382"/>
      <c r="BF148" s="382"/>
    </row>
    <row r="149" spans="1:58" ht="33.950000000000003" customHeight="1" x14ac:dyDescent="0.2">
      <c r="A149" s="447"/>
      <c r="AA149" s="416"/>
      <c r="AB149" s="386"/>
      <c r="AY149" s="382"/>
      <c r="AZ149" s="382"/>
      <c r="BA149" s="382"/>
      <c r="BB149" s="382"/>
      <c r="BC149" s="382"/>
      <c r="BD149" s="382"/>
      <c r="BE149" s="382"/>
      <c r="BF149" s="382"/>
    </row>
    <row r="150" spans="1:58" ht="33.950000000000003" customHeight="1" x14ac:dyDescent="0.2">
      <c r="A150" s="447"/>
      <c r="AA150" s="416"/>
    </row>
    <row r="151" spans="1:58" ht="33.950000000000003" customHeight="1" x14ac:dyDescent="0.2">
      <c r="A151" s="447"/>
      <c r="AA151" s="416"/>
    </row>
    <row r="152" spans="1:58" ht="33.950000000000003" customHeight="1" thickBot="1" x14ac:dyDescent="0.25">
      <c r="A152" s="447"/>
      <c r="B152" s="382"/>
      <c r="C152" s="382"/>
      <c r="D152" s="382"/>
      <c r="E152" s="382"/>
      <c r="F152" s="382"/>
      <c r="G152" s="382"/>
      <c r="H152" s="382"/>
      <c r="I152" s="382"/>
      <c r="J152" s="382"/>
      <c r="K152" s="449"/>
      <c r="L152" s="382"/>
      <c r="M152" s="403"/>
      <c r="N152" s="403"/>
      <c r="O152" s="416"/>
      <c r="T152" s="416"/>
      <c r="U152" s="416"/>
      <c r="V152" s="416"/>
      <c r="AA152" s="416"/>
    </row>
    <row r="153" spans="1:58" ht="35.1" customHeight="1" thickBot="1" x14ac:dyDescent="0.25">
      <c r="A153" s="447"/>
      <c r="B153" s="1359" t="s">
        <v>235</v>
      </c>
      <c r="C153" s="1362"/>
      <c r="D153" s="1360"/>
      <c r="E153" s="1360"/>
      <c r="F153" s="1360"/>
      <c r="G153" s="1360"/>
      <c r="H153" s="1360"/>
      <c r="I153" s="1360"/>
      <c r="J153" s="1360"/>
      <c r="K153" s="1360"/>
      <c r="L153" s="1360"/>
      <c r="M153" s="1360"/>
      <c r="N153" s="1360"/>
      <c r="O153" s="1360"/>
      <c r="P153" s="1360"/>
      <c r="Q153" s="1360"/>
      <c r="R153" s="1360"/>
      <c r="S153" s="1360"/>
      <c r="T153" s="1360"/>
      <c r="U153" s="1360"/>
      <c r="V153" s="1360"/>
      <c r="W153" s="1360"/>
      <c r="X153" s="1360"/>
      <c r="Y153" s="1360"/>
      <c r="Z153" s="1360"/>
      <c r="AA153" s="1361"/>
    </row>
    <row r="154" spans="1:58" ht="52.5" customHeight="1" thickBot="1" x14ac:dyDescent="0.25">
      <c r="A154" s="447"/>
      <c r="B154" s="1543" t="s">
        <v>156</v>
      </c>
      <c r="C154" s="514"/>
      <c r="D154" s="379" t="s">
        <v>35</v>
      </c>
      <c r="E154" s="81" t="s">
        <v>204</v>
      </c>
      <c r="F154" s="81" t="s">
        <v>205</v>
      </c>
      <c r="G154" s="81" t="s">
        <v>148</v>
      </c>
      <c r="H154" s="81" t="s">
        <v>178</v>
      </c>
      <c r="I154" s="81" t="s">
        <v>146</v>
      </c>
      <c r="J154" s="81" t="s">
        <v>179</v>
      </c>
      <c r="K154" s="466" t="s">
        <v>147</v>
      </c>
      <c r="L154" s="81" t="s">
        <v>323</v>
      </c>
      <c r="M154" s="81" t="s">
        <v>367</v>
      </c>
      <c r="N154" s="1539" t="s">
        <v>196</v>
      </c>
      <c r="O154" s="1539"/>
      <c r="P154" s="81" t="s">
        <v>318</v>
      </c>
      <c r="Q154" s="81" t="s">
        <v>319</v>
      </c>
      <c r="R154" s="81" t="s">
        <v>409</v>
      </c>
      <c r="S154" s="81" t="s">
        <v>410</v>
      </c>
      <c r="T154" s="133" t="s">
        <v>408</v>
      </c>
      <c r="U154" s="81" t="s">
        <v>411</v>
      </c>
      <c r="V154" s="81" t="s">
        <v>412</v>
      </c>
      <c r="W154" s="133" t="s">
        <v>408</v>
      </c>
      <c r="X154" s="81" t="s">
        <v>413</v>
      </c>
      <c r="Y154" s="81" t="s">
        <v>414</v>
      </c>
      <c r="Z154" s="133" t="s">
        <v>408</v>
      </c>
      <c r="AA154" s="82" t="s">
        <v>467</v>
      </c>
    </row>
    <row r="155" spans="1:58" ht="35.1" customHeight="1" thickBot="1" x14ac:dyDescent="0.25">
      <c r="B155" s="1544"/>
      <c r="C155" s="514"/>
      <c r="D155" s="382"/>
      <c r="E155" s="442"/>
      <c r="F155" s="442"/>
      <c r="G155" s="442"/>
      <c r="H155" s="442"/>
      <c r="I155" s="442"/>
      <c r="J155" s="442"/>
      <c r="K155" s="483"/>
      <c r="L155" s="382"/>
      <c r="M155" s="483"/>
      <c r="N155" s="416"/>
      <c r="O155" s="433"/>
      <c r="P155" s="433"/>
      <c r="Q155" s="416"/>
      <c r="R155" s="403"/>
      <c r="S155" s="416"/>
      <c r="T155" s="382"/>
      <c r="U155" s="382"/>
      <c r="V155" s="382"/>
      <c r="W155" s="382"/>
      <c r="X155" s="442"/>
      <c r="Y155" s="442"/>
      <c r="Z155" s="442"/>
      <c r="AA155" s="536"/>
    </row>
    <row r="156" spans="1:58" ht="35.1" customHeight="1" x14ac:dyDescent="0.2">
      <c r="B156" s="1545"/>
      <c r="C156" s="1131" t="s">
        <v>614</v>
      </c>
      <c r="D156" s="453" t="s">
        <v>213</v>
      </c>
      <c r="E156" s="453" t="s">
        <v>240</v>
      </c>
      <c r="F156" s="1154" t="s">
        <v>635</v>
      </c>
      <c r="G156" s="537">
        <v>1</v>
      </c>
      <c r="H156" s="453">
        <v>-0.69</v>
      </c>
      <c r="I156" s="454">
        <v>0.15</v>
      </c>
      <c r="J156" s="454">
        <v>2.02</v>
      </c>
      <c r="K156" s="1155">
        <v>44582</v>
      </c>
      <c r="L156" s="1156" t="s">
        <v>636</v>
      </c>
      <c r="M156" s="453" t="s">
        <v>415</v>
      </c>
      <c r="N156" s="453">
        <v>10</v>
      </c>
      <c r="O156" s="453">
        <v>100</v>
      </c>
      <c r="P156" s="453">
        <v>11.59</v>
      </c>
      <c r="Q156" s="453">
        <v>100.69</v>
      </c>
      <c r="R156" s="1146">
        <v>11.59</v>
      </c>
      <c r="S156" s="1146">
        <v>10.3</v>
      </c>
      <c r="T156" s="1148">
        <f>R156-S156</f>
        <v>1.2899999999999991</v>
      </c>
      <c r="U156" s="1146">
        <v>51.11</v>
      </c>
      <c r="V156" s="1146">
        <v>50.16</v>
      </c>
      <c r="W156" s="1148">
        <f>U156-V156</f>
        <v>0.95000000000000284</v>
      </c>
      <c r="X156" s="1146">
        <v>100.69</v>
      </c>
      <c r="Y156" s="1146">
        <v>100.24</v>
      </c>
      <c r="Z156" s="1148">
        <f>X156-Y156</f>
        <v>0.45000000000000284</v>
      </c>
      <c r="AA156" s="1151">
        <f t="shared" ref="AA156:AA161" si="0">ABS(MAX(T156,W156,Z156))</f>
        <v>1.2899999999999991</v>
      </c>
    </row>
    <row r="157" spans="1:58" ht="51.75" customHeight="1" x14ac:dyDescent="0.2">
      <c r="B157" s="1545"/>
      <c r="C157" s="1157" t="s">
        <v>637</v>
      </c>
      <c r="D157" s="825" t="s">
        <v>212</v>
      </c>
      <c r="E157" s="825">
        <v>27755</v>
      </c>
      <c r="F157" s="825">
        <v>499.68</v>
      </c>
      <c r="G157" s="526">
        <v>5</v>
      </c>
      <c r="H157" s="825">
        <v>0.32</v>
      </c>
      <c r="I157" s="825">
        <v>2.9</v>
      </c>
      <c r="J157" s="526">
        <v>2</v>
      </c>
      <c r="K157" s="527">
        <v>43010</v>
      </c>
      <c r="L157" s="825" t="s">
        <v>241</v>
      </c>
      <c r="M157" s="825" t="s">
        <v>416</v>
      </c>
      <c r="N157" s="825">
        <v>50</v>
      </c>
      <c r="O157" s="825">
        <v>500</v>
      </c>
      <c r="P157" s="825">
        <v>50.14</v>
      </c>
      <c r="Q157" s="825">
        <v>499.68</v>
      </c>
      <c r="R157" s="875">
        <v>50.14</v>
      </c>
      <c r="S157" s="875">
        <v>50.14</v>
      </c>
      <c r="T157" s="1149">
        <f>R157-S157</f>
        <v>0</v>
      </c>
      <c r="U157" s="875">
        <v>249.77</v>
      </c>
      <c r="V157" s="875">
        <v>249.77</v>
      </c>
      <c r="W157" s="1149">
        <f>U157-V157</f>
        <v>0</v>
      </c>
      <c r="X157" s="875">
        <v>499.68</v>
      </c>
      <c r="Y157" s="875">
        <v>500.66699999999997</v>
      </c>
      <c r="Z157" s="1149">
        <f>X157-Y157</f>
        <v>-0.98699999999996635</v>
      </c>
      <c r="AA157" s="1152">
        <f t="shared" si="0"/>
        <v>0</v>
      </c>
    </row>
    <row r="158" spans="1:58" ht="35.1" customHeight="1" x14ac:dyDescent="0.2">
      <c r="B158" s="1545"/>
      <c r="C158" s="1157" t="s">
        <v>638</v>
      </c>
      <c r="D158" s="825" t="s">
        <v>213</v>
      </c>
      <c r="E158" s="825" t="s">
        <v>240</v>
      </c>
      <c r="F158" s="825">
        <v>99.31</v>
      </c>
      <c r="G158" s="526">
        <v>1</v>
      </c>
      <c r="H158" s="825">
        <v>0.69</v>
      </c>
      <c r="I158" s="825">
        <v>9.5000000000000001E-2</v>
      </c>
      <c r="J158" s="825">
        <v>2.02</v>
      </c>
      <c r="K158" s="528">
        <v>42534</v>
      </c>
      <c r="L158" s="1158" t="s">
        <v>639</v>
      </c>
      <c r="M158" s="825" t="s">
        <v>415</v>
      </c>
      <c r="N158" s="825">
        <v>10</v>
      </c>
      <c r="O158" s="825">
        <v>100</v>
      </c>
      <c r="P158" s="825">
        <v>19.510000000000002</v>
      </c>
      <c r="Q158" s="825">
        <v>99.31</v>
      </c>
      <c r="R158" s="965">
        <v>19.510000000000002</v>
      </c>
      <c r="S158" s="875">
        <v>19.510000000000002</v>
      </c>
      <c r="T158" s="1149">
        <f>+R158-S158</f>
        <v>0</v>
      </c>
      <c r="U158" s="875">
        <v>39.299999999999997</v>
      </c>
      <c r="V158" s="875">
        <v>39.299999999999997</v>
      </c>
      <c r="W158" s="1149">
        <f>+U158-V158</f>
        <v>0</v>
      </c>
      <c r="X158" s="875">
        <v>99.31</v>
      </c>
      <c r="Y158" s="875">
        <v>99.31</v>
      </c>
      <c r="Z158" s="1149">
        <f>+X158-Y158</f>
        <v>0</v>
      </c>
      <c r="AA158" s="1152">
        <f t="shared" si="0"/>
        <v>0</v>
      </c>
    </row>
    <row r="159" spans="1:58" ht="45.95" customHeight="1" x14ac:dyDescent="0.2">
      <c r="B159" s="1545"/>
      <c r="C159" s="1132" t="s">
        <v>615</v>
      </c>
      <c r="D159" s="825" t="s">
        <v>212</v>
      </c>
      <c r="E159" s="825">
        <v>27757</v>
      </c>
      <c r="F159" s="825">
        <v>500.46</v>
      </c>
      <c r="G159" s="526">
        <v>5</v>
      </c>
      <c r="H159" s="825">
        <v>0.46</v>
      </c>
      <c r="I159" s="825">
        <v>2.9</v>
      </c>
      <c r="J159" s="526">
        <v>2</v>
      </c>
      <c r="K159" s="527">
        <v>43017</v>
      </c>
      <c r="L159" s="825" t="s">
        <v>242</v>
      </c>
      <c r="M159" s="825" t="s">
        <v>416</v>
      </c>
      <c r="N159" s="825">
        <v>50</v>
      </c>
      <c r="O159" s="825">
        <v>500</v>
      </c>
      <c r="P159" s="539">
        <v>50.7</v>
      </c>
      <c r="Q159" s="825">
        <v>500.46</v>
      </c>
      <c r="R159" s="875">
        <v>50.7</v>
      </c>
      <c r="S159" s="875">
        <v>50.7</v>
      </c>
      <c r="T159" s="1149">
        <f>R159-S159</f>
        <v>0</v>
      </c>
      <c r="U159" s="875">
        <v>250.64</v>
      </c>
      <c r="V159" s="875">
        <v>250.64</v>
      </c>
      <c r="W159" s="1149">
        <f>+U159-V159</f>
        <v>0</v>
      </c>
      <c r="X159" s="875">
        <v>500.46</v>
      </c>
      <c r="Y159" s="875">
        <v>499.20800000000003</v>
      </c>
      <c r="Z159" s="1149">
        <f>X159-Y159</f>
        <v>1.2519999999999527</v>
      </c>
      <c r="AA159" s="1152">
        <f t="shared" si="0"/>
        <v>1.2519999999999527</v>
      </c>
    </row>
    <row r="160" spans="1:58" ht="45.95" customHeight="1" x14ac:dyDescent="0.2">
      <c r="B160" s="1545"/>
      <c r="C160" s="1132" t="s">
        <v>616</v>
      </c>
      <c r="D160" s="825" t="s">
        <v>212</v>
      </c>
      <c r="E160" s="825">
        <v>27758</v>
      </c>
      <c r="F160" s="825">
        <v>500.34800000000001</v>
      </c>
      <c r="G160" s="526">
        <v>5</v>
      </c>
      <c r="H160" s="825">
        <v>0.34799999999999998</v>
      </c>
      <c r="I160" s="825">
        <v>3.5000000000000003E-2</v>
      </c>
      <c r="J160" s="825">
        <v>2</v>
      </c>
      <c r="K160" s="527">
        <v>42769</v>
      </c>
      <c r="L160" s="825" t="s">
        <v>243</v>
      </c>
      <c r="M160" s="825" t="s">
        <v>417</v>
      </c>
      <c r="N160" s="825">
        <v>100</v>
      </c>
      <c r="O160" s="825">
        <v>500</v>
      </c>
      <c r="P160" s="825">
        <v>100.286</v>
      </c>
      <c r="Q160" s="825">
        <v>500.34800000000001</v>
      </c>
      <c r="R160" s="875">
        <v>100.286</v>
      </c>
      <c r="S160" s="875">
        <v>100.286</v>
      </c>
      <c r="T160" s="1149">
        <f>R160-S160</f>
        <v>0</v>
      </c>
      <c r="U160" s="875">
        <v>350.45400000000001</v>
      </c>
      <c r="V160" s="875">
        <v>350.45400000000001</v>
      </c>
      <c r="W160" s="1149">
        <f>U160-V160</f>
        <v>0</v>
      </c>
      <c r="X160" s="875">
        <v>500348</v>
      </c>
      <c r="Y160" s="875">
        <v>500348</v>
      </c>
      <c r="Z160" s="1149">
        <f>X160-Y160</f>
        <v>0</v>
      </c>
      <c r="AA160" s="1152">
        <f t="shared" si="0"/>
        <v>0</v>
      </c>
    </row>
    <row r="161" spans="2:27" ht="45.95" customHeight="1" thickBot="1" x14ac:dyDescent="0.25">
      <c r="B161" s="1546"/>
      <c r="C161" s="1133" t="s">
        <v>617</v>
      </c>
      <c r="D161" s="459" t="s">
        <v>212</v>
      </c>
      <c r="E161" s="459">
        <v>27759</v>
      </c>
      <c r="F161" s="459">
        <v>1000.625</v>
      </c>
      <c r="G161" s="461">
        <v>10</v>
      </c>
      <c r="H161" s="459">
        <v>0.625</v>
      </c>
      <c r="I161" s="459">
        <v>3.9E-2</v>
      </c>
      <c r="J161" s="459">
        <v>2</v>
      </c>
      <c r="K161" s="534">
        <v>42769</v>
      </c>
      <c r="L161" s="459" t="s">
        <v>244</v>
      </c>
      <c r="M161" s="1159" t="s">
        <v>640</v>
      </c>
      <c r="N161" s="459">
        <v>100</v>
      </c>
      <c r="O161" s="459">
        <v>1000</v>
      </c>
      <c r="P161" s="459">
        <v>201.50200000000001</v>
      </c>
      <c r="Q161" s="459">
        <v>1000.625</v>
      </c>
      <c r="R161" s="1147">
        <v>201.50200000000001</v>
      </c>
      <c r="S161" s="1147">
        <v>201.50200000000001</v>
      </c>
      <c r="T161" s="1150">
        <f>R161-S161</f>
        <v>0</v>
      </c>
      <c r="U161" s="1147">
        <v>600.67399999999998</v>
      </c>
      <c r="V161" s="1147">
        <v>600.67399999999998</v>
      </c>
      <c r="W161" s="1150">
        <f>U161-V161</f>
        <v>0</v>
      </c>
      <c r="X161" s="1147">
        <v>1000.625</v>
      </c>
      <c r="Y161" s="1147">
        <v>1000.625</v>
      </c>
      <c r="Z161" s="1150">
        <f>X161-Y161</f>
        <v>0</v>
      </c>
      <c r="AA161" s="1153">
        <f t="shared" si="0"/>
        <v>0</v>
      </c>
    </row>
    <row r="162" spans="2:27" ht="45.95" customHeight="1" x14ac:dyDescent="0.2">
      <c r="W162" s="416"/>
      <c r="X162" s="416"/>
      <c r="Y162" s="416"/>
      <c r="Z162" s="416"/>
      <c r="AA162" s="416"/>
    </row>
    <row r="163" spans="2:27" ht="45.95" customHeight="1" x14ac:dyDescent="0.2"/>
    <row r="164" spans="2:27" ht="35.1" customHeight="1" thickBot="1" x14ac:dyDescent="0.25"/>
    <row r="165" spans="2:27" ht="35.1" customHeight="1" thickBot="1" x14ac:dyDescent="0.25">
      <c r="B165" s="1485" t="s">
        <v>162</v>
      </c>
      <c r="C165" s="1486"/>
      <c r="D165" s="1488"/>
      <c r="E165" s="1488"/>
      <c r="F165" s="1488"/>
      <c r="G165" s="1488"/>
      <c r="H165" s="1488"/>
      <c r="I165" s="1488"/>
      <c r="J165" s="1488"/>
      <c r="K165" s="1488"/>
      <c r="L165" s="1489"/>
    </row>
    <row r="166" spans="2:27" ht="35.1" customHeight="1" thickBot="1" x14ac:dyDescent="0.25">
      <c r="B166" s="1533" t="s">
        <v>320</v>
      </c>
      <c r="C166" s="520"/>
      <c r="D166" s="379" t="s">
        <v>35</v>
      </c>
      <c r="E166" s="81" t="s">
        <v>206</v>
      </c>
      <c r="F166" s="81" t="s">
        <v>205</v>
      </c>
      <c r="G166" s="81" t="s">
        <v>148</v>
      </c>
      <c r="H166" s="81" t="s">
        <v>178</v>
      </c>
      <c r="I166" s="81" t="s">
        <v>146</v>
      </c>
      <c r="J166" s="81" t="s">
        <v>179</v>
      </c>
      <c r="K166" s="466" t="s">
        <v>147</v>
      </c>
      <c r="L166" s="82" t="s">
        <v>323</v>
      </c>
    </row>
    <row r="167" spans="2:27" ht="35.1" customHeight="1" thickBot="1" x14ac:dyDescent="0.25">
      <c r="B167" s="1374"/>
      <c r="C167" s="520"/>
      <c r="D167" s="541"/>
      <c r="E167" s="542"/>
      <c r="F167" s="542"/>
      <c r="G167" s="542"/>
      <c r="H167" s="542"/>
      <c r="I167" s="542"/>
      <c r="J167" s="542"/>
      <c r="K167" s="543"/>
      <c r="L167" s="544"/>
    </row>
    <row r="168" spans="2:27" ht="35.1" customHeight="1" thickBot="1" x14ac:dyDescent="0.25">
      <c r="B168" s="1534"/>
      <c r="C168" s="1134" t="s">
        <v>618</v>
      </c>
      <c r="D168" s="613" t="s">
        <v>490</v>
      </c>
      <c r="E168" s="614">
        <v>4044</v>
      </c>
      <c r="F168" s="614">
        <v>120</v>
      </c>
      <c r="G168" s="614">
        <v>0.01</v>
      </c>
      <c r="H168" s="618">
        <v>0.18239</v>
      </c>
      <c r="I168" s="619">
        <v>2.9E-4</v>
      </c>
      <c r="J168" s="614">
        <v>2.2999999999999998</v>
      </c>
      <c r="K168" s="615">
        <v>43801</v>
      </c>
      <c r="L168" s="616" t="s">
        <v>491</v>
      </c>
    </row>
    <row r="170" spans="2:27" ht="35.1" customHeight="1" thickBot="1" x14ac:dyDescent="0.25"/>
    <row r="171" spans="2:27" ht="35.1" customHeight="1" thickBot="1" x14ac:dyDescent="0.25">
      <c r="B171" s="1485" t="s">
        <v>161</v>
      </c>
      <c r="C171" s="1486"/>
      <c r="D171" s="1486"/>
      <c r="E171" s="1486"/>
      <c r="F171" s="1486"/>
      <c r="G171" s="1486"/>
      <c r="H171" s="1486"/>
      <c r="I171" s="1486"/>
      <c r="J171" s="1486"/>
      <c r="K171" s="1486"/>
      <c r="L171" s="1487"/>
    </row>
    <row r="172" spans="2:27" ht="35.1" customHeight="1" thickBot="1" x14ac:dyDescent="0.25">
      <c r="B172" s="382"/>
      <c r="C172" s="442"/>
      <c r="D172" s="379" t="s">
        <v>35</v>
      </c>
      <c r="E172" s="381" t="s">
        <v>206</v>
      </c>
      <c r="F172" s="81" t="s">
        <v>207</v>
      </c>
      <c r="G172" s="81" t="s">
        <v>148</v>
      </c>
      <c r="H172" s="81" t="s">
        <v>178</v>
      </c>
      <c r="I172" s="81" t="s">
        <v>146</v>
      </c>
      <c r="J172" s="81" t="s">
        <v>179</v>
      </c>
      <c r="K172" s="545" t="s">
        <v>147</v>
      </c>
      <c r="L172" s="82" t="s">
        <v>323</v>
      </c>
    </row>
    <row r="173" spans="2:27" ht="35.1" customHeight="1" thickBot="1" x14ac:dyDescent="0.25">
      <c r="B173" s="382"/>
      <c r="C173" s="442"/>
      <c r="D173" s="546"/>
      <c r="E173" s="547"/>
      <c r="F173" s="547"/>
      <c r="G173" s="547"/>
      <c r="H173" s="547"/>
      <c r="I173" s="547"/>
      <c r="J173" s="547"/>
      <c r="K173" s="548"/>
      <c r="L173" s="549"/>
    </row>
    <row r="174" spans="2:27" ht="35.1" customHeight="1" x14ac:dyDescent="0.2">
      <c r="B174" s="1482" t="s">
        <v>435</v>
      </c>
      <c r="C174" s="1135" t="s">
        <v>619</v>
      </c>
      <c r="D174" s="1490" t="s">
        <v>214</v>
      </c>
      <c r="E174" s="453">
        <v>16901291</v>
      </c>
      <c r="F174" s="964">
        <v>5</v>
      </c>
      <c r="G174" s="453">
        <v>0.01</v>
      </c>
      <c r="H174" s="967">
        <v>4.0000000000000001E-3</v>
      </c>
      <c r="I174" s="968">
        <v>1.5E-3</v>
      </c>
      <c r="J174" s="537">
        <v>2</v>
      </c>
      <c r="K174" s="973">
        <v>43978</v>
      </c>
      <c r="L174" s="974" t="s">
        <v>482</v>
      </c>
    </row>
    <row r="175" spans="2:27" ht="35.1" customHeight="1" x14ac:dyDescent="0.2">
      <c r="B175" s="1483"/>
      <c r="C175" s="1136" t="s">
        <v>620</v>
      </c>
      <c r="D175" s="1430"/>
      <c r="E175" s="607">
        <v>16901291</v>
      </c>
      <c r="F175" s="965">
        <v>20</v>
      </c>
      <c r="G175" s="407">
        <v>0.01</v>
      </c>
      <c r="H175" s="969">
        <v>2E-3</v>
      </c>
      <c r="I175" s="970">
        <v>1.5E-3</v>
      </c>
      <c r="J175" s="526">
        <v>2</v>
      </c>
      <c r="K175" s="975">
        <v>43978</v>
      </c>
      <c r="L175" s="976" t="s">
        <v>482</v>
      </c>
    </row>
    <row r="176" spans="2:27" ht="35.1" customHeight="1" x14ac:dyDescent="0.2">
      <c r="B176" s="1483"/>
      <c r="C176" s="1136" t="s">
        <v>621</v>
      </c>
      <c r="D176" s="1430"/>
      <c r="E176" s="407">
        <v>16901291</v>
      </c>
      <c r="F176" s="965">
        <v>50</v>
      </c>
      <c r="G176" s="407">
        <v>0.01</v>
      </c>
      <c r="H176" s="969">
        <v>-2E-3</v>
      </c>
      <c r="I176" s="970">
        <v>1.5E-3</v>
      </c>
      <c r="J176" s="526">
        <v>2</v>
      </c>
      <c r="K176" s="975">
        <v>43978</v>
      </c>
      <c r="L176" s="976" t="s">
        <v>482</v>
      </c>
    </row>
    <row r="177" spans="2:12" ht="35.1" customHeight="1" x14ac:dyDescent="0.2">
      <c r="B177" s="1483"/>
      <c r="C177" s="1136" t="s">
        <v>622</v>
      </c>
      <c r="D177" s="1430"/>
      <c r="E177" s="407">
        <v>16901291</v>
      </c>
      <c r="F177" s="965">
        <v>70</v>
      </c>
      <c r="G177" s="407">
        <v>0.01</v>
      </c>
      <c r="H177" s="969">
        <v>-4.0000000000000001E-3</v>
      </c>
      <c r="I177" s="970">
        <v>1.5E-3</v>
      </c>
      <c r="J177" s="526">
        <v>2</v>
      </c>
      <c r="K177" s="975">
        <v>43978</v>
      </c>
      <c r="L177" s="976" t="s">
        <v>482</v>
      </c>
    </row>
    <row r="178" spans="2:12" ht="35.1" customHeight="1" x14ac:dyDescent="0.2">
      <c r="B178" s="1483"/>
      <c r="C178" s="1136" t="s">
        <v>624</v>
      </c>
      <c r="D178" s="1430"/>
      <c r="E178" s="407">
        <v>16901291</v>
      </c>
      <c r="F178" s="965">
        <v>100</v>
      </c>
      <c r="G178" s="407">
        <v>0.01</v>
      </c>
      <c r="H178" s="969">
        <v>-4.0000000000000001E-3</v>
      </c>
      <c r="I178" s="970">
        <v>1.5E-3</v>
      </c>
      <c r="J178" s="526">
        <v>2</v>
      </c>
      <c r="K178" s="975">
        <v>43978</v>
      </c>
      <c r="L178" s="976" t="s">
        <v>482</v>
      </c>
    </row>
    <row r="179" spans="2:12" ht="35.1" customHeight="1" x14ac:dyDescent="0.2">
      <c r="B179" s="1483"/>
      <c r="C179" s="1136" t="s">
        <v>623</v>
      </c>
      <c r="D179" s="1430"/>
      <c r="E179" s="407">
        <v>16901291</v>
      </c>
      <c r="F179" s="965">
        <v>150</v>
      </c>
      <c r="G179" s="407">
        <v>0.01</v>
      </c>
      <c r="H179" s="969">
        <v>-4.0000000000000001E-3</v>
      </c>
      <c r="I179" s="970">
        <v>1.5E-3</v>
      </c>
      <c r="J179" s="526">
        <v>2</v>
      </c>
      <c r="K179" s="975">
        <v>43978</v>
      </c>
      <c r="L179" s="976" t="s">
        <v>482</v>
      </c>
    </row>
    <row r="180" spans="2:12" ht="35.1" customHeight="1" thickBot="1" x14ac:dyDescent="0.25">
      <c r="B180" s="1484"/>
      <c r="C180" s="1137" t="s">
        <v>625</v>
      </c>
      <c r="D180" s="1431"/>
      <c r="E180" s="459">
        <v>16901291</v>
      </c>
      <c r="F180" s="966">
        <v>200</v>
      </c>
      <c r="G180" s="459">
        <v>0.01</v>
      </c>
      <c r="H180" s="971">
        <v>-2E-3</v>
      </c>
      <c r="I180" s="972">
        <v>1.5E-3</v>
      </c>
      <c r="J180" s="461">
        <v>2</v>
      </c>
      <c r="K180" s="977">
        <v>43978</v>
      </c>
      <c r="L180" s="978" t="s">
        <v>482</v>
      </c>
    </row>
    <row r="181" spans="2:12" ht="35.1" customHeight="1" thickBot="1" x14ac:dyDescent="0.25">
      <c r="B181" s="382"/>
      <c r="C181" s="382"/>
      <c r="D181" s="382"/>
      <c r="E181" s="550"/>
      <c r="F181" s="507"/>
      <c r="G181" s="507"/>
      <c r="H181" s="551"/>
      <c r="I181" s="507"/>
      <c r="J181" s="507"/>
      <c r="K181" s="552"/>
      <c r="L181" s="553"/>
    </row>
    <row r="182" spans="2:12" ht="35.1" customHeight="1" x14ac:dyDescent="0.2">
      <c r="B182" s="1482" t="s">
        <v>434</v>
      </c>
      <c r="C182" s="1135" t="s">
        <v>619</v>
      </c>
      <c r="D182" s="1490" t="s">
        <v>214</v>
      </c>
      <c r="E182" s="453">
        <v>16901291</v>
      </c>
      <c r="F182" s="964">
        <v>5</v>
      </c>
      <c r="G182" s="453">
        <v>0.01</v>
      </c>
      <c r="H182" s="967">
        <v>0</v>
      </c>
      <c r="I182" s="968">
        <v>1.8E-3</v>
      </c>
      <c r="J182" s="537">
        <v>2</v>
      </c>
      <c r="K182" s="973">
        <v>43978</v>
      </c>
      <c r="L182" s="974" t="s">
        <v>482</v>
      </c>
    </row>
    <row r="183" spans="2:12" ht="35.1" customHeight="1" x14ac:dyDescent="0.2">
      <c r="B183" s="1483"/>
      <c r="C183" s="1136" t="s">
        <v>620</v>
      </c>
      <c r="D183" s="1430"/>
      <c r="E183" s="407">
        <v>16901291</v>
      </c>
      <c r="F183" s="965">
        <v>20</v>
      </c>
      <c r="G183" s="407">
        <v>0.01</v>
      </c>
      <c r="H183" s="969">
        <v>0</v>
      </c>
      <c r="I183" s="970">
        <v>1.8E-3</v>
      </c>
      <c r="J183" s="526">
        <v>2</v>
      </c>
      <c r="K183" s="975">
        <v>43978</v>
      </c>
      <c r="L183" s="976" t="s">
        <v>482</v>
      </c>
    </row>
    <row r="184" spans="2:12" ht="35.1" customHeight="1" x14ac:dyDescent="0.2">
      <c r="B184" s="1483"/>
      <c r="C184" s="1136" t="s">
        <v>621</v>
      </c>
      <c r="D184" s="1430"/>
      <c r="E184" s="407">
        <v>16901291</v>
      </c>
      <c r="F184" s="965">
        <v>50</v>
      </c>
      <c r="G184" s="407">
        <v>0.01</v>
      </c>
      <c r="H184" s="969">
        <v>-4.0000000000000001E-3</v>
      </c>
      <c r="I184" s="970">
        <v>1.8E-3</v>
      </c>
      <c r="J184" s="526">
        <v>2</v>
      </c>
      <c r="K184" s="975">
        <v>43978</v>
      </c>
      <c r="L184" s="976" t="s">
        <v>482</v>
      </c>
    </row>
    <row r="185" spans="2:12" ht="35.1" customHeight="1" x14ac:dyDescent="0.2">
      <c r="B185" s="1483"/>
      <c r="C185" s="1136" t="s">
        <v>622</v>
      </c>
      <c r="D185" s="1430"/>
      <c r="E185" s="407">
        <v>16901291</v>
      </c>
      <c r="F185" s="965">
        <v>70.010000000000005</v>
      </c>
      <c r="G185" s="407">
        <v>0.01</v>
      </c>
      <c r="H185" s="969">
        <v>-6.0000000000000001E-3</v>
      </c>
      <c r="I185" s="970">
        <v>1.8E-3</v>
      </c>
      <c r="J185" s="526">
        <v>2</v>
      </c>
      <c r="K185" s="975">
        <v>43978</v>
      </c>
      <c r="L185" s="976" t="s">
        <v>482</v>
      </c>
    </row>
    <row r="186" spans="2:12" ht="35.1" customHeight="1" x14ac:dyDescent="0.2">
      <c r="B186" s="1483"/>
      <c r="C186" s="1136" t="s">
        <v>624</v>
      </c>
      <c r="D186" s="1430"/>
      <c r="E186" s="407">
        <v>16901291</v>
      </c>
      <c r="F186" s="965">
        <v>100</v>
      </c>
      <c r="G186" s="407">
        <v>0.01</v>
      </c>
      <c r="H186" s="969">
        <v>-4.0000000000000001E-3</v>
      </c>
      <c r="I186" s="970">
        <v>1.8E-3</v>
      </c>
      <c r="J186" s="526">
        <v>2</v>
      </c>
      <c r="K186" s="975">
        <v>43978</v>
      </c>
      <c r="L186" s="976" t="s">
        <v>482</v>
      </c>
    </row>
    <row r="187" spans="2:12" ht="35.1" customHeight="1" x14ac:dyDescent="0.2">
      <c r="B187" s="1483"/>
      <c r="C187" s="1136" t="s">
        <v>623</v>
      </c>
      <c r="D187" s="1430"/>
      <c r="E187" s="407">
        <v>16901291</v>
      </c>
      <c r="F187" s="965">
        <v>150.01</v>
      </c>
      <c r="G187" s="407">
        <v>0.01</v>
      </c>
      <c r="H187" s="969">
        <v>-6.0000000000000001E-3</v>
      </c>
      <c r="I187" s="970">
        <v>1.8E-3</v>
      </c>
      <c r="J187" s="526">
        <v>2</v>
      </c>
      <c r="K187" s="975">
        <v>43978</v>
      </c>
      <c r="L187" s="976" t="s">
        <v>482</v>
      </c>
    </row>
    <row r="188" spans="2:12" ht="35.1" customHeight="1" thickBot="1" x14ac:dyDescent="0.25">
      <c r="B188" s="1484"/>
      <c r="C188" s="1137" t="s">
        <v>626</v>
      </c>
      <c r="D188" s="1431"/>
      <c r="E188" s="459">
        <v>16901291</v>
      </c>
      <c r="F188" s="966">
        <v>200.01</v>
      </c>
      <c r="G188" s="459">
        <v>0.01</v>
      </c>
      <c r="H188" s="971">
        <v>-6.0000000000000001E-3</v>
      </c>
      <c r="I188" s="972">
        <v>1.8E-3</v>
      </c>
      <c r="J188" s="461">
        <v>2</v>
      </c>
      <c r="K188" s="977">
        <v>43978</v>
      </c>
      <c r="L188" s="978" t="s">
        <v>482</v>
      </c>
    </row>
    <row r="225" spans="74:77" ht="35.1" customHeight="1" x14ac:dyDescent="0.25">
      <c r="BV225" s="397"/>
      <c r="BW225" s="397"/>
      <c r="BX225" s="397"/>
      <c r="BY225" s="397"/>
    </row>
    <row r="226" spans="74:77" ht="35.1" customHeight="1" x14ac:dyDescent="0.25">
      <c r="BV226" s="397"/>
      <c r="BW226" s="397"/>
      <c r="BX226" s="397"/>
      <c r="BY226" s="397"/>
    </row>
    <row r="227" spans="74:77" ht="35.1" customHeight="1" x14ac:dyDescent="0.25">
      <c r="BV227" s="397"/>
      <c r="BW227" s="397"/>
      <c r="BX227" s="397"/>
      <c r="BY227" s="397"/>
    </row>
    <row r="228" spans="74:77" ht="35.1" customHeight="1" x14ac:dyDescent="0.25">
      <c r="BV228" s="397"/>
      <c r="BW228" s="397"/>
      <c r="BX228" s="397"/>
      <c r="BY228" s="397"/>
    </row>
  </sheetData>
  <sheetProtection algorithmName="SHA-512" hashValue="IxmRZxRysmj6E+W8CmhtLRC1p16pa5Ik/+pbuJ4OqIYp961bFsX6M0mbYFUjFesl/fKSLuLKCMSwdPYJ6dDngg==" saltValue="CnlPwTj2LjegYRy14NUsWg==" spinCount="100000" sheet="1" objects="1" scenarios="1"/>
  <dataConsolidate link="1"/>
  <mergeCells count="154">
    <mergeCell ref="AH56:AI56"/>
    <mergeCell ref="Y56:AB56"/>
    <mergeCell ref="Y57:AB57"/>
    <mergeCell ref="K113:K115"/>
    <mergeCell ref="L113:L115"/>
    <mergeCell ref="AG82:AG84"/>
    <mergeCell ref="K96:K98"/>
    <mergeCell ref="K85:K87"/>
    <mergeCell ref="L85:L87"/>
    <mergeCell ref="AG104:AG106"/>
    <mergeCell ref="K107:K109"/>
    <mergeCell ref="L107:L109"/>
    <mergeCell ref="K110:K112"/>
    <mergeCell ref="K102:K104"/>
    <mergeCell ref="AF93:AF95"/>
    <mergeCell ref="AG93:AG95"/>
    <mergeCell ref="AF104:AF106"/>
    <mergeCell ref="K71:K72"/>
    <mergeCell ref="L71:L72"/>
    <mergeCell ref="AB72:AB74"/>
    <mergeCell ref="AB82:AB84"/>
    <mergeCell ref="AB93:AB95"/>
    <mergeCell ref="K77:K79"/>
    <mergeCell ref="K80:K82"/>
    <mergeCell ref="B166:B168"/>
    <mergeCell ref="D118:D126"/>
    <mergeCell ref="A124:B126"/>
    <mergeCell ref="J124:J126"/>
    <mergeCell ref="K124:K126"/>
    <mergeCell ref="L124:L126"/>
    <mergeCell ref="K118:K120"/>
    <mergeCell ref="J118:J120"/>
    <mergeCell ref="AG115:AG117"/>
    <mergeCell ref="A118:B120"/>
    <mergeCell ref="AB115:AB117"/>
    <mergeCell ref="C118:C126"/>
    <mergeCell ref="L118:L120"/>
    <mergeCell ref="N154:O154"/>
    <mergeCell ref="AF115:AF117"/>
    <mergeCell ref="B153:AA153"/>
    <mergeCell ref="D107:D115"/>
    <mergeCell ref="C107:C115"/>
    <mergeCell ref="B154:B161"/>
    <mergeCell ref="B142:B148"/>
    <mergeCell ref="A121:B123"/>
    <mergeCell ref="J121:J123"/>
    <mergeCell ref="K121:K123"/>
    <mergeCell ref="L121:L123"/>
    <mergeCell ref="E107:E115"/>
    <mergeCell ref="J110:J112"/>
    <mergeCell ref="J91:J93"/>
    <mergeCell ref="K91:K93"/>
    <mergeCell ref="L99:L101"/>
    <mergeCell ref="A85:B87"/>
    <mergeCell ref="C85:C93"/>
    <mergeCell ref="D85:D93"/>
    <mergeCell ref="E85:E93"/>
    <mergeCell ref="J85:J87"/>
    <mergeCell ref="A91:B93"/>
    <mergeCell ref="J88:J90"/>
    <mergeCell ref="C96:C104"/>
    <mergeCell ref="D96:D104"/>
    <mergeCell ref="E96:E104"/>
    <mergeCell ref="J96:J98"/>
    <mergeCell ref="B182:B188"/>
    <mergeCell ref="B174:B180"/>
    <mergeCell ref="B171:L171"/>
    <mergeCell ref="B165:L165"/>
    <mergeCell ref="D174:D180"/>
    <mergeCell ref="K88:K90"/>
    <mergeCell ref="A107:B109"/>
    <mergeCell ref="L91:L93"/>
    <mergeCell ref="L102:L104"/>
    <mergeCell ref="J102:J104"/>
    <mergeCell ref="A113:B115"/>
    <mergeCell ref="A99:B101"/>
    <mergeCell ref="J99:J101"/>
    <mergeCell ref="L88:L90"/>
    <mergeCell ref="A110:B112"/>
    <mergeCell ref="A88:B90"/>
    <mergeCell ref="A102:B104"/>
    <mergeCell ref="L96:L98"/>
    <mergeCell ref="E118:E126"/>
    <mergeCell ref="J107:J109"/>
    <mergeCell ref="L110:L112"/>
    <mergeCell ref="D182:D188"/>
    <mergeCell ref="J113:J115"/>
    <mergeCell ref="B141:W141"/>
    <mergeCell ref="L38:L42"/>
    <mergeCell ref="AF82:AF84"/>
    <mergeCell ref="J74:J76"/>
    <mergeCell ref="L44:L48"/>
    <mergeCell ref="AF72:AF74"/>
    <mergeCell ref="AB104:AB106"/>
    <mergeCell ref="A68:Q69"/>
    <mergeCell ref="A70:Q70"/>
    <mergeCell ref="D71:D72"/>
    <mergeCell ref="E71:E72"/>
    <mergeCell ref="F71:F72"/>
    <mergeCell ref="G71:G72"/>
    <mergeCell ref="H71:H72"/>
    <mergeCell ref="I71:I72"/>
    <mergeCell ref="J71:J72"/>
    <mergeCell ref="B44:B48"/>
    <mergeCell ref="D44:D48"/>
    <mergeCell ref="N71:N72"/>
    <mergeCell ref="O71:Q72"/>
    <mergeCell ref="A96:B98"/>
    <mergeCell ref="K99:K101"/>
    <mergeCell ref="A71:B72"/>
    <mergeCell ref="C71:C72"/>
    <mergeCell ref="J80:J82"/>
    <mergeCell ref="AG69:AG70"/>
    <mergeCell ref="A74:B76"/>
    <mergeCell ref="C74:C82"/>
    <mergeCell ref="D74:D82"/>
    <mergeCell ref="E74:E82"/>
    <mergeCell ref="B38:B42"/>
    <mergeCell ref="K74:K76"/>
    <mergeCell ref="L74:L76"/>
    <mergeCell ref="AB69:AB70"/>
    <mergeCell ref="AC69:AE70"/>
    <mergeCell ref="AF69:AF70"/>
    <mergeCell ref="D38:D42"/>
    <mergeCell ref="J77:J79"/>
    <mergeCell ref="AG72:AG74"/>
    <mergeCell ref="L77:L79"/>
    <mergeCell ref="B50:B54"/>
    <mergeCell ref="D50:D54"/>
    <mergeCell ref="L50:L54"/>
    <mergeCell ref="L80:L82"/>
    <mergeCell ref="A80:B82"/>
    <mergeCell ref="A77:B79"/>
    <mergeCell ref="B56:B60"/>
    <mergeCell ref="D56:D60"/>
    <mergeCell ref="L56:L60"/>
    <mergeCell ref="B35:R35"/>
    <mergeCell ref="V30:V31"/>
    <mergeCell ref="S30:S31"/>
    <mergeCell ref="T30:T31"/>
    <mergeCell ref="Q8:U8"/>
    <mergeCell ref="S9:U9"/>
    <mergeCell ref="P7:U7"/>
    <mergeCell ref="Q9:R9"/>
    <mergeCell ref="T14:V14"/>
    <mergeCell ref="D5:N5"/>
    <mergeCell ref="B11:N12"/>
    <mergeCell ref="B28:O28"/>
    <mergeCell ref="B21:O21"/>
    <mergeCell ref="A1:D1"/>
    <mergeCell ref="Q24:W25"/>
    <mergeCell ref="B29:B32"/>
    <mergeCell ref="E1:AI1"/>
    <mergeCell ref="S32:V32"/>
  </mergeCells>
  <phoneticPr fontId="71" type="noConversion"/>
  <dataValidations count="2">
    <dataValidation type="list" allowBlank="1" showInputMessage="1" showErrorMessage="1" sqref="H14" xr:uid="{00000000-0002-0000-0000-000000000000}">
      <formula1>$Y$59:$Y$64</formula1>
    </dataValidation>
    <dataValidation type="list" allowBlank="1" showInputMessage="1" showErrorMessage="1" sqref="J14" xr:uid="{00000000-0002-0000-0000-000001000000}">
      <formula1>$AH$60:$AH$62</formula1>
    </dataValidation>
  </dataValidations>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Vr.12 (2022-02-28)</oddFooter>
  </headerFooter>
  <rowBreaks count="2" manualBreakCount="2">
    <brk id="64" max="34" man="1"/>
    <brk id="151" max="34"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66CC"/>
  </sheetPr>
  <dimension ref="A1:Y112"/>
  <sheetViews>
    <sheetView showGridLines="0" view="pageBreakPreview" zoomScale="90" zoomScaleNormal="100" zoomScaleSheetLayoutView="90" workbookViewId="0">
      <selection activeCell="E16" sqref="E16:H16"/>
    </sheetView>
  </sheetViews>
  <sheetFormatPr baseColWidth="10" defaultColWidth="11.42578125" defaultRowHeight="15.75" x14ac:dyDescent="0.25"/>
  <cols>
    <col min="1" max="1" width="5.7109375" style="1175" customWidth="1"/>
    <col min="2" max="2" width="13.5703125" style="1175" customWidth="1"/>
    <col min="3" max="8" width="12.7109375" style="1175" customWidth="1"/>
    <col min="9" max="9" width="18" style="1175" customWidth="1"/>
    <col min="10" max="10" width="9.42578125" style="1175" customWidth="1"/>
    <col min="11" max="11" width="9" style="1175" customWidth="1"/>
    <col min="12" max="12" width="8.28515625" style="1175" customWidth="1"/>
    <col min="13" max="13" width="10.140625" style="1175" customWidth="1"/>
    <col min="14" max="14" width="8" style="1175" customWidth="1"/>
    <col min="15" max="15" width="13.85546875" style="1175" customWidth="1"/>
    <col min="16" max="16" width="0.5703125" style="1175" customWidth="1"/>
    <col min="17" max="17" width="1.7109375" style="1175" customWidth="1"/>
    <col min="18" max="16384" width="11.42578125" style="1175"/>
  </cols>
  <sheetData>
    <row r="1" spans="1:11" ht="125.1" customHeight="1" x14ac:dyDescent="0.25">
      <c r="A1" s="1869"/>
      <c r="B1" s="1869"/>
      <c r="C1" s="1869"/>
      <c r="D1" s="1869"/>
      <c r="E1" s="1869"/>
      <c r="F1" s="1869"/>
      <c r="G1" s="1869"/>
      <c r="H1" s="1869"/>
      <c r="I1" s="1869"/>
      <c r="J1" s="1869"/>
      <c r="K1" s="1869"/>
    </row>
    <row r="2" spans="1:11" ht="35.1" customHeight="1" x14ac:dyDescent="0.25">
      <c r="A2" s="1311"/>
      <c r="B2" s="1311"/>
      <c r="C2" s="1311"/>
      <c r="D2" s="1311"/>
      <c r="E2" s="1311"/>
      <c r="F2" s="1311"/>
      <c r="G2" s="1311"/>
      <c r="H2" s="1311"/>
      <c r="I2" s="1311"/>
      <c r="J2" s="1311"/>
      <c r="K2" s="1311"/>
    </row>
    <row r="3" spans="1:11" ht="65.099999999999994" customHeight="1" x14ac:dyDescent="0.25">
      <c r="A3" s="1311"/>
      <c r="B3" s="1311"/>
      <c r="C3" s="1311"/>
      <c r="D3" s="1311"/>
      <c r="E3" s="1311"/>
      <c r="F3" s="1311"/>
      <c r="G3" s="1311"/>
      <c r="H3" s="1177"/>
      <c r="I3" s="1178" t="s">
        <v>653</v>
      </c>
      <c r="J3" s="1863">
        <f>'DATOS #'!N15</f>
        <v>0</v>
      </c>
      <c r="K3" s="1863"/>
    </row>
    <row r="4" spans="1:11" ht="26.1" customHeight="1" x14ac:dyDescent="0.25">
      <c r="A4" s="1867" t="s">
        <v>42</v>
      </c>
      <c r="B4" s="1867"/>
      <c r="C4" s="1867"/>
      <c r="D4" s="1867"/>
      <c r="E4" s="1179"/>
      <c r="F4" s="1180"/>
    </row>
    <row r="5" spans="1:11" ht="18" customHeight="1" x14ac:dyDescent="0.25">
      <c r="A5" s="1181"/>
      <c r="B5" s="1181"/>
      <c r="C5" s="1181"/>
      <c r="D5" s="1180"/>
      <c r="E5" s="1180"/>
      <c r="F5" s="1180"/>
    </row>
    <row r="6" spans="1:11" ht="26.1" customHeight="1" x14ac:dyDescent="0.25">
      <c r="A6" s="1855" t="s">
        <v>358</v>
      </c>
      <c r="B6" s="1855"/>
      <c r="C6" s="1310"/>
      <c r="D6" s="1854">
        <f>'DATOS #'!K8</f>
        <v>0</v>
      </c>
      <c r="E6" s="1854"/>
      <c r="F6" s="1854"/>
      <c r="G6" s="1854"/>
      <c r="H6" s="1854"/>
      <c r="I6" s="1854"/>
      <c r="J6" s="1854"/>
      <c r="K6" s="1854"/>
    </row>
    <row r="7" spans="1:11" ht="26.1" customHeight="1" x14ac:dyDescent="0.25">
      <c r="A7" s="1853" t="s">
        <v>359</v>
      </c>
      <c r="B7" s="1853"/>
      <c r="C7" s="1307"/>
      <c r="D7" s="1854">
        <f>'DATOS #'!L8</f>
        <v>0</v>
      </c>
      <c r="E7" s="1854"/>
      <c r="F7" s="1854"/>
      <c r="G7" s="1854"/>
      <c r="H7" s="1854"/>
      <c r="I7" s="1854"/>
      <c r="J7" s="1854"/>
      <c r="K7" s="1854"/>
    </row>
    <row r="8" spans="1:11" ht="26.1" customHeight="1" x14ac:dyDescent="0.25">
      <c r="A8" s="1853" t="s">
        <v>380</v>
      </c>
      <c r="B8" s="1853"/>
      <c r="C8" s="1307"/>
      <c r="D8" s="1854">
        <f>'DATOS #'!M8</f>
        <v>0</v>
      </c>
      <c r="E8" s="1854"/>
      <c r="F8" s="1854"/>
      <c r="G8" s="1854"/>
      <c r="H8" s="1854"/>
      <c r="I8" s="1854"/>
      <c r="J8" s="1854"/>
      <c r="K8" s="1854"/>
    </row>
    <row r="9" spans="1:11" ht="26.1" customHeight="1" x14ac:dyDescent="0.25">
      <c r="A9" s="1312"/>
      <c r="B9" s="1312"/>
      <c r="C9" s="1181"/>
      <c r="D9" s="1180"/>
      <c r="E9" s="1180"/>
      <c r="F9" s="1180"/>
      <c r="G9" s="1180"/>
    </row>
    <row r="10" spans="1:11" ht="26.1" customHeight="1" x14ac:dyDescent="0.25">
      <c r="A10" s="1855" t="s">
        <v>360</v>
      </c>
      <c r="B10" s="1855"/>
      <c r="C10" s="1855"/>
      <c r="D10" s="1855"/>
      <c r="E10" s="1856" t="e">
        <f>'RT03-F11 #'!D3</f>
        <v>#N/A</v>
      </c>
      <c r="F10" s="1856"/>
      <c r="H10" s="1857"/>
      <c r="I10" s="1857"/>
      <c r="J10" s="1856"/>
      <c r="K10" s="1856"/>
    </row>
    <row r="11" spans="1:11" ht="26.1" customHeight="1" x14ac:dyDescent="0.25">
      <c r="A11" s="1871"/>
      <c r="B11" s="1871"/>
      <c r="C11" s="1186"/>
      <c r="D11" s="1871"/>
      <c r="E11" s="1871"/>
      <c r="F11" s="1871"/>
      <c r="I11" s="1187"/>
      <c r="J11" s="1187"/>
      <c r="K11" s="1187"/>
    </row>
    <row r="12" spans="1:11" ht="26.1" customHeight="1" x14ac:dyDescent="0.25">
      <c r="A12" s="1952" t="s">
        <v>654</v>
      </c>
      <c r="B12" s="1952"/>
      <c r="C12" s="1952"/>
      <c r="D12" s="1952"/>
      <c r="E12" s="1952"/>
      <c r="F12" s="1952"/>
      <c r="G12" s="1952"/>
      <c r="H12" s="1952"/>
      <c r="I12" s="1952"/>
      <c r="J12" s="1952"/>
      <c r="K12" s="1187"/>
    </row>
    <row r="13" spans="1:11" ht="18" customHeight="1" x14ac:dyDescent="0.25">
      <c r="A13" s="1310"/>
      <c r="B13" s="1310"/>
      <c r="C13" s="1310"/>
      <c r="D13" s="1310"/>
      <c r="E13" s="1310"/>
      <c r="F13" s="680"/>
      <c r="G13" s="1188"/>
      <c r="H13" s="1188"/>
      <c r="I13" s="1189"/>
      <c r="J13" s="1189"/>
      <c r="K13" s="1187"/>
    </row>
    <row r="14" spans="1:11" ht="26.1" customHeight="1" x14ac:dyDescent="0.25">
      <c r="A14" s="1855" t="s">
        <v>24</v>
      </c>
      <c r="B14" s="1855"/>
      <c r="C14" s="1855"/>
      <c r="D14" s="1855"/>
      <c r="E14" s="1861" t="s">
        <v>356</v>
      </c>
      <c r="F14" s="1861"/>
      <c r="G14" s="1861"/>
      <c r="H14" s="1861"/>
      <c r="I14" s="1189"/>
      <c r="J14" s="1189"/>
      <c r="K14" s="1187"/>
    </row>
    <row r="15" spans="1:11" ht="26.1" customHeight="1" x14ac:dyDescent="0.25">
      <c r="A15" s="1855" t="s">
        <v>303</v>
      </c>
      <c r="B15" s="1855"/>
      <c r="C15" s="1855"/>
      <c r="D15" s="1855"/>
      <c r="E15" s="1854">
        <f>'DATOS #'!C15</f>
        <v>0</v>
      </c>
      <c r="F15" s="1854"/>
      <c r="G15" s="1854"/>
      <c r="H15" s="1854"/>
      <c r="I15" s="1308"/>
      <c r="J15" s="1189"/>
      <c r="K15" s="1187"/>
    </row>
    <row r="16" spans="1:11" ht="26.1" customHeight="1" x14ac:dyDescent="0.25">
      <c r="A16" s="1855" t="s">
        <v>302</v>
      </c>
      <c r="B16" s="1855"/>
      <c r="C16" s="1855"/>
      <c r="D16" s="1855"/>
      <c r="E16" s="1854">
        <f>'DATOS #'!E15</f>
        <v>0</v>
      </c>
      <c r="F16" s="1854"/>
      <c r="G16" s="1854"/>
      <c r="H16" s="1854"/>
      <c r="I16" s="1308"/>
      <c r="J16" s="1189"/>
      <c r="K16" s="1187"/>
    </row>
    <row r="17" spans="1:25" ht="26.1" customHeight="1" x14ac:dyDescent="0.25">
      <c r="A17" s="1859" t="s">
        <v>280</v>
      </c>
      <c r="B17" s="1859"/>
      <c r="C17" s="1859"/>
      <c r="D17" s="1859"/>
      <c r="E17" s="1948">
        <f>'DATOS #'!D15</f>
        <v>0</v>
      </c>
      <c r="F17" s="1948"/>
      <c r="G17" s="1948"/>
      <c r="H17" s="1948"/>
      <c r="I17" s="1308"/>
      <c r="J17" s="1189"/>
      <c r="K17" s="1187"/>
    </row>
    <row r="18" spans="1:25" ht="26.1" customHeight="1" x14ac:dyDescent="0.25">
      <c r="A18" s="1859" t="s">
        <v>33</v>
      </c>
      <c r="B18" s="1859"/>
      <c r="C18" s="1859"/>
      <c r="D18" s="1859"/>
      <c r="E18" s="1861" t="s">
        <v>347</v>
      </c>
      <c r="F18" s="1861"/>
      <c r="G18" s="1861"/>
      <c r="H18" s="1861"/>
      <c r="I18" s="1308"/>
      <c r="J18" s="1189"/>
      <c r="K18" s="1187"/>
    </row>
    <row r="19" spans="1:25" ht="26.1" customHeight="1" x14ac:dyDescent="0.25">
      <c r="A19" s="1859" t="s">
        <v>301</v>
      </c>
      <c r="B19" s="1859"/>
      <c r="C19" s="1859"/>
      <c r="D19" s="1859"/>
      <c r="E19" s="1336" t="str">
        <f>'DATOS #'!G15</f>
        <v>5 gal</v>
      </c>
      <c r="F19" s="1330"/>
      <c r="G19" s="1330"/>
      <c r="H19" s="1330"/>
      <c r="I19" s="1308"/>
      <c r="J19" s="1188"/>
      <c r="S19" s="1871"/>
      <c r="T19" s="1871"/>
      <c r="U19" s="1871"/>
      <c r="V19" s="1871"/>
      <c r="W19" s="1871"/>
    </row>
    <row r="20" spans="1:25" ht="26.1" customHeight="1" x14ac:dyDescent="0.25">
      <c r="A20" s="1859" t="s">
        <v>208</v>
      </c>
      <c r="B20" s="1859"/>
      <c r="C20" s="1859"/>
      <c r="D20" s="1859"/>
      <c r="E20" s="1337" t="s">
        <v>663</v>
      </c>
      <c r="F20" s="1349" t="e">
        <f>'DATOS #'!H15</f>
        <v>#N/A</v>
      </c>
      <c r="G20" s="734"/>
      <c r="H20" s="734"/>
      <c r="I20" s="1308"/>
      <c r="J20" s="1188"/>
      <c r="M20" s="1193"/>
      <c r="N20" s="1193"/>
      <c r="O20" s="1193"/>
      <c r="P20" s="1193"/>
      <c r="Q20" s="1193"/>
      <c r="R20" s="1193"/>
      <c r="S20" s="1193"/>
      <c r="T20" s="1193"/>
      <c r="U20" s="1193"/>
      <c r="V20" s="1193"/>
    </row>
    <row r="21" spans="1:25" ht="26.1" customHeight="1" x14ac:dyDescent="0.25">
      <c r="A21" s="1859" t="s">
        <v>279</v>
      </c>
      <c r="B21" s="1859"/>
      <c r="C21" s="1859"/>
      <c r="D21" s="1859"/>
      <c r="E21" s="1861" t="s">
        <v>304</v>
      </c>
      <c r="F21" s="1861"/>
      <c r="G21" s="1861"/>
      <c r="H21" s="1861"/>
      <c r="I21" s="1308"/>
      <c r="J21" s="1194"/>
      <c r="S21" s="1872"/>
      <c r="T21" s="1873"/>
      <c r="U21" s="1873"/>
      <c r="W21" s="1871"/>
      <c r="X21" s="1871"/>
      <c r="Y21" s="1871"/>
    </row>
    <row r="22" spans="1:25" ht="26.1" customHeight="1" x14ac:dyDescent="0.25">
      <c r="A22" s="1871"/>
      <c r="B22" s="1871"/>
      <c r="C22" s="1871"/>
      <c r="D22" s="1871"/>
      <c r="E22" s="1874"/>
      <c r="F22" s="1874"/>
      <c r="G22" s="1874"/>
      <c r="H22" s="1874"/>
      <c r="I22" s="1313"/>
    </row>
    <row r="23" spans="1:25" ht="23.1" customHeight="1" x14ac:dyDescent="0.25">
      <c r="A23" s="1952" t="s">
        <v>655</v>
      </c>
      <c r="B23" s="1952"/>
      <c r="C23" s="1952"/>
      <c r="D23" s="1952"/>
      <c r="E23" s="1952"/>
      <c r="F23" s="1952"/>
      <c r="G23" s="1952"/>
      <c r="H23" s="1952"/>
      <c r="I23" s="1952"/>
      <c r="J23" s="1952"/>
      <c r="K23" s="1952"/>
    </row>
    <row r="24" spans="1:25" ht="18" customHeight="1" x14ac:dyDescent="0.25">
      <c r="A24" s="1188"/>
      <c r="B24" s="1188"/>
      <c r="C24" s="1188"/>
      <c r="D24" s="1188"/>
      <c r="E24" s="1188"/>
      <c r="F24" s="1188"/>
      <c r="G24" s="1188"/>
      <c r="H24" s="1188"/>
      <c r="I24" s="1188"/>
      <c r="J24" s="1188"/>
      <c r="K24" s="1188"/>
    </row>
    <row r="25" spans="1:25" ht="23.1" customHeight="1" x14ac:dyDescent="0.25">
      <c r="A25" s="1868">
        <f>'DATOS #'!G8</f>
        <v>0</v>
      </c>
      <c r="B25" s="1868"/>
      <c r="C25" s="1868"/>
      <c r="D25" s="1868"/>
      <c r="E25" s="1868"/>
      <c r="F25" s="1868"/>
      <c r="G25" s="1868"/>
      <c r="H25" s="1868"/>
      <c r="I25" s="1868"/>
      <c r="J25" s="1868"/>
      <c r="K25" s="1868"/>
    </row>
    <row r="26" spans="1:25" ht="26.1" customHeight="1" x14ac:dyDescent="0.25">
      <c r="A26" s="1868"/>
      <c r="B26" s="1868"/>
      <c r="C26" s="1868"/>
      <c r="D26" s="1868"/>
      <c r="E26" s="1868"/>
      <c r="F26" s="1868"/>
      <c r="G26" s="1868"/>
      <c r="H26" s="1868"/>
      <c r="I26" s="1868"/>
      <c r="J26" s="1868"/>
      <c r="K26" s="1868"/>
    </row>
    <row r="27" spans="1:25" ht="34.5" customHeight="1" x14ac:dyDescent="0.25">
      <c r="A27" s="1867" t="s">
        <v>273</v>
      </c>
      <c r="B27" s="1867"/>
      <c r="C27" s="1867"/>
      <c r="D27" s="1867"/>
      <c r="E27" s="1868">
        <f>'DATOS #'!J8</f>
        <v>0</v>
      </c>
      <c r="F27" s="1868"/>
      <c r="G27" s="1192"/>
      <c r="H27" s="1188"/>
      <c r="I27" s="1188"/>
      <c r="J27" s="1188"/>
      <c r="K27" s="1188"/>
    </row>
    <row r="28" spans="1:25" ht="26.1" customHeight="1" x14ac:dyDescent="0.25">
      <c r="A28" s="1188"/>
      <c r="B28" s="1188"/>
      <c r="C28" s="1188"/>
      <c r="D28" s="1188"/>
      <c r="E28" s="1188"/>
      <c r="F28" s="1196"/>
      <c r="G28" s="1196"/>
      <c r="H28" s="1188"/>
      <c r="I28" s="1188"/>
      <c r="J28" s="1188"/>
      <c r="K28" s="1188"/>
    </row>
    <row r="29" spans="1:25" ht="23.1" customHeight="1" x14ac:dyDescent="0.25">
      <c r="A29" s="1875" t="s">
        <v>656</v>
      </c>
      <c r="B29" s="1875"/>
      <c r="C29" s="1875"/>
      <c r="D29" s="1875"/>
      <c r="E29" s="1875"/>
      <c r="F29" s="1875"/>
      <c r="G29" s="1875"/>
      <c r="H29" s="1875"/>
      <c r="I29" s="1322"/>
      <c r="J29" s="1197"/>
      <c r="K29" s="1188"/>
    </row>
    <row r="30" spans="1:25" ht="18" customHeight="1" x14ac:dyDescent="0.25">
      <c r="A30" s="1308"/>
      <c r="B30" s="1308"/>
      <c r="C30" s="1308"/>
      <c r="D30" s="1308"/>
      <c r="E30" s="1308"/>
      <c r="F30" s="1308"/>
      <c r="G30" s="1308"/>
      <c r="H30" s="1308"/>
      <c r="I30" s="1308"/>
      <c r="J30" s="1188"/>
      <c r="K30" s="1188"/>
    </row>
    <row r="31" spans="1:25" ht="20.100000000000001" customHeight="1" x14ac:dyDescent="0.25">
      <c r="A31" s="1951"/>
      <c r="B31" s="1951"/>
      <c r="C31" s="1951"/>
      <c r="D31" s="1951"/>
      <c r="E31" s="1951"/>
      <c r="F31" s="1951"/>
      <c r="G31" s="1951"/>
      <c r="H31" s="1951"/>
      <c r="I31" s="1951"/>
      <c r="J31" s="1951"/>
      <c r="K31" s="1951"/>
    </row>
    <row r="32" spans="1:25" ht="20.100000000000001" customHeight="1" x14ac:dyDescent="0.25">
      <c r="A32" s="1951"/>
      <c r="B32" s="1951"/>
      <c r="C32" s="1951"/>
      <c r="D32" s="1951"/>
      <c r="E32" s="1951"/>
      <c r="F32" s="1951"/>
      <c r="G32" s="1951"/>
      <c r="H32" s="1951"/>
      <c r="I32" s="1951"/>
      <c r="J32" s="1951"/>
      <c r="K32" s="1951"/>
    </row>
    <row r="33" spans="1:11" ht="18" customHeight="1" x14ac:dyDescent="0.25">
      <c r="A33" s="1198"/>
      <c r="B33" s="1198"/>
      <c r="C33" s="1198"/>
      <c r="D33" s="1198"/>
      <c r="E33" s="1198"/>
      <c r="F33" s="1198"/>
      <c r="G33" s="1198"/>
      <c r="H33" s="1198"/>
      <c r="I33" s="1198"/>
      <c r="J33" s="1198"/>
      <c r="K33" s="1198"/>
    </row>
    <row r="34" spans="1:11" ht="125.1" customHeight="1" x14ac:dyDescent="0.25">
      <c r="A34" s="1198"/>
      <c r="B34" s="1198"/>
      <c r="C34" s="1198"/>
      <c r="D34" s="1198"/>
      <c r="E34" s="1198"/>
      <c r="F34" s="1198"/>
      <c r="G34" s="1198"/>
      <c r="H34" s="1198"/>
      <c r="I34" s="1198"/>
      <c r="J34" s="1198"/>
      <c r="K34" s="1198"/>
    </row>
    <row r="35" spans="1:11" ht="35.1" customHeight="1" x14ac:dyDescent="0.25">
      <c r="A35" s="1198"/>
      <c r="B35" s="1198"/>
      <c r="C35" s="1198"/>
      <c r="D35" s="1198"/>
      <c r="E35" s="1198"/>
      <c r="F35" s="1198"/>
      <c r="G35" s="1198"/>
      <c r="H35" s="1198"/>
      <c r="I35" s="1198"/>
      <c r="J35" s="1198"/>
      <c r="K35" s="1198"/>
    </row>
    <row r="36" spans="1:11" ht="65.099999999999994" customHeight="1" x14ac:dyDescent="0.25">
      <c r="A36" s="1199"/>
      <c r="B36" s="1199"/>
      <c r="C36" s="1199"/>
      <c r="D36" s="1199"/>
      <c r="E36" s="1199"/>
      <c r="F36" s="1199"/>
      <c r="G36" s="1199"/>
      <c r="H36" s="1177"/>
      <c r="I36" s="1200" t="s">
        <v>653</v>
      </c>
      <c r="J36" s="1863">
        <f>J3</f>
        <v>0</v>
      </c>
      <c r="K36" s="1863"/>
    </row>
    <row r="37" spans="1:11" ht="24.95" customHeight="1" x14ac:dyDescent="0.25">
      <c r="A37" s="1199"/>
      <c r="B37" s="1199"/>
      <c r="C37" s="1199"/>
      <c r="D37" s="1199"/>
      <c r="E37" s="1199"/>
      <c r="F37" s="1199"/>
      <c r="G37" s="1199"/>
      <c r="H37" s="1177"/>
      <c r="I37" s="1201"/>
      <c r="J37" s="1201"/>
      <c r="K37" s="1311"/>
    </row>
    <row r="38" spans="1:11" ht="18" customHeight="1" x14ac:dyDescent="0.25">
      <c r="A38" s="1199"/>
      <c r="B38" s="1199"/>
      <c r="C38" s="1199"/>
      <c r="D38" s="1199"/>
      <c r="E38" s="1199"/>
      <c r="F38" s="1199"/>
      <c r="G38" s="1199"/>
      <c r="H38" s="1177"/>
      <c r="I38" s="1201"/>
      <c r="J38" s="1201"/>
      <c r="K38" s="1311"/>
    </row>
    <row r="39" spans="1:11" ht="18" customHeight="1" x14ac:dyDescent="0.25">
      <c r="A39" s="1199"/>
      <c r="B39" s="1199"/>
      <c r="C39" s="1199"/>
      <c r="D39" s="1199"/>
      <c r="E39" s="1199"/>
      <c r="F39" s="1199"/>
      <c r="G39" s="1199"/>
      <c r="H39" s="1177"/>
      <c r="I39" s="1201"/>
      <c r="J39" s="1201"/>
      <c r="K39" s="1311"/>
    </row>
    <row r="40" spans="1:11" ht="15.75" customHeight="1" x14ac:dyDescent="0.25">
      <c r="A40" s="1199"/>
      <c r="B40" s="1199"/>
      <c r="C40" s="1199"/>
      <c r="D40" s="1199"/>
      <c r="E40" s="1199"/>
      <c r="F40" s="1199"/>
      <c r="G40" s="1199"/>
      <c r="H40" s="1177"/>
      <c r="I40" s="1201"/>
      <c r="J40" s="1201"/>
      <c r="K40" s="1311"/>
    </row>
    <row r="41" spans="1:11" s="1204" customFormat="1" ht="23.1" customHeight="1" x14ac:dyDescent="0.2">
      <c r="A41" s="1864"/>
      <c r="B41" s="1864"/>
      <c r="C41" s="1202"/>
      <c r="D41" s="1202"/>
      <c r="E41" s="1202"/>
      <c r="F41" s="1202"/>
      <c r="G41" s="1202"/>
      <c r="H41" s="1202"/>
      <c r="I41" s="1202"/>
      <c r="J41" s="1203"/>
    </row>
    <row r="42" spans="1:11" s="1204" customFormat="1" ht="24.95" customHeight="1" x14ac:dyDescent="0.2">
      <c r="A42" s="1205"/>
      <c r="B42" s="1202"/>
      <c r="C42" s="1202"/>
      <c r="D42" s="1202"/>
      <c r="E42" s="1202"/>
      <c r="F42" s="1202"/>
      <c r="G42" s="1202"/>
      <c r="H42" s="1202"/>
      <c r="I42" s="1202"/>
      <c r="J42" s="1203"/>
    </row>
    <row r="43" spans="1:11" s="1204" customFormat="1" ht="24.95" customHeight="1" x14ac:dyDescent="0.2">
      <c r="A43" s="1202"/>
      <c r="B43" s="1206"/>
      <c r="C43" s="1865"/>
      <c r="D43" s="1865"/>
      <c r="E43" s="1865"/>
      <c r="F43" s="1865"/>
      <c r="G43" s="1865"/>
      <c r="H43" s="1865"/>
      <c r="I43" s="1865"/>
      <c r="J43" s="1865"/>
      <c r="K43" s="1865"/>
    </row>
    <row r="44" spans="1:11" s="1204" customFormat="1" ht="12.95" customHeight="1" x14ac:dyDescent="0.2">
      <c r="A44" s="1207"/>
      <c r="B44" s="1207"/>
      <c r="C44" s="1208"/>
      <c r="D44" s="1208"/>
      <c r="E44" s="1208"/>
      <c r="F44" s="1208"/>
      <c r="G44" s="1209"/>
      <c r="H44" s="1210"/>
      <c r="I44" s="1211"/>
      <c r="J44" s="1211"/>
      <c r="K44" s="1209"/>
    </row>
    <row r="45" spans="1:11" s="1204" customFormat="1" ht="15.95" customHeight="1" x14ac:dyDescent="0.2">
      <c r="A45" s="1202"/>
      <c r="B45" s="1212"/>
      <c r="C45" s="1866"/>
      <c r="D45" s="1866"/>
      <c r="E45" s="1866"/>
      <c r="F45" s="1866"/>
      <c r="G45" s="1866"/>
      <c r="H45" s="1866"/>
      <c r="I45" s="1866"/>
      <c r="J45" s="1866"/>
      <c r="K45" s="1866"/>
    </row>
    <row r="46" spans="1:11" s="1204" customFormat="1" ht="15.95" customHeight="1" x14ac:dyDescent="0.2">
      <c r="A46" s="1202"/>
      <c r="B46" s="1212"/>
      <c r="C46" s="1866"/>
      <c r="D46" s="1866"/>
      <c r="E46" s="1866"/>
      <c r="F46" s="1866"/>
      <c r="G46" s="1866"/>
      <c r="H46" s="1866"/>
      <c r="I46" s="1866"/>
      <c r="J46" s="1866"/>
      <c r="K46" s="1866"/>
    </row>
    <row r="47" spans="1:11" s="1204" customFormat="1" ht="12.95" customHeight="1" x14ac:dyDescent="0.2">
      <c r="A47" s="1202"/>
      <c r="B47" s="1212"/>
      <c r="C47" s="1309"/>
      <c r="D47" s="1309"/>
      <c r="E47" s="1309"/>
      <c r="F47" s="1309"/>
      <c r="G47" s="1309"/>
      <c r="H47" s="1309"/>
      <c r="I47" s="1309"/>
      <c r="J47" s="1309"/>
      <c r="K47" s="1309"/>
    </row>
    <row r="48" spans="1:11" s="1204" customFormat="1" ht="24.95" customHeight="1" x14ac:dyDescent="0.2">
      <c r="A48" s="1202"/>
      <c r="B48" s="1202"/>
      <c r="C48" s="1865"/>
      <c r="D48" s="1865"/>
      <c r="E48" s="1865"/>
      <c r="F48" s="1865"/>
      <c r="G48" s="1865"/>
      <c r="H48" s="1865"/>
      <c r="I48" s="1865"/>
      <c r="J48" s="1865"/>
      <c r="K48" s="1865"/>
    </row>
    <row r="49" spans="1:12" s="1204" customFormat="1" ht="12.95" customHeight="1" x14ac:dyDescent="0.2">
      <c r="A49" s="1202"/>
      <c r="B49" s="1202"/>
      <c r="C49" s="1309"/>
      <c r="D49" s="1309"/>
      <c r="E49" s="1309"/>
      <c r="F49" s="1309"/>
      <c r="G49" s="1309"/>
      <c r="H49" s="1309"/>
      <c r="I49" s="1309"/>
      <c r="J49" s="1309"/>
      <c r="K49" s="1309"/>
    </row>
    <row r="50" spans="1:12" s="1204" customFormat="1" ht="24.95" customHeight="1" x14ac:dyDescent="0.2">
      <c r="A50" s="1202"/>
      <c r="B50" s="1202"/>
      <c r="C50" s="1866"/>
      <c r="D50" s="1866"/>
      <c r="E50" s="1866"/>
      <c r="F50" s="1866"/>
      <c r="G50" s="1866"/>
      <c r="H50" s="1866"/>
      <c r="I50" s="1866"/>
      <c r="J50" s="1866"/>
      <c r="K50" s="1866"/>
    </row>
    <row r="51" spans="1:12" s="1204" customFormat="1" ht="12.95" customHeight="1" x14ac:dyDescent="0.2">
      <c r="A51" s="1202"/>
      <c r="B51" s="1202"/>
      <c r="C51" s="1309"/>
      <c r="D51" s="1309"/>
      <c r="E51" s="1309"/>
      <c r="F51" s="1309"/>
      <c r="G51" s="1309"/>
      <c r="H51" s="1309"/>
      <c r="I51" s="1309"/>
      <c r="J51" s="1309"/>
      <c r="K51" s="1309"/>
    </row>
    <row r="52" spans="1:12" s="1204" customFormat="1" ht="24.95" customHeight="1" x14ac:dyDescent="0.2">
      <c r="A52" s="1202"/>
      <c r="B52" s="1202"/>
      <c r="C52" s="1866"/>
      <c r="D52" s="1866"/>
      <c r="E52" s="1866"/>
      <c r="F52" s="1866"/>
      <c r="G52" s="1866"/>
      <c r="H52" s="1866"/>
      <c r="I52" s="1866"/>
      <c r="J52" s="1866"/>
      <c r="K52" s="1866"/>
    </row>
    <row r="53" spans="1:12" s="1204" customFormat="1" ht="12.95" customHeight="1" x14ac:dyDescent="0.2">
      <c r="A53" s="1202"/>
      <c r="B53" s="1202"/>
      <c r="C53" s="1866"/>
      <c r="D53" s="1866"/>
      <c r="E53" s="1866"/>
      <c r="F53" s="1866"/>
      <c r="G53" s="1866"/>
      <c r="H53" s="1866"/>
      <c r="I53" s="1866"/>
      <c r="J53" s="1866"/>
      <c r="K53" s="1309"/>
    </row>
    <row r="54" spans="1:12" s="1204" customFormat="1" ht="24.95" customHeight="1" x14ac:dyDescent="0.2">
      <c r="A54" s="1202"/>
      <c r="C54" s="1866"/>
      <c r="D54" s="1866"/>
      <c r="E54" s="1866"/>
      <c r="F54" s="1866"/>
      <c r="G54" s="1866"/>
      <c r="H54" s="1866"/>
      <c r="I54" s="1866"/>
      <c r="J54" s="1866"/>
      <c r="K54" s="1866"/>
    </row>
    <row r="55" spans="1:12" s="1204" customFormat="1" ht="12.95" customHeight="1" x14ac:dyDescent="0.2">
      <c r="A55" s="1202"/>
      <c r="C55" s="1866"/>
      <c r="D55" s="1866"/>
      <c r="E55" s="1866"/>
      <c r="F55" s="1866"/>
      <c r="G55" s="1866"/>
      <c r="H55" s="1866"/>
      <c r="I55" s="1866"/>
      <c r="J55" s="1866"/>
      <c r="K55" s="1309"/>
    </row>
    <row r="56" spans="1:12" s="1204" customFormat="1" ht="24.95" customHeight="1" x14ac:dyDescent="0.2">
      <c r="A56" s="1202"/>
      <c r="B56" s="1202"/>
      <c r="C56" s="1866"/>
      <c r="D56" s="1866"/>
      <c r="E56" s="1866"/>
      <c r="F56" s="1866"/>
      <c r="G56" s="1866"/>
      <c r="H56" s="1866"/>
      <c r="I56" s="1866"/>
      <c r="J56" s="1866"/>
      <c r="K56" s="1866"/>
    </row>
    <row r="57" spans="1:12" s="1204" customFormat="1" ht="12.95" customHeight="1" x14ac:dyDescent="0.2">
      <c r="A57" s="1202"/>
      <c r="B57" s="1202"/>
      <c r="C57" s="1866"/>
      <c r="D57" s="1866"/>
      <c r="E57" s="1866"/>
      <c r="F57" s="1866"/>
      <c r="G57" s="1866"/>
      <c r="H57" s="1866"/>
      <c r="I57" s="1866"/>
      <c r="J57" s="1866"/>
      <c r="K57" s="1309"/>
    </row>
    <row r="58" spans="1:12" s="1204" customFormat="1" ht="24.95" customHeight="1" x14ac:dyDescent="0.2">
      <c r="A58" s="1202"/>
      <c r="B58" s="1202"/>
      <c r="C58" s="1866"/>
      <c r="D58" s="1866"/>
      <c r="E58" s="1866"/>
      <c r="F58" s="1866"/>
      <c r="G58" s="1866"/>
      <c r="H58" s="1866"/>
      <c r="I58" s="1866"/>
      <c r="J58" s="1866"/>
      <c r="K58" s="1866"/>
    </row>
    <row r="59" spans="1:12" s="1204" customFormat="1" ht="12.95" customHeight="1" x14ac:dyDescent="0.2">
      <c r="A59" s="1202"/>
      <c r="B59" s="1202"/>
      <c r="C59" s="1866"/>
      <c r="D59" s="1866"/>
      <c r="E59" s="1866"/>
      <c r="F59" s="1866"/>
      <c r="G59" s="1866"/>
      <c r="H59" s="1866"/>
      <c r="I59" s="1866"/>
      <c r="J59" s="1866"/>
      <c r="K59" s="1309"/>
    </row>
    <row r="60" spans="1:12" s="1204" customFormat="1" ht="24.95" customHeight="1" x14ac:dyDescent="0.2">
      <c r="A60" s="1202"/>
      <c r="B60" s="1202"/>
      <c r="C60" s="1876"/>
      <c r="D60" s="1876"/>
      <c r="E60" s="1876"/>
      <c r="F60" s="1876"/>
      <c r="G60" s="1214"/>
      <c r="H60" s="1215"/>
      <c r="I60" s="1215"/>
      <c r="J60" s="1215"/>
      <c r="K60" s="1215"/>
    </row>
    <row r="61" spans="1:12" s="1204" customFormat="1" ht="12.95" customHeight="1" x14ac:dyDescent="0.2">
      <c r="A61" s="1202"/>
      <c r="B61" s="1202"/>
      <c r="C61" s="1866"/>
      <c r="D61" s="1866"/>
      <c r="E61" s="1866"/>
      <c r="F61" s="1866"/>
      <c r="G61" s="1866"/>
      <c r="H61" s="1866"/>
      <c r="I61" s="1866"/>
      <c r="J61" s="1866"/>
      <c r="K61" s="1309"/>
    </row>
    <row r="62" spans="1:12" s="1204" customFormat="1" ht="24.95" customHeight="1" x14ac:dyDescent="0.2">
      <c r="A62" s="1202"/>
      <c r="B62" s="1202"/>
      <c r="C62" s="1866"/>
      <c r="D62" s="1866"/>
      <c r="E62" s="1866"/>
      <c r="F62" s="1866"/>
      <c r="G62" s="1866"/>
      <c r="H62" s="1866"/>
      <c r="I62" s="1866"/>
      <c r="J62" s="1866"/>
      <c r="K62" s="1309"/>
    </row>
    <row r="63" spans="1:12" s="1204" customFormat="1" ht="12.95" customHeight="1" x14ac:dyDescent="0.25">
      <c r="A63" s="1202"/>
      <c r="B63" s="1202"/>
      <c r="C63" s="1866"/>
      <c r="D63" s="1866"/>
      <c r="E63" s="1866"/>
      <c r="F63" s="1866"/>
      <c r="G63" s="1866"/>
      <c r="H63" s="1866"/>
      <c r="I63" s="1866"/>
      <c r="J63" s="1866"/>
      <c r="K63" s="1309"/>
      <c r="L63" s="1175"/>
    </row>
    <row r="64" spans="1:12" s="1204" customFormat="1" ht="24.95" customHeight="1" x14ac:dyDescent="0.25">
      <c r="A64" s="1202"/>
      <c r="B64" s="1202"/>
      <c r="C64" s="1865"/>
      <c r="D64" s="1865"/>
      <c r="E64" s="1865"/>
      <c r="F64" s="1865"/>
      <c r="G64" s="1865"/>
      <c r="H64" s="1865"/>
      <c r="I64" s="1309"/>
      <c r="J64" s="1309"/>
      <c r="K64" s="1309"/>
      <c r="L64" s="1175"/>
    </row>
    <row r="65" spans="1:12" s="1204" customFormat="1" ht="12.95" customHeight="1" x14ac:dyDescent="0.25">
      <c r="A65" s="1202"/>
      <c r="B65" s="1202"/>
      <c r="C65" s="1309"/>
      <c r="D65" s="1309"/>
      <c r="E65" s="1309"/>
      <c r="F65" s="1309"/>
      <c r="G65" s="1309"/>
      <c r="H65" s="1309"/>
      <c r="I65" s="1309"/>
      <c r="J65" s="1309"/>
      <c r="K65" s="1309"/>
      <c r="L65" s="1175"/>
    </row>
    <row r="66" spans="1:12" s="1204" customFormat="1" ht="24.95" customHeight="1" x14ac:dyDescent="0.25">
      <c r="A66" s="1202"/>
      <c r="B66" s="1202"/>
      <c r="C66" s="1865"/>
      <c r="D66" s="1865"/>
      <c r="E66" s="1865"/>
      <c r="F66" s="1865"/>
      <c r="G66" s="1865"/>
      <c r="H66" s="1865"/>
      <c r="I66" s="1309"/>
      <c r="J66" s="1309"/>
      <c r="K66" s="1309"/>
      <c r="L66" s="1175"/>
    </row>
    <row r="67" spans="1:12" s="1204" customFormat="1" ht="12.95" customHeight="1" x14ac:dyDescent="0.25">
      <c r="A67" s="1202"/>
      <c r="B67" s="1202"/>
      <c r="C67" s="1203"/>
      <c r="D67" s="1203"/>
      <c r="E67" s="1203"/>
      <c r="F67" s="1203"/>
      <c r="G67" s="1203"/>
      <c r="H67" s="1203"/>
      <c r="I67" s="1216"/>
      <c r="J67" s="1216"/>
      <c r="K67" s="1175"/>
      <c r="L67" s="1175"/>
    </row>
    <row r="68" spans="1:12" ht="24.95" customHeight="1" x14ac:dyDescent="0.25">
      <c r="A68" s="1202"/>
      <c r="B68" s="1202"/>
      <c r="C68" s="1203"/>
      <c r="D68" s="1203"/>
      <c r="E68" s="1203"/>
      <c r="F68" s="1203"/>
      <c r="G68" s="1203"/>
      <c r="H68" s="1203"/>
      <c r="I68" s="1216"/>
      <c r="J68" s="1216"/>
    </row>
    <row r="69" spans="1:12" ht="23.1" customHeight="1" x14ac:dyDescent="0.25">
      <c r="A69" s="1875"/>
      <c r="B69" s="1875"/>
      <c r="C69" s="1875"/>
      <c r="D69" s="1875"/>
      <c r="E69" s="1875"/>
      <c r="F69" s="1313"/>
      <c r="G69" s="1313"/>
    </row>
    <row r="70" spans="1:12" ht="15.95" customHeight="1" x14ac:dyDescent="0.25">
      <c r="A70" s="1217"/>
      <c r="B70" s="1217"/>
      <c r="C70" s="1217"/>
      <c r="D70" s="1217"/>
      <c r="E70" s="1217"/>
      <c r="F70" s="1313"/>
      <c r="G70" s="1313"/>
      <c r="H70" s="1313"/>
      <c r="I70" s="1313"/>
      <c r="J70" s="1218"/>
    </row>
    <row r="71" spans="1:12" ht="20.100000000000001" customHeight="1" x14ac:dyDescent="0.25">
      <c r="A71" s="1950"/>
      <c r="B71" s="1950"/>
      <c r="C71" s="1950"/>
      <c r="D71" s="1950"/>
      <c r="E71" s="1950"/>
      <c r="F71" s="1950"/>
      <c r="G71" s="1950"/>
      <c r="H71" s="1950"/>
      <c r="I71" s="1950"/>
      <c r="J71" s="1950"/>
      <c r="K71" s="1950"/>
    </row>
    <row r="72" spans="1:12" ht="15" customHeight="1" x14ac:dyDescent="0.25">
      <c r="A72" s="1316"/>
      <c r="B72" s="1316"/>
      <c r="C72" s="1316"/>
      <c r="D72" s="1316"/>
      <c r="E72" s="1316"/>
      <c r="F72" s="1316"/>
      <c r="G72" s="1316"/>
      <c r="H72" s="1316"/>
      <c r="I72" s="1316"/>
      <c r="J72" s="1316"/>
      <c r="K72" s="1316"/>
    </row>
    <row r="73" spans="1:12" ht="30" customHeight="1" x14ac:dyDescent="0.25">
      <c r="A73" s="1314"/>
      <c r="B73" s="1314"/>
      <c r="C73" s="1877"/>
      <c r="D73" s="1877"/>
      <c r="E73" s="1877"/>
      <c r="F73" s="1877"/>
      <c r="G73" s="1877"/>
      <c r="H73" s="1877"/>
      <c r="I73" s="1314"/>
      <c r="J73" s="1221"/>
      <c r="K73" s="1222"/>
    </row>
    <row r="74" spans="1:12" ht="30" customHeight="1" x14ac:dyDescent="0.25">
      <c r="A74" s="1314"/>
      <c r="B74" s="1223"/>
      <c r="C74" s="1331"/>
      <c r="D74" s="1315"/>
      <c r="E74" s="1331"/>
      <c r="F74" s="1315"/>
      <c r="G74" s="1331"/>
      <c r="H74" s="1315"/>
      <c r="I74" s="1877"/>
      <c r="J74" s="1877"/>
      <c r="K74" s="1222"/>
    </row>
    <row r="75" spans="1:12" ht="30" customHeight="1" x14ac:dyDescent="0.25">
      <c r="A75" s="1314"/>
      <c r="B75" s="1223"/>
      <c r="C75" s="1331"/>
      <c r="D75" s="1315"/>
      <c r="E75" s="1331"/>
      <c r="F75" s="1315"/>
      <c r="G75" s="1331"/>
      <c r="H75" s="1315"/>
      <c r="I75" s="1315"/>
      <c r="J75" s="1315"/>
      <c r="K75" s="1222"/>
    </row>
    <row r="76" spans="1:12" ht="32.1" customHeight="1" x14ac:dyDescent="0.25">
      <c r="A76" s="1313"/>
    </row>
    <row r="77" spans="1:12" ht="125.1" customHeight="1" x14ac:dyDescent="0.25">
      <c r="A77" s="1275"/>
      <c r="B77" s="1275"/>
      <c r="C77" s="1275"/>
      <c r="D77" s="1275"/>
      <c r="E77" s="1275"/>
      <c r="F77" s="1275"/>
      <c r="G77" s="1275"/>
      <c r="H77" s="1275"/>
      <c r="I77" s="1276"/>
      <c r="J77" s="1275"/>
      <c r="K77" s="1275"/>
    </row>
    <row r="78" spans="1:12" ht="35.1" customHeight="1" x14ac:dyDescent="0.25">
      <c r="A78" s="1275"/>
      <c r="B78" s="1275"/>
      <c r="C78" s="1275"/>
      <c r="D78" s="1275"/>
      <c r="E78" s="1275"/>
      <c r="F78" s="1275"/>
      <c r="G78" s="1275"/>
      <c r="H78" s="1275"/>
      <c r="I78" s="1276"/>
      <c r="J78" s="1275"/>
      <c r="K78" s="1275"/>
    </row>
    <row r="79" spans="1:12" ht="65.099999999999994" customHeight="1" x14ac:dyDescent="0.25">
      <c r="A79" s="1275"/>
      <c r="B79" s="1275"/>
      <c r="C79" s="1275"/>
      <c r="D79" s="1275"/>
      <c r="E79" s="1275"/>
      <c r="F79" s="1275"/>
      <c r="G79" s="1275"/>
      <c r="H79" s="1275"/>
      <c r="I79" s="1278" t="s">
        <v>269</v>
      </c>
      <c r="J79" s="1935">
        <f>J3</f>
        <v>0</v>
      </c>
      <c r="K79" s="1936"/>
    </row>
    <row r="80" spans="1:12" ht="24" customHeight="1" x14ac:dyDescent="0.25">
      <c r="A80" s="1933" t="s">
        <v>659</v>
      </c>
      <c r="B80" s="1933"/>
      <c r="C80" s="1933"/>
      <c r="D80" s="1933"/>
      <c r="E80" s="1933"/>
      <c r="F80" s="1933"/>
      <c r="G80" s="1189"/>
      <c r="H80" s="1188"/>
      <c r="I80" s="1188"/>
      <c r="J80" s="1188"/>
      <c r="K80" s="1188"/>
    </row>
    <row r="81" spans="1:12" ht="12" customHeight="1" x14ac:dyDescent="0.25">
      <c r="A81" s="1317"/>
      <c r="B81" s="1317"/>
      <c r="C81" s="1317"/>
      <c r="D81" s="1317"/>
      <c r="E81" s="1317"/>
      <c r="F81" s="1317"/>
      <c r="G81" s="1189"/>
      <c r="H81" s="1188"/>
      <c r="I81" s="1188"/>
      <c r="J81" s="1188"/>
      <c r="K81" s="1188"/>
    </row>
    <row r="82" spans="1:12" ht="33" customHeight="1" x14ac:dyDescent="0.25">
      <c r="A82" s="1320" t="s">
        <v>450</v>
      </c>
      <c r="B82" s="1852" t="s">
        <v>451</v>
      </c>
      <c r="C82" s="1852"/>
      <c r="D82" s="1852"/>
      <c r="E82" s="1852"/>
      <c r="F82" s="1852"/>
      <c r="G82" s="1852"/>
      <c r="H82" s="1852"/>
      <c r="I82" s="1852"/>
      <c r="J82" s="1852"/>
      <c r="K82" s="1852"/>
    </row>
    <row r="83" spans="1:12" ht="33" customHeight="1" x14ac:dyDescent="0.25">
      <c r="A83" s="1320" t="s">
        <v>450</v>
      </c>
      <c r="B83" s="1852" t="s">
        <v>452</v>
      </c>
      <c r="C83" s="1852"/>
      <c r="D83" s="1852"/>
      <c r="E83" s="1852"/>
      <c r="F83" s="1852"/>
      <c r="G83" s="1852"/>
      <c r="H83" s="1852"/>
      <c r="I83" s="1852"/>
      <c r="J83" s="1852"/>
      <c r="K83" s="1852"/>
    </row>
    <row r="84" spans="1:12" ht="33" customHeight="1" x14ac:dyDescent="0.25">
      <c r="A84" s="1320" t="s">
        <v>450</v>
      </c>
      <c r="B84" s="1852" t="s">
        <v>453</v>
      </c>
      <c r="C84" s="1852"/>
      <c r="D84" s="1852"/>
      <c r="E84" s="1852"/>
      <c r="F84" s="1852"/>
      <c r="G84" s="1852"/>
      <c r="H84" s="1852"/>
      <c r="I84" s="1852"/>
      <c r="J84" s="1852"/>
      <c r="K84" s="1852"/>
    </row>
    <row r="85" spans="1:12" s="1295" customFormat="1" ht="23.1" customHeight="1" x14ac:dyDescent="0.25">
      <c r="A85" s="1320" t="s">
        <v>450</v>
      </c>
      <c r="B85" s="1852" t="s">
        <v>454</v>
      </c>
      <c r="C85" s="1852"/>
      <c r="D85" s="1852"/>
      <c r="E85" s="1852"/>
      <c r="F85" s="1852"/>
      <c r="G85" s="1852"/>
      <c r="H85" s="1852"/>
      <c r="I85" s="1852"/>
      <c r="J85" s="1852"/>
      <c r="K85" s="1852"/>
    </row>
    <row r="86" spans="1:12" s="1295" customFormat="1" ht="23.1" customHeight="1" x14ac:dyDescent="0.25">
      <c r="A86" s="1320" t="s">
        <v>450</v>
      </c>
      <c r="B86" s="1852" t="s">
        <v>610</v>
      </c>
      <c r="C86" s="1852"/>
      <c r="D86" s="1852"/>
      <c r="E86" s="1852"/>
      <c r="F86" s="1852"/>
      <c r="G86" s="1852"/>
      <c r="H86" s="1852"/>
      <c r="I86" s="1852"/>
      <c r="J86" s="1852"/>
      <c r="K86" s="1852"/>
    </row>
    <row r="87" spans="1:12" s="1295" customFormat="1" ht="23.1" customHeight="1" x14ac:dyDescent="0.25">
      <c r="A87" s="1320" t="s">
        <v>450</v>
      </c>
      <c r="B87" s="1852" t="s">
        <v>455</v>
      </c>
      <c r="C87" s="1852"/>
      <c r="D87" s="1852"/>
      <c r="E87" s="1852"/>
      <c r="F87" s="1852"/>
      <c r="G87" s="1852"/>
      <c r="H87" s="1852"/>
      <c r="I87" s="1852"/>
      <c r="J87" s="1852"/>
      <c r="K87" s="1852"/>
    </row>
    <row r="88" spans="1:12" ht="23.1" customHeight="1" x14ac:dyDescent="0.25">
      <c r="A88" s="1320" t="s">
        <v>450</v>
      </c>
      <c r="B88" s="1852" t="s">
        <v>651</v>
      </c>
      <c r="C88" s="1852"/>
      <c r="D88" s="1852"/>
      <c r="E88" s="1852"/>
      <c r="F88" s="1852"/>
      <c r="G88" s="1852"/>
      <c r="H88" s="1852"/>
      <c r="I88" s="1852"/>
      <c r="J88" s="1852"/>
      <c r="K88" s="1852"/>
    </row>
    <row r="89" spans="1:12" s="1295" customFormat="1" ht="23.1" customHeight="1" x14ac:dyDescent="0.25">
      <c r="A89" s="1320" t="s">
        <v>450</v>
      </c>
      <c r="B89" s="1852" t="s">
        <v>456</v>
      </c>
      <c r="C89" s="1852"/>
      <c r="D89" s="1852"/>
      <c r="E89" s="1852"/>
      <c r="F89" s="1852"/>
      <c r="G89" s="1852"/>
      <c r="H89" s="1852"/>
      <c r="I89" s="1852"/>
      <c r="J89" s="1852"/>
      <c r="K89" s="1852"/>
      <c r="L89" s="1296"/>
    </row>
    <row r="90" spans="1:12" s="1295" customFormat="1" ht="23.1" customHeight="1" x14ac:dyDescent="0.25">
      <c r="A90" s="1320" t="s">
        <v>457</v>
      </c>
      <c r="B90" s="1940" t="s">
        <v>458</v>
      </c>
      <c r="C90" s="1940"/>
      <c r="D90" s="1940"/>
      <c r="E90" s="1940"/>
      <c r="F90" s="1940"/>
      <c r="G90" s="1940"/>
      <c r="H90" s="1940"/>
      <c r="I90" s="1940"/>
      <c r="J90" s="1940"/>
      <c r="K90" s="1940"/>
      <c r="L90" s="1296"/>
    </row>
    <row r="91" spans="1:12" ht="23.1" customHeight="1" x14ac:dyDescent="0.25">
      <c r="A91" s="1320" t="s">
        <v>457</v>
      </c>
      <c r="B91" s="1852" t="s">
        <v>501</v>
      </c>
      <c r="C91" s="1852"/>
      <c r="D91" s="1852"/>
      <c r="E91" s="1852"/>
      <c r="F91" s="1852"/>
      <c r="G91" s="1852"/>
      <c r="H91" s="1852"/>
      <c r="I91" s="1852"/>
      <c r="J91" s="1852"/>
      <c r="K91" s="1852"/>
      <c r="L91" s="1297"/>
    </row>
    <row r="92" spans="1:12" ht="23.1" customHeight="1" x14ac:dyDescent="0.25">
      <c r="A92" s="1321" t="s">
        <v>450</v>
      </c>
      <c r="B92" s="1852" t="s">
        <v>459</v>
      </c>
      <c r="C92" s="1852"/>
      <c r="D92" s="1852"/>
      <c r="E92" s="1852"/>
      <c r="F92" s="1852"/>
      <c r="G92" s="1852"/>
      <c r="H92" s="1852"/>
      <c r="I92" s="1852"/>
      <c r="J92" s="1852"/>
      <c r="K92" s="1852"/>
      <c r="L92" s="1299"/>
    </row>
    <row r="93" spans="1:12" ht="33" customHeight="1" x14ac:dyDescent="0.25">
      <c r="A93" s="1320" t="s">
        <v>450</v>
      </c>
      <c r="B93" s="1852" t="s">
        <v>460</v>
      </c>
      <c r="C93" s="1852"/>
      <c r="D93" s="1852"/>
      <c r="E93" s="1852"/>
      <c r="F93" s="1852"/>
      <c r="G93" s="1852"/>
      <c r="H93" s="1852"/>
      <c r="I93" s="1852"/>
      <c r="J93" s="1852"/>
      <c r="K93" s="1852"/>
    </row>
    <row r="94" spans="1:12" ht="23.1" customHeight="1" x14ac:dyDescent="0.25">
      <c r="A94" s="1320" t="s">
        <v>450</v>
      </c>
      <c r="B94" s="1852" t="s">
        <v>461</v>
      </c>
      <c r="C94" s="1852"/>
      <c r="D94" s="1852"/>
      <c r="E94" s="1852"/>
      <c r="F94" s="1852"/>
      <c r="G94" s="1852"/>
      <c r="H94" s="1852"/>
      <c r="I94" s="1852"/>
      <c r="J94" s="1852"/>
      <c r="K94" s="1852"/>
    </row>
    <row r="95" spans="1:12" ht="23.1" customHeight="1" x14ac:dyDescent="0.25">
      <c r="A95" s="1320" t="s">
        <v>450</v>
      </c>
      <c r="B95" s="1852" t="s">
        <v>462</v>
      </c>
      <c r="C95" s="1852"/>
      <c r="D95" s="1852"/>
      <c r="E95" s="1852"/>
      <c r="F95" s="1852"/>
      <c r="G95" s="1852"/>
      <c r="H95" s="1852"/>
      <c r="I95" s="1852"/>
      <c r="J95" s="1852"/>
      <c r="K95" s="1852"/>
    </row>
    <row r="96" spans="1:12" ht="23.1" customHeight="1" x14ac:dyDescent="0.25">
      <c r="A96" s="1320" t="s">
        <v>450</v>
      </c>
      <c r="B96" s="1852" t="s">
        <v>500</v>
      </c>
      <c r="C96" s="1852"/>
      <c r="D96" s="1852"/>
      <c r="E96" s="1852"/>
      <c r="F96" s="1852"/>
      <c r="G96" s="1852"/>
      <c r="H96" s="1852"/>
      <c r="I96" s="1852"/>
      <c r="J96" s="1852"/>
      <c r="K96" s="1852"/>
    </row>
    <row r="97" spans="1:11" ht="23.1" customHeight="1" x14ac:dyDescent="0.25">
      <c r="A97" s="1320" t="s">
        <v>450</v>
      </c>
      <c r="B97" s="1852" t="s">
        <v>463</v>
      </c>
      <c r="C97" s="1852"/>
      <c r="D97" s="1852"/>
      <c r="E97" s="1852"/>
      <c r="F97" s="1852"/>
      <c r="G97" s="1852"/>
      <c r="H97" s="1852"/>
      <c r="I97" s="1852"/>
      <c r="J97" s="1852"/>
      <c r="K97" s="1852"/>
    </row>
    <row r="98" spans="1:11" ht="23.1" customHeight="1" x14ac:dyDescent="0.25">
      <c r="A98" s="1320" t="s">
        <v>450</v>
      </c>
      <c r="B98" s="1852" t="s">
        <v>499</v>
      </c>
      <c r="C98" s="1852"/>
      <c r="D98" s="1852"/>
      <c r="E98" s="1852"/>
      <c r="F98" s="1852"/>
      <c r="G98" s="1852"/>
      <c r="H98" s="1852"/>
      <c r="I98" s="1852"/>
      <c r="J98" s="1852"/>
      <c r="K98" s="1852"/>
    </row>
    <row r="99" spans="1:11" ht="23.1" customHeight="1" x14ac:dyDescent="0.25">
      <c r="A99" s="1320" t="s">
        <v>457</v>
      </c>
      <c r="B99" s="1852" t="s">
        <v>498</v>
      </c>
      <c r="C99" s="1852"/>
      <c r="D99" s="1852"/>
      <c r="E99" s="1852"/>
      <c r="F99" s="1852"/>
      <c r="G99" s="1852"/>
      <c r="H99" s="1852"/>
      <c r="I99" s="1852"/>
      <c r="J99" s="1852"/>
      <c r="K99" s="1852"/>
    </row>
    <row r="100" spans="1:11" ht="15" customHeight="1" x14ac:dyDescent="0.25">
      <c r="E100" s="1188"/>
      <c r="F100" s="1188"/>
      <c r="G100" s="1188"/>
      <c r="H100" s="1188"/>
      <c r="I100" s="1188"/>
      <c r="J100" s="1188"/>
      <c r="K100" s="1188"/>
    </row>
    <row r="101" spans="1:11" ht="15" customHeight="1" x14ac:dyDescent="0.25">
      <c r="A101" s="1942" t="s">
        <v>31</v>
      </c>
      <c r="B101" s="1942"/>
      <c r="C101" s="1942"/>
      <c r="D101" s="1942"/>
      <c r="E101" s="1188"/>
      <c r="F101" s="1188"/>
      <c r="G101" s="1188"/>
      <c r="H101" s="1188"/>
      <c r="I101" s="1188"/>
      <c r="J101" s="1188"/>
      <c r="K101" s="1188"/>
    </row>
    <row r="102" spans="1:11" ht="15" customHeight="1" x14ac:dyDescent="0.25">
      <c r="A102" s="1318"/>
      <c r="B102" s="1318"/>
      <c r="C102" s="1318"/>
      <c r="D102" s="1318"/>
      <c r="E102" s="1188"/>
      <c r="F102" s="1188"/>
      <c r="G102" s="1188"/>
      <c r="H102" s="1188"/>
      <c r="I102" s="1188"/>
      <c r="J102" s="1188"/>
      <c r="K102" s="1188"/>
    </row>
    <row r="103" spans="1:11" ht="15" customHeight="1" x14ac:dyDescent="0.25">
      <c r="A103" s="1188"/>
      <c r="B103" s="1188"/>
      <c r="C103" s="1188"/>
      <c r="D103" s="1188"/>
      <c r="E103" s="1188"/>
      <c r="F103" s="1188"/>
      <c r="G103" s="1188"/>
      <c r="H103" s="1188"/>
      <c r="I103" s="1188"/>
      <c r="J103" s="1188"/>
      <c r="K103" s="1188"/>
    </row>
    <row r="104" spans="1:11" ht="15" customHeight="1" x14ac:dyDescent="0.25">
      <c r="A104" s="1188"/>
      <c r="B104" s="1188"/>
      <c r="C104" s="1188"/>
      <c r="D104" s="1188"/>
      <c r="E104" s="1188"/>
      <c r="F104" s="1188"/>
      <c r="G104" s="1188"/>
      <c r="H104" s="1188"/>
      <c r="I104" s="1188"/>
      <c r="J104" s="1188"/>
      <c r="K104" s="1188"/>
    </row>
    <row r="105" spans="1:11" ht="15" customHeight="1" x14ac:dyDescent="0.25">
      <c r="A105" s="1301"/>
      <c r="B105" s="1943"/>
      <c r="C105" s="1943"/>
      <c r="D105" s="1943"/>
      <c r="E105" s="1943"/>
      <c r="F105" s="1194"/>
      <c r="G105" s="1943"/>
      <c r="H105" s="1943"/>
      <c r="I105" s="1943"/>
      <c r="J105" s="1943"/>
      <c r="K105" s="1301"/>
    </row>
    <row r="106" spans="1:11" ht="15" customHeight="1" x14ac:dyDescent="0.25">
      <c r="A106" s="1188"/>
      <c r="B106" s="1949" t="s">
        <v>657</v>
      </c>
      <c r="C106" s="1949"/>
      <c r="D106" s="1949"/>
      <c r="E106" s="1949"/>
      <c r="F106" s="1194"/>
      <c r="G106" s="1949" t="s">
        <v>658</v>
      </c>
      <c r="H106" s="1949"/>
      <c r="I106" s="1949"/>
      <c r="J106" s="1949"/>
      <c r="K106" s="1188"/>
    </row>
    <row r="107" spans="1:11" ht="21" customHeight="1" x14ac:dyDescent="0.25">
      <c r="B107" s="1947" t="e">
        <f>VLOOKUP(A105,'DATOS #'!P9:S13,4,FALSE)</f>
        <v>#N/A</v>
      </c>
      <c r="C107" s="1947"/>
      <c r="D107" s="1947"/>
      <c r="E107" s="1947"/>
      <c r="F107" s="1332"/>
      <c r="G107" s="1945" t="e">
        <f>VLOOKUP(K105,'DATOS #'!P9:U13,6,FALSE)</f>
        <v>#N/A</v>
      </c>
      <c r="H107" s="1945"/>
      <c r="I107" s="1945"/>
      <c r="J107" s="1945"/>
      <c r="K107" s="1302"/>
    </row>
    <row r="108" spans="1:11" ht="15" customHeight="1" x14ac:dyDescent="0.25">
      <c r="A108" s="1188"/>
      <c r="B108" s="1942" t="e">
        <f>VLOOKUP(A105,'DATOS #'!P9:S13,2,FALSE)</f>
        <v>#N/A</v>
      </c>
      <c r="C108" s="1942"/>
      <c r="D108" s="1942"/>
      <c r="E108" s="1942"/>
      <c r="F108" s="1303"/>
      <c r="G108" s="1942" t="e">
        <f>VLOOKUP(K105,'DATOS #'!P9:U13,2,FALSE)</f>
        <v>#N/A</v>
      </c>
      <c r="H108" s="1942"/>
      <c r="I108" s="1942"/>
      <c r="J108" s="1942"/>
      <c r="K108" s="1303"/>
    </row>
    <row r="109" spans="1:11" ht="15" customHeight="1" x14ac:dyDescent="0.25">
      <c r="D109" s="1188"/>
      <c r="E109" s="1188"/>
      <c r="F109" s="1188"/>
      <c r="G109" s="1188"/>
      <c r="H109" s="1188"/>
      <c r="I109" s="1188"/>
      <c r="J109" s="1188"/>
      <c r="K109" s="1188"/>
    </row>
    <row r="110" spans="1:11" ht="15" customHeight="1" x14ac:dyDescent="0.25">
      <c r="A110" s="1188"/>
      <c r="B110" s="1941" t="s">
        <v>377</v>
      </c>
      <c r="C110" s="1941"/>
      <c r="D110" s="1304"/>
      <c r="E110" s="1305"/>
      <c r="F110" s="1305"/>
      <c r="G110" s="1946" t="s">
        <v>448</v>
      </c>
      <c r="H110" s="1946"/>
      <c r="I110" s="682"/>
      <c r="J110" s="1302"/>
      <c r="K110" s="682"/>
    </row>
    <row r="111" spans="1:11" ht="15" customHeight="1" x14ac:dyDescent="0.25">
      <c r="A111" s="1188"/>
      <c r="J111" s="1188"/>
      <c r="K111" s="1188"/>
    </row>
    <row r="112" spans="1:11" ht="15.75" customHeight="1" x14ac:dyDescent="0.25">
      <c r="A112" s="1851" t="s">
        <v>210</v>
      </c>
      <c r="B112" s="1851"/>
      <c r="C112" s="1851"/>
      <c r="D112" s="1851"/>
      <c r="E112" s="1851"/>
      <c r="F112" s="1851"/>
      <c r="G112" s="1851"/>
      <c r="H112" s="1851"/>
      <c r="I112" s="1851"/>
      <c r="J112" s="1851"/>
      <c r="K112" s="1851"/>
    </row>
  </sheetData>
  <sheetProtection password="CF5C" sheet="1" objects="1" scenarios="1"/>
  <mergeCells count="100">
    <mergeCell ref="A7:B7"/>
    <mergeCell ref="D7:K7"/>
    <mergeCell ref="A1:K1"/>
    <mergeCell ref="J3:K3"/>
    <mergeCell ref="A4:D4"/>
    <mergeCell ref="A6:B6"/>
    <mergeCell ref="D6:K6"/>
    <mergeCell ref="A15:D15"/>
    <mergeCell ref="E15:H15"/>
    <mergeCell ref="A8:B8"/>
    <mergeCell ref="D8:K8"/>
    <mergeCell ref="A10:D10"/>
    <mergeCell ref="E10:F10"/>
    <mergeCell ref="H10:I10"/>
    <mergeCell ref="J10:K10"/>
    <mergeCell ref="A11:B11"/>
    <mergeCell ref="D11:F11"/>
    <mergeCell ref="A12:J12"/>
    <mergeCell ref="A14:D14"/>
    <mergeCell ref="E14:H14"/>
    <mergeCell ref="A16:D16"/>
    <mergeCell ref="E16:H16"/>
    <mergeCell ref="A17:D17"/>
    <mergeCell ref="E17:H17"/>
    <mergeCell ref="A18:D18"/>
    <mergeCell ref="E18:H18"/>
    <mergeCell ref="A27:D27"/>
    <mergeCell ref="E27:F27"/>
    <mergeCell ref="A19:D19"/>
    <mergeCell ref="S19:W19"/>
    <mergeCell ref="A20:D20"/>
    <mergeCell ref="A21:D21"/>
    <mergeCell ref="E21:H21"/>
    <mergeCell ref="S21:U21"/>
    <mergeCell ref="W21:Y21"/>
    <mergeCell ref="A22:D22"/>
    <mergeCell ref="E22:H22"/>
    <mergeCell ref="A23:K23"/>
    <mergeCell ref="A25:K25"/>
    <mergeCell ref="A26:K26"/>
    <mergeCell ref="C55:J55"/>
    <mergeCell ref="A29:H29"/>
    <mergeCell ref="A31:K32"/>
    <mergeCell ref="J36:K36"/>
    <mergeCell ref="A41:B41"/>
    <mergeCell ref="C43:K43"/>
    <mergeCell ref="C45:K46"/>
    <mergeCell ref="C48:K48"/>
    <mergeCell ref="C50:K50"/>
    <mergeCell ref="C52:K52"/>
    <mergeCell ref="C53:J53"/>
    <mergeCell ref="C54:K54"/>
    <mergeCell ref="A71:K71"/>
    <mergeCell ref="C56:K56"/>
    <mergeCell ref="C57:J57"/>
    <mergeCell ref="C58:K58"/>
    <mergeCell ref="C59:J59"/>
    <mergeCell ref="C60:F60"/>
    <mergeCell ref="C61:J61"/>
    <mergeCell ref="C62:J62"/>
    <mergeCell ref="C63:J63"/>
    <mergeCell ref="C64:H64"/>
    <mergeCell ref="C66:H66"/>
    <mergeCell ref="A69:E69"/>
    <mergeCell ref="J79:K79"/>
    <mergeCell ref="C73:D73"/>
    <mergeCell ref="E73:F73"/>
    <mergeCell ref="G73:H73"/>
    <mergeCell ref="I74:J74"/>
    <mergeCell ref="B91:K91"/>
    <mergeCell ref="A80:F80"/>
    <mergeCell ref="B82:K82"/>
    <mergeCell ref="B83:K83"/>
    <mergeCell ref="B84:K84"/>
    <mergeCell ref="B85:K85"/>
    <mergeCell ref="B86:K86"/>
    <mergeCell ref="B87:K87"/>
    <mergeCell ref="B88:K88"/>
    <mergeCell ref="B89:K89"/>
    <mergeCell ref="B90:K90"/>
    <mergeCell ref="B106:E106"/>
    <mergeCell ref="G106:J106"/>
    <mergeCell ref="B92:K92"/>
    <mergeCell ref="B93:K93"/>
    <mergeCell ref="B94:K94"/>
    <mergeCell ref="B95:K95"/>
    <mergeCell ref="B96:K96"/>
    <mergeCell ref="B97:K97"/>
    <mergeCell ref="B98:K98"/>
    <mergeCell ref="B99:K99"/>
    <mergeCell ref="A101:D101"/>
    <mergeCell ref="B105:E105"/>
    <mergeCell ref="G105:J105"/>
    <mergeCell ref="A112:K112"/>
    <mergeCell ref="B107:E107"/>
    <mergeCell ref="B108:E108"/>
    <mergeCell ref="G107:J107"/>
    <mergeCell ref="G108:J108"/>
    <mergeCell ref="B110:C110"/>
    <mergeCell ref="G110:H110"/>
  </mergeCells>
  <printOptions horizontalCentered="1"/>
  <pageMargins left="0.23622047244094491" right="0.23622047244094491" top="0.74803149606299213" bottom="0.74803149606299213" header="0.31496062992125984" footer="0.31496062992125984"/>
  <pageSetup scale="63" orientation="portrait" r:id="rId1"/>
  <headerFooter>
    <oddHeader xml:space="preserve">&amp;C
INFORME DE RECIPIENTES VOLUMÉTRICOS NO APTOS
</oddHeader>
    <oddFooter xml:space="preserve">&amp;RRT03-F17 Vr.4 (2022-02-28)
&amp;P de 4 </oddFooter>
  </headerFooter>
  <rowBreaks count="2" manualBreakCount="2">
    <brk id="33" max="10" man="1"/>
    <brk id="76" max="10" man="1"/>
  </rowBreaks>
  <colBreaks count="1" manualBreakCount="1">
    <brk id="11"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'DATOS #'!$P$9:$P$13</xm:f>
          </x14:formula1>
          <xm:sqref>K105 A105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66CC"/>
  </sheetPr>
  <dimension ref="A1:CL127"/>
  <sheetViews>
    <sheetView showGridLines="0" view="pageBreakPreview" zoomScale="50" zoomScaleNormal="40" zoomScaleSheetLayoutView="50" workbookViewId="0">
      <selection activeCell="M17" sqref="M17"/>
    </sheetView>
  </sheetViews>
  <sheetFormatPr baseColWidth="10" defaultColWidth="11.42578125" defaultRowHeight="15" x14ac:dyDescent="0.2"/>
  <cols>
    <col min="1" max="1" width="20.7109375" style="5" customWidth="1"/>
    <col min="2" max="2" width="18" style="5" customWidth="1"/>
    <col min="3" max="3" width="17.140625" style="5" customWidth="1"/>
    <col min="4" max="4" width="16.7109375" style="5" customWidth="1"/>
    <col min="5" max="5" width="17.28515625" style="5" customWidth="1"/>
    <col min="6" max="6" width="11.5703125" style="5" customWidth="1"/>
    <col min="7" max="7" width="14.42578125" style="5" customWidth="1"/>
    <col min="8" max="8" width="17.5703125" style="5" customWidth="1"/>
    <col min="9" max="9" width="16.140625" style="5" customWidth="1"/>
    <col min="10" max="10" width="15.7109375" style="5" customWidth="1"/>
    <col min="11" max="11" width="13.42578125" style="5" customWidth="1"/>
    <col min="12" max="12" width="16.42578125" style="5" customWidth="1"/>
    <col min="13" max="13" width="17.140625" style="5" customWidth="1"/>
    <col min="14" max="14" width="17.85546875" style="5" customWidth="1"/>
    <col min="15" max="15" width="21" style="5" customWidth="1"/>
    <col min="16" max="16" width="16.42578125" style="5" customWidth="1"/>
    <col min="17" max="17" width="15.5703125" style="5" customWidth="1"/>
    <col min="18" max="18" width="17.42578125" style="5" customWidth="1"/>
    <col min="19" max="19" width="11.42578125" style="5"/>
    <col min="20" max="20" width="17.42578125" style="5" bestFit="1" customWidth="1"/>
    <col min="21" max="21" width="12.28515625" style="5" bestFit="1" customWidth="1"/>
    <col min="22" max="24" width="11.42578125" style="5"/>
    <col min="25" max="25" width="11.7109375" style="5" customWidth="1"/>
    <col min="26" max="16384" width="11.42578125" style="5"/>
  </cols>
  <sheetData>
    <row r="1" spans="1:19" s="20" customFormat="1" ht="75" customHeight="1" thickBot="1" x14ac:dyDescent="0.3">
      <c r="A1" s="1636"/>
      <c r="B1" s="1637"/>
      <c r="C1" s="1638"/>
      <c r="D1" s="1625" t="s">
        <v>277</v>
      </c>
      <c r="E1" s="1626"/>
      <c r="F1" s="1626"/>
      <c r="G1" s="1626"/>
      <c r="H1" s="1626"/>
      <c r="I1" s="1626"/>
      <c r="J1" s="1626"/>
      <c r="K1" s="1626"/>
      <c r="L1" s="1626"/>
      <c r="M1" s="1626"/>
      <c r="N1" s="1626"/>
      <c r="O1" s="1626"/>
      <c r="P1" s="1626"/>
      <c r="Q1" s="1626"/>
      <c r="R1" s="1627"/>
      <c r="S1" s="231"/>
    </row>
    <row r="2" spans="1:19" s="235" customFormat="1" ht="5.0999999999999996" customHeight="1" thickBot="1" x14ac:dyDescent="0.3">
      <c r="A2" s="232"/>
      <c r="B2" s="232"/>
      <c r="C2" s="233"/>
      <c r="D2" s="234"/>
      <c r="E2" s="234"/>
      <c r="F2" s="234"/>
      <c r="G2" s="234"/>
      <c r="H2" s="234"/>
      <c r="I2" s="234"/>
      <c r="J2" s="234"/>
      <c r="K2" s="234"/>
      <c r="L2" s="234"/>
      <c r="M2" s="234"/>
      <c r="N2" s="234"/>
      <c r="O2" s="234"/>
      <c r="P2" s="234"/>
      <c r="Q2" s="234"/>
      <c r="R2" s="234"/>
    </row>
    <row r="3" spans="1:19" s="23" customFormat="1" ht="31.5" customHeight="1" thickBot="1" x14ac:dyDescent="0.3">
      <c r="A3" s="236" t="s">
        <v>44</v>
      </c>
      <c r="B3" s="1166" t="e">
        <f>VLOOKUP($S3,'DATOS #'!$D$7:$N$19,2,FALSE)</f>
        <v>#N/A</v>
      </c>
      <c r="C3" s="237" t="s">
        <v>157</v>
      </c>
      <c r="D3" s="1628" t="e">
        <f>VLOOKUP($S$3,'DATOS #'!$D$7:$N$19,3,FALSE)</f>
        <v>#N/A</v>
      </c>
      <c r="E3" s="1629"/>
      <c r="F3" s="237" t="s">
        <v>275</v>
      </c>
      <c r="G3" s="1630" t="e">
        <f>VLOOKUP($S$3,'DATOS #'!$D$7:$N$19,7,FALSE)</f>
        <v>#N/A</v>
      </c>
      <c r="H3" s="1630"/>
      <c r="I3" s="237" t="s">
        <v>158</v>
      </c>
      <c r="J3" s="1630" t="e">
        <f>VLOOKUP($S$3,'DATOS #'!$D$7:$N$19,4,FALSE)</f>
        <v>#N/A</v>
      </c>
      <c r="K3" s="1630"/>
      <c r="L3" s="237" t="s">
        <v>26</v>
      </c>
      <c r="M3" s="1628" t="e">
        <f>VLOOKUP($S$3,'DATOS #'!$D$7:$N$19,6,FALSE)</f>
        <v>#N/A</v>
      </c>
      <c r="N3" s="1629"/>
      <c r="O3" s="591" t="s">
        <v>269</v>
      </c>
      <c r="P3" s="1630" t="e">
        <f>VLOOKUP($S$3,'DATOS #'!$D$7:$N$19,11,FALSE)</f>
        <v>#N/A</v>
      </c>
      <c r="Q3" s="1630"/>
      <c r="R3" s="1631"/>
      <c r="S3" s="238"/>
    </row>
    <row r="4" spans="1:19" s="23" customFormat="1" ht="5.0999999999999996" customHeight="1" thickBot="1" x14ac:dyDescent="0.3"/>
    <row r="5" spans="1:19" s="23" customFormat="1" ht="30" customHeight="1" thickBot="1" x14ac:dyDescent="0.3">
      <c r="A5" s="1641" t="s">
        <v>595</v>
      </c>
      <c r="B5" s="1642"/>
      <c r="C5" s="1642"/>
      <c r="D5" s="1642"/>
      <c r="E5" s="1642"/>
      <c r="F5" s="1642"/>
      <c r="G5" s="1642"/>
      <c r="H5" s="1642"/>
      <c r="I5" s="1642"/>
      <c r="J5" s="1642"/>
      <c r="K5" s="1642"/>
      <c r="L5" s="1642"/>
      <c r="M5" s="1642"/>
      <c r="N5" s="1642"/>
      <c r="O5" s="1642"/>
      <c r="P5" s="1642"/>
      <c r="Q5" s="1642"/>
      <c r="R5" s="1643"/>
    </row>
    <row r="6" spans="1:19" s="20" customFormat="1" ht="67.5" customHeight="1" thickBot="1" x14ac:dyDescent="0.3">
      <c r="A6" s="239" t="s">
        <v>14</v>
      </c>
      <c r="B6" s="225" t="s">
        <v>149</v>
      </c>
      <c r="C6" s="240" t="s">
        <v>397</v>
      </c>
      <c r="D6" s="240" t="s">
        <v>53</v>
      </c>
      <c r="E6" s="240" t="s">
        <v>148</v>
      </c>
      <c r="F6" s="240" t="s">
        <v>53</v>
      </c>
      <c r="G6" s="240" t="s">
        <v>178</v>
      </c>
      <c r="H6" s="240" t="s">
        <v>53</v>
      </c>
      <c r="I6" s="240" t="s">
        <v>146</v>
      </c>
      <c r="J6" s="240" t="s">
        <v>53</v>
      </c>
      <c r="K6" s="570" t="s">
        <v>420</v>
      </c>
      <c r="L6" s="240" t="s">
        <v>53</v>
      </c>
      <c r="M6" s="240" t="s">
        <v>276</v>
      </c>
      <c r="N6" s="240" t="s">
        <v>53</v>
      </c>
      <c r="O6" s="240" t="s">
        <v>179</v>
      </c>
      <c r="P6" s="240" t="s">
        <v>147</v>
      </c>
      <c r="Q6" s="1644" t="s">
        <v>163</v>
      </c>
      <c r="R6" s="1645"/>
    </row>
    <row r="7" spans="1:19" s="20" customFormat="1" ht="29.25" customHeight="1" thickBot="1" x14ac:dyDescent="0.3">
      <c r="A7" s="241" t="s">
        <v>1</v>
      </c>
      <c r="B7" s="242" t="e">
        <f>VLOOKUP(S7,'DATOS #'!C31:O33,3,FALSE)</f>
        <v>#N/A</v>
      </c>
      <c r="C7" s="243" t="e">
        <f>VLOOKUP(S7,'DATOS #'!C31:O33,4,FALSE)</f>
        <v>#N/A</v>
      </c>
      <c r="D7" s="244" t="s">
        <v>4</v>
      </c>
      <c r="E7" s="245" t="e">
        <f>VLOOKUP(S7,'DATOS #'!C31:O33,5,FALSE)</f>
        <v>#N/A</v>
      </c>
      <c r="F7" s="244" t="s">
        <v>4</v>
      </c>
      <c r="G7" s="243" t="e">
        <f>VLOOKUP(S7,'DATOS #'!C31:O33,6,FALSE)</f>
        <v>#N/A</v>
      </c>
      <c r="H7" s="244" t="s">
        <v>54</v>
      </c>
      <c r="I7" s="246" t="e">
        <f>VLOOKUP(S7,'DATOS #'!C31:O33,7,FALSE)</f>
        <v>#N/A</v>
      </c>
      <c r="J7" s="244" t="s">
        <v>4</v>
      </c>
      <c r="K7" s="571" t="e">
        <f>VLOOKUP(S7,'DATOS #'!C31:O33,13,FALSE)</f>
        <v>#N/A</v>
      </c>
      <c r="L7" s="244" t="s">
        <v>4</v>
      </c>
      <c r="M7" s="247" t="e">
        <f>SQRT((I7/2)^2+(K7/SQRT(12))^2)</f>
        <v>#N/A</v>
      </c>
      <c r="N7" s="244" t="s">
        <v>4</v>
      </c>
      <c r="O7" s="245" t="e">
        <f>VLOOKUP(S7,'DATOS #'!C31:O33,8,FALSE)</f>
        <v>#N/A</v>
      </c>
      <c r="P7" s="248" t="e">
        <f>VLOOKUP(S7,'DATOS #'!C31:O33,9,FALSE)</f>
        <v>#N/A</v>
      </c>
      <c r="Q7" s="249"/>
      <c r="R7" s="250"/>
      <c r="S7" s="251"/>
    </row>
    <row r="8" spans="1:19" s="20" customFormat="1" ht="30" customHeight="1" x14ac:dyDescent="0.25">
      <c r="A8" s="1646" t="s">
        <v>55</v>
      </c>
      <c r="B8" s="252" t="e">
        <f>VLOOKUP(S8,'DATOS #'!$C$37:$R$48,3,FALSE)</f>
        <v>#N/A</v>
      </c>
      <c r="C8" s="253" t="e">
        <f>VLOOKUP(S8,'DATOS #'!$C$37:$R$49,4,FALSE)</f>
        <v>#N/A</v>
      </c>
      <c r="D8" s="254" t="s">
        <v>3</v>
      </c>
      <c r="E8" s="253" t="e">
        <f>VLOOKUP(S8,'DATOS #'!$C$37:$R$49,5,FALSE)</f>
        <v>#N/A</v>
      </c>
      <c r="F8" s="255" t="s">
        <v>3</v>
      </c>
      <c r="G8" s="253" t="e">
        <f>VLOOKUP(S8,'DATOS #'!$C$37:$R$49,6,FALSE)</f>
        <v>#N/A</v>
      </c>
      <c r="H8" s="255" t="s">
        <v>3</v>
      </c>
      <c r="I8" s="253" t="e">
        <f>VLOOKUP(S8,'DATOS #'!$C$37:$R$49,7,FALSE)</f>
        <v>#N/A</v>
      </c>
      <c r="J8" s="255" t="s">
        <v>3</v>
      </c>
      <c r="K8" s="572" t="e">
        <f>VLOOKUP(S8,'DATOS #'!$C$37:$R$49,16,FALSE)</f>
        <v>#N/A</v>
      </c>
      <c r="L8" s="255" t="s">
        <v>3</v>
      </c>
      <c r="M8" s="247" t="e">
        <f t="shared" ref="M8:M19" si="0">SQRT((I8/2)^2+(K8/SQRT(12))^2)</f>
        <v>#N/A</v>
      </c>
      <c r="N8" s="255" t="s">
        <v>3</v>
      </c>
      <c r="O8" s="256" t="e">
        <f>VLOOKUP(S8,'DATOS #'!$C$37:$R$49,8,FALSE)</f>
        <v>#N/A</v>
      </c>
      <c r="P8" s="248" t="e">
        <f>VLOOKUP(S8,'DATOS #'!$C$37:$R$49,9,FALSE)</f>
        <v>#N/A</v>
      </c>
      <c r="Q8" s="227"/>
      <c r="R8" s="92"/>
      <c r="S8" s="257"/>
    </row>
    <row r="9" spans="1:19" s="20" customFormat="1" ht="30" customHeight="1" x14ac:dyDescent="0.25">
      <c r="A9" s="1647"/>
      <c r="B9" s="252" t="e">
        <f>VLOOKUP(S9,'DATOS #'!$C$37:$R$48,3,FALSE)</f>
        <v>#N/A</v>
      </c>
      <c r="C9" s="253" t="e">
        <f>VLOOKUP(S9,'DATOS #'!$C$37:$R$49,4,FALSE)</f>
        <v>#N/A</v>
      </c>
      <c r="D9" s="254" t="s">
        <v>3</v>
      </c>
      <c r="E9" s="253" t="e">
        <f>VLOOKUP(S9,'DATOS #'!$C$37:$R$49,5,FALSE)</f>
        <v>#N/A</v>
      </c>
      <c r="F9" s="255" t="s">
        <v>3</v>
      </c>
      <c r="G9" s="253" t="e">
        <f>VLOOKUP(S9,'DATOS #'!$C$37:$R$49,6,FALSE)</f>
        <v>#N/A</v>
      </c>
      <c r="H9" s="255" t="s">
        <v>3</v>
      </c>
      <c r="I9" s="253" t="e">
        <f>VLOOKUP(S9,'DATOS #'!$C$37:$R$49,7,FALSE)</f>
        <v>#N/A</v>
      </c>
      <c r="J9" s="255" t="s">
        <v>3</v>
      </c>
      <c r="K9" s="572" t="e">
        <f>VLOOKUP(S9,'DATOS #'!$C$37:$R$49,16,FALSE)</f>
        <v>#N/A</v>
      </c>
      <c r="L9" s="255" t="s">
        <v>3</v>
      </c>
      <c r="M9" s="247" t="e">
        <f t="shared" si="0"/>
        <v>#N/A</v>
      </c>
      <c r="N9" s="255" t="s">
        <v>3</v>
      </c>
      <c r="O9" s="256" t="e">
        <f>VLOOKUP(S9,'DATOS #'!$C$37:$R$49,8,FALSE)</f>
        <v>#N/A</v>
      </c>
      <c r="P9" s="248" t="e">
        <f>VLOOKUP(S9,'DATOS #'!$C$37:$R$49,9,FALSE)</f>
        <v>#N/A</v>
      </c>
      <c r="Q9" s="258"/>
      <c r="R9" s="259"/>
      <c r="S9" s="260"/>
    </row>
    <row r="10" spans="1:19" s="20" customFormat="1" ht="30" customHeight="1" x14ac:dyDescent="0.25">
      <c r="A10" s="1647"/>
      <c r="B10" s="252" t="e">
        <f>VLOOKUP(S10,'DATOS #'!$C$37:$R$48,3,FALSE)</f>
        <v>#N/A</v>
      </c>
      <c r="C10" s="253" t="e">
        <f>VLOOKUP(S10,'DATOS #'!$C$37:$R$49,4,FALSE)</f>
        <v>#N/A</v>
      </c>
      <c r="D10" s="254" t="s">
        <v>3</v>
      </c>
      <c r="E10" s="253" t="e">
        <f>VLOOKUP(S10,'DATOS #'!$C$37:$R$49,5,FALSE)</f>
        <v>#N/A</v>
      </c>
      <c r="F10" s="255" t="s">
        <v>192</v>
      </c>
      <c r="G10" s="253" t="e">
        <f>VLOOKUP(S10,'DATOS #'!$C$37:$R$49,6,FALSE)</f>
        <v>#N/A</v>
      </c>
      <c r="H10" s="255" t="s">
        <v>3</v>
      </c>
      <c r="I10" s="261" t="e">
        <f>VLOOKUP(S10,'DATOS #'!$C$37:$R$49,7,FALSE)</f>
        <v>#N/A</v>
      </c>
      <c r="J10" s="255" t="s">
        <v>3</v>
      </c>
      <c r="K10" s="572" t="e">
        <f>VLOOKUP(S10,'DATOS #'!$C$37:$R$49,16,FALSE)</f>
        <v>#N/A</v>
      </c>
      <c r="L10" s="255" t="s">
        <v>3</v>
      </c>
      <c r="M10" s="247" t="e">
        <f t="shared" si="0"/>
        <v>#N/A</v>
      </c>
      <c r="N10" s="255" t="s">
        <v>3</v>
      </c>
      <c r="O10" s="256" t="e">
        <f>VLOOKUP(S10,'DATOS #'!$C$37:$R$49,8,FALSE)</f>
        <v>#N/A</v>
      </c>
      <c r="P10" s="248" t="e">
        <f>VLOOKUP(S10,'DATOS #'!$C$37:$R$49,9,FALSE)</f>
        <v>#N/A</v>
      </c>
      <c r="Q10" s="258"/>
      <c r="R10" s="92"/>
      <c r="S10" s="260"/>
    </row>
    <row r="11" spans="1:19" s="235" customFormat="1" ht="30" customHeight="1" x14ac:dyDescent="0.25">
      <c r="A11" s="1647"/>
      <c r="B11" s="252" t="e">
        <f>VLOOKUP(S11,'DATOS #'!$C$37:$R$49,3,FALSE)</f>
        <v>#N/A</v>
      </c>
      <c r="C11" s="253" t="e">
        <f>VLOOKUP(S11,'DATOS #'!$C$37:$R$49,4,FALSE)</f>
        <v>#N/A</v>
      </c>
      <c r="D11" s="254" t="s">
        <v>3</v>
      </c>
      <c r="E11" s="253" t="e">
        <f>VLOOKUP(S11,'DATOS #'!$C$37:$R$49,5,FALSE)</f>
        <v>#N/A</v>
      </c>
      <c r="F11" s="255" t="s">
        <v>192</v>
      </c>
      <c r="G11" s="253" t="e">
        <f>VLOOKUP(S11,'DATOS #'!$C$37:$R$49,6,FALSE)</f>
        <v>#N/A</v>
      </c>
      <c r="H11" s="255" t="s">
        <v>3</v>
      </c>
      <c r="I11" s="253" t="e">
        <f>VLOOKUP(S11,'DATOS #'!$C$37:$R$49,7,FALSE)</f>
        <v>#N/A</v>
      </c>
      <c r="J11" s="255" t="s">
        <v>3</v>
      </c>
      <c r="K11" s="572" t="e">
        <f>VLOOKUP(S11,'DATOS #'!$C$37:$R$49,16,FALSE)</f>
        <v>#N/A</v>
      </c>
      <c r="L11" s="255" t="s">
        <v>3</v>
      </c>
      <c r="M11" s="247" t="e">
        <f t="shared" si="0"/>
        <v>#N/A</v>
      </c>
      <c r="N11" s="255" t="s">
        <v>3</v>
      </c>
      <c r="O11" s="256" t="e">
        <f>VLOOKUP(S11,'DATOS #'!$C$37:$R$49,8,FALSE)</f>
        <v>#N/A</v>
      </c>
      <c r="P11" s="248" t="e">
        <f>VLOOKUP(S11,'DATOS #'!$C$37:$R$49,9,FALSE)</f>
        <v>#N/A</v>
      </c>
      <c r="Q11" s="258"/>
      <c r="R11" s="262"/>
      <c r="S11" s="260"/>
    </row>
    <row r="12" spans="1:19" s="235" customFormat="1" ht="30" customHeight="1" thickBot="1" x14ac:dyDescent="0.3">
      <c r="A12" s="1648"/>
      <c r="B12" s="252" t="e">
        <f>VLOOKUP(S12,'DATOS #'!$C$37:$R$49,3,FALSE)</f>
        <v>#N/A</v>
      </c>
      <c r="C12" s="253" t="e">
        <f>VLOOKUP(S12,'DATOS #'!$C$37:$R$49,4,FALSE)</f>
        <v>#N/A</v>
      </c>
      <c r="D12" s="254" t="s">
        <v>3</v>
      </c>
      <c r="E12" s="253" t="e">
        <f>VLOOKUP(S12,'DATOS #'!$C$37:$R$49,5,FALSE)</f>
        <v>#N/A</v>
      </c>
      <c r="F12" s="255" t="s">
        <v>192</v>
      </c>
      <c r="G12" s="253" t="e">
        <f>VLOOKUP(S12,'DATOS #'!$C$37:$R$49,6,FALSE)</f>
        <v>#N/A</v>
      </c>
      <c r="H12" s="255" t="s">
        <v>3</v>
      </c>
      <c r="I12" s="253" t="e">
        <f>VLOOKUP(S12,'DATOS #'!$C$37:$R$49,7,FALSE)</f>
        <v>#N/A</v>
      </c>
      <c r="J12" s="255" t="s">
        <v>3</v>
      </c>
      <c r="K12" s="572" t="e">
        <f>VLOOKUP(S12,'DATOS #'!$C$37:$R$49,16,FALSE)</f>
        <v>#N/A</v>
      </c>
      <c r="L12" s="255" t="s">
        <v>3</v>
      </c>
      <c r="M12" s="247" t="e">
        <f t="shared" si="0"/>
        <v>#N/A</v>
      </c>
      <c r="N12" s="255" t="s">
        <v>3</v>
      </c>
      <c r="O12" s="256" t="e">
        <f>VLOOKUP(S12,'DATOS #'!$C$37:$R$49,8,FALSE)</f>
        <v>#N/A</v>
      </c>
      <c r="P12" s="248" t="e">
        <f>VLOOKUP(S12,'DATOS #'!$C$37:$R$49,9,FALSE)</f>
        <v>#N/A</v>
      </c>
      <c r="Q12" s="258"/>
      <c r="R12" s="262"/>
      <c r="S12" s="263"/>
    </row>
    <row r="13" spans="1:19" s="235" customFormat="1" ht="30" customHeight="1" x14ac:dyDescent="0.25">
      <c r="A13" s="1646" t="s">
        <v>56</v>
      </c>
      <c r="B13" s="252" t="e">
        <f>VLOOKUP(S13,'DATOS #'!$C$37:$R$49,3,FALSE)</f>
        <v>#N/A</v>
      </c>
      <c r="C13" s="253" t="e">
        <f>VLOOKUP(S13,'DATOS #'!$C$37:$R$49,4,FALSE)</f>
        <v>#N/A</v>
      </c>
      <c r="D13" s="254" t="s">
        <v>3</v>
      </c>
      <c r="E13" s="253" t="e">
        <f>VLOOKUP(S13,'DATOS #'!$C$37:$R$49,5,FALSE)</f>
        <v>#N/A</v>
      </c>
      <c r="F13" s="255" t="s">
        <v>3</v>
      </c>
      <c r="G13" s="253" t="e">
        <f>VLOOKUP(S13,'DATOS #'!$C$37:$R$49,6,FALSE)</f>
        <v>#N/A</v>
      </c>
      <c r="H13" s="255" t="s">
        <v>3</v>
      </c>
      <c r="I13" s="253" t="e">
        <f>VLOOKUP(S13,'DATOS #'!$C$37:$R$49,7,FALSE)</f>
        <v>#N/A</v>
      </c>
      <c r="J13" s="255" t="s">
        <v>3</v>
      </c>
      <c r="K13" s="572" t="e">
        <f>VLOOKUP(S13,'DATOS #'!$C$37:$R$49,16,FALSE)</f>
        <v>#N/A</v>
      </c>
      <c r="L13" s="255" t="s">
        <v>3</v>
      </c>
      <c r="M13" s="247" t="e">
        <f t="shared" si="0"/>
        <v>#N/A</v>
      </c>
      <c r="N13" s="255" t="s">
        <v>3</v>
      </c>
      <c r="O13" s="256" t="e">
        <f>VLOOKUP(S13,'DATOS #'!$C$37:$R$49,8,FALSE)</f>
        <v>#N/A</v>
      </c>
      <c r="P13" s="248" t="e">
        <f>VLOOKUP(S13,'DATOS #'!$C$37:$R$49,9,FALSE)</f>
        <v>#N/A</v>
      </c>
      <c r="Q13" s="258"/>
      <c r="R13" s="92"/>
      <c r="S13" s="257"/>
    </row>
    <row r="14" spans="1:19" s="235" customFormat="1" ht="30" customHeight="1" x14ac:dyDescent="0.25">
      <c r="A14" s="1647"/>
      <c r="B14" s="252" t="e">
        <f>VLOOKUP(S14,'DATOS #'!$C$43:$R$48,3,FALSE)</f>
        <v>#N/A</v>
      </c>
      <c r="C14" s="253" t="e">
        <f>VLOOKUP(S14,'DATOS #'!$C$37:$R$49,4,FALSE)</f>
        <v>#N/A</v>
      </c>
      <c r="D14" s="254" t="s">
        <v>3</v>
      </c>
      <c r="E14" s="264" t="e">
        <f>VLOOKUP(S14,'DATOS #'!$C$37:$R$49,5,FALSE)</f>
        <v>#N/A</v>
      </c>
      <c r="F14" s="255" t="s">
        <v>3</v>
      </c>
      <c r="G14" s="253" t="e">
        <f>VLOOKUP(S14,'DATOS #'!$C$37:$R$49,6,FALSE)</f>
        <v>#N/A</v>
      </c>
      <c r="H14" s="255" t="s">
        <v>3</v>
      </c>
      <c r="I14" s="253" t="e">
        <f>VLOOKUP(S14,'DATOS #'!$C$37:$R$49,7,FALSE)</f>
        <v>#N/A</v>
      </c>
      <c r="J14" s="255" t="s">
        <v>3</v>
      </c>
      <c r="K14" s="572" t="e">
        <f>VLOOKUP(S14,'DATOS #'!$C$37:$R$49,16,FALSE)</f>
        <v>#N/A</v>
      </c>
      <c r="L14" s="255" t="s">
        <v>3</v>
      </c>
      <c r="M14" s="247" t="e">
        <f t="shared" si="0"/>
        <v>#N/A</v>
      </c>
      <c r="N14" s="255" t="s">
        <v>3</v>
      </c>
      <c r="O14" s="256" t="e">
        <f>VLOOKUP(S14,'DATOS #'!$C$37:$R$49,8,FALSE)</f>
        <v>#N/A</v>
      </c>
      <c r="P14" s="248" t="e">
        <f>VLOOKUP(S14,'DATOS #'!$C$37:$R$49,9,FALSE)</f>
        <v>#N/A</v>
      </c>
      <c r="Q14" s="258"/>
      <c r="R14" s="92"/>
      <c r="S14" s="260"/>
    </row>
    <row r="15" spans="1:19" s="235" customFormat="1" ht="30" customHeight="1" x14ac:dyDescent="0.25">
      <c r="A15" s="1647"/>
      <c r="B15" s="252" t="e">
        <f>VLOOKUP(S15,'DATOS #'!$C$43:$R$48,3,FALSE)</f>
        <v>#N/A</v>
      </c>
      <c r="C15" s="253" t="e">
        <f>VLOOKUP(S15,'DATOS #'!$C$37:$R$49,4,FALSE)</f>
        <v>#N/A</v>
      </c>
      <c r="D15" s="254" t="s">
        <v>3</v>
      </c>
      <c r="E15" s="264" t="e">
        <f>VLOOKUP(S15,'DATOS #'!$C$37:$R$49,5,FALSE)</f>
        <v>#N/A</v>
      </c>
      <c r="F15" s="255" t="s">
        <v>3</v>
      </c>
      <c r="G15" s="253" t="e">
        <f>VLOOKUP(S15,'DATOS #'!$C$37:$R$49,6,FALSE)</f>
        <v>#N/A</v>
      </c>
      <c r="H15" s="255" t="s">
        <v>3</v>
      </c>
      <c r="I15" s="253" t="e">
        <f>VLOOKUP(S15,'DATOS #'!$C$37:$R$49,7,FALSE)</f>
        <v>#N/A</v>
      </c>
      <c r="J15" s="255" t="s">
        <v>3</v>
      </c>
      <c r="K15" s="572" t="e">
        <f>VLOOKUP(S15,'DATOS #'!$C$37:$R$49,16,FALSE)</f>
        <v>#N/A</v>
      </c>
      <c r="L15" s="255" t="s">
        <v>3</v>
      </c>
      <c r="M15" s="247" t="e">
        <f t="shared" si="0"/>
        <v>#N/A</v>
      </c>
      <c r="N15" s="255" t="s">
        <v>3</v>
      </c>
      <c r="O15" s="256" t="e">
        <f>VLOOKUP(S15,'DATOS #'!$C$37:$R$49,8,FALSE)</f>
        <v>#N/A</v>
      </c>
      <c r="P15" s="248" t="e">
        <f>VLOOKUP(S15,'DATOS #'!$C$37:$R$49,9,FALSE)</f>
        <v>#N/A</v>
      </c>
      <c r="Q15" s="258"/>
      <c r="R15" s="92"/>
      <c r="S15" s="260"/>
    </row>
    <row r="16" spans="1:19" s="235" customFormat="1" ht="30" customHeight="1" x14ac:dyDescent="0.25">
      <c r="A16" s="1647"/>
      <c r="B16" s="252" t="e">
        <f>VLOOKUP(S16,'DATOS #'!$C$37:$R$49,3,FALSE)</f>
        <v>#N/A</v>
      </c>
      <c r="C16" s="253" t="e">
        <f>VLOOKUP(S16,'DATOS #'!$C$37:$R$49,4,FALSE)</f>
        <v>#N/A</v>
      </c>
      <c r="D16" s="254" t="s">
        <v>3</v>
      </c>
      <c r="E16" s="264" t="e">
        <f>VLOOKUP(S16,'DATOS #'!$C$37:$R$49,5,FALSE)</f>
        <v>#N/A</v>
      </c>
      <c r="F16" s="255" t="s">
        <v>3</v>
      </c>
      <c r="G16" s="253" t="e">
        <f>VLOOKUP(S16,'DATOS #'!$C$37:$R$49,6,FALSE)</f>
        <v>#N/A</v>
      </c>
      <c r="H16" s="255" t="s">
        <v>3</v>
      </c>
      <c r="I16" s="253" t="e">
        <f>VLOOKUP(S16,'DATOS #'!$C$37:$R$49,7,FALSE)</f>
        <v>#N/A</v>
      </c>
      <c r="J16" s="255" t="s">
        <v>3</v>
      </c>
      <c r="K16" s="572" t="e">
        <f>VLOOKUP(S16,'DATOS #'!$C$37:$R$49,16,FALSE)</f>
        <v>#N/A</v>
      </c>
      <c r="L16" s="255" t="s">
        <v>3</v>
      </c>
      <c r="M16" s="247" t="e">
        <f t="shared" si="0"/>
        <v>#N/A</v>
      </c>
      <c r="N16" s="255" t="s">
        <v>3</v>
      </c>
      <c r="O16" s="256" t="e">
        <f>VLOOKUP(S16,'DATOS #'!$C$37:$R$49,8,FALSE)</f>
        <v>#N/A</v>
      </c>
      <c r="P16" s="248" t="e">
        <f>VLOOKUP(S16,'DATOS #'!$C$37:$R$49,9,FALSE)</f>
        <v>#N/A</v>
      </c>
      <c r="Q16" s="258"/>
      <c r="R16" s="262"/>
      <c r="S16" s="260"/>
    </row>
    <row r="17" spans="1:20" s="235" customFormat="1" ht="30" customHeight="1" thickBot="1" x14ac:dyDescent="0.3">
      <c r="A17" s="1648"/>
      <c r="B17" s="252" t="e">
        <f>VLOOKUP(S17,'DATOS #'!$C$37:$R$49,3,FALSE)</f>
        <v>#N/A</v>
      </c>
      <c r="C17" s="253" t="e">
        <f>VLOOKUP(S17,'DATOS #'!$C$37:$R$49,4,FALSE)</f>
        <v>#N/A</v>
      </c>
      <c r="D17" s="254" t="s">
        <v>3</v>
      </c>
      <c r="E17" s="264" t="e">
        <f>VLOOKUP(S17,'DATOS #'!$C$37:$R$49,5,FALSE)</f>
        <v>#N/A</v>
      </c>
      <c r="F17" s="255" t="s">
        <v>3</v>
      </c>
      <c r="G17" s="253" t="e">
        <f>VLOOKUP(S17,'DATOS #'!$C$37:$R$49,6,FALSE)</f>
        <v>#N/A</v>
      </c>
      <c r="H17" s="255" t="s">
        <v>3</v>
      </c>
      <c r="I17" s="253" t="e">
        <f>VLOOKUP(S17,'DATOS #'!$C$37:$R$49,7,FALSE)</f>
        <v>#N/A</v>
      </c>
      <c r="J17" s="255" t="s">
        <v>3</v>
      </c>
      <c r="K17" s="572" t="e">
        <f>VLOOKUP(S17,'DATOS #'!$C$37:$R$49,16,FALSE)</f>
        <v>#N/A</v>
      </c>
      <c r="L17" s="255" t="s">
        <v>3</v>
      </c>
      <c r="M17" s="247" t="e">
        <f t="shared" si="0"/>
        <v>#N/A</v>
      </c>
      <c r="N17" s="255" t="s">
        <v>3</v>
      </c>
      <c r="O17" s="256" t="e">
        <f>VLOOKUP(S17,'DATOS #'!$C$37:$R$49,8,FALSE)</f>
        <v>#N/A</v>
      </c>
      <c r="P17" s="248" t="e">
        <f>VLOOKUP(S17,'DATOS #'!$C$37:$R$49,9,FALSE)</f>
        <v>#N/A</v>
      </c>
      <c r="Q17" s="258"/>
      <c r="R17" s="262"/>
      <c r="S17" s="263"/>
    </row>
    <row r="18" spans="1:20" s="235" customFormat="1" ht="81" customHeight="1" thickBot="1" x14ac:dyDescent="0.3">
      <c r="A18" s="265" t="s">
        <v>153</v>
      </c>
      <c r="B18" s="266" t="e">
        <f>VLOOKUP(S18,'DATOS #'!$C$131:$W$152,3,FALSE)</f>
        <v>#N/A</v>
      </c>
      <c r="C18" s="264" t="e">
        <f>VLOOKUP(S18,'DATOS #'!$C$131:$W$152,4,FALSE)</f>
        <v>#N/A</v>
      </c>
      <c r="D18" s="254" t="s">
        <v>4</v>
      </c>
      <c r="E18" s="264" t="e">
        <f>VLOOKUP(S18,'DATOS #'!$C$131:$W$152,5,FALSE)</f>
        <v>#N/A</v>
      </c>
      <c r="F18" s="254" t="s">
        <v>4</v>
      </c>
      <c r="G18" s="264" t="e">
        <f>VLOOKUP(S18,'DATOS #'!$C$131:$W$152,6,FALSE)</f>
        <v>#N/A</v>
      </c>
      <c r="H18" s="254" t="s">
        <v>4</v>
      </c>
      <c r="I18" s="264" t="e">
        <f>VLOOKUP(S18,'DATOS #'!$C$131:$W$152,7,FALSE)</f>
        <v>#N/A</v>
      </c>
      <c r="J18" s="267" t="s">
        <v>4</v>
      </c>
      <c r="K18" s="573" t="e">
        <f>VLOOKUP(S18,'DATOS #'!$C$131:$W$152,21,FALSE)</f>
        <v>#N/A</v>
      </c>
      <c r="L18" s="254" t="s">
        <v>4</v>
      </c>
      <c r="M18" s="247" t="e">
        <f t="shared" si="0"/>
        <v>#N/A</v>
      </c>
      <c r="N18" s="254" t="s">
        <v>4</v>
      </c>
      <c r="O18" s="256" t="e">
        <f>VLOOKUP(S18,'DATOS #'!$C$131:$W$152,8,FALSE)</f>
        <v>#N/A</v>
      </c>
      <c r="P18" s="248" t="e">
        <f>VLOOKUP(S18,'DATOS #'!$C$131:$W$152,9,FALSE)</f>
        <v>#N/A</v>
      </c>
      <c r="Q18" s="268" t="s">
        <v>443</v>
      </c>
      <c r="R18" s="269" t="s">
        <v>444</v>
      </c>
      <c r="S18" s="270"/>
    </row>
    <row r="19" spans="1:20" s="273" customFormat="1" ht="30" customHeight="1" x14ac:dyDescent="0.25">
      <c r="A19" s="1639" t="s">
        <v>154</v>
      </c>
      <c r="B19" s="1672" t="e">
        <f>VLOOKUP(S19,'DATOS #'!$C$155:$AA$161,3,FALSE)</f>
        <v>#N/A</v>
      </c>
      <c r="C19" s="1674" t="e">
        <f>VLOOKUP(S19,'DATOS #'!$C$155:$AA$161,4,FALSE)</f>
        <v>#N/A</v>
      </c>
      <c r="D19" s="1670" t="s">
        <v>4</v>
      </c>
      <c r="E19" s="1662" t="e">
        <f>VLOOKUP(S19,'DATOS #'!$C$155:$AA$161,5,FALSE)</f>
        <v>#N/A</v>
      </c>
      <c r="F19" s="1670" t="s">
        <v>4</v>
      </c>
      <c r="G19" s="1674" t="e">
        <f>VLOOKUP(S19,'DATOS #'!$C$155:$AA$161,6,FALSE)</f>
        <v>#N/A</v>
      </c>
      <c r="H19" s="1670" t="s">
        <v>4</v>
      </c>
      <c r="I19" s="1662" t="e">
        <f>VLOOKUP(S19,'DATOS #'!$C$155:$AA$161,7,FALSE)</f>
        <v>#N/A</v>
      </c>
      <c r="J19" s="1670" t="s">
        <v>4</v>
      </c>
      <c r="K19" s="1683" t="e">
        <f>VLOOKUP(S19,'DATOS #'!$C$155:$AA$161,25,FALSE)</f>
        <v>#N/A</v>
      </c>
      <c r="L19" s="1632" t="s">
        <v>4</v>
      </c>
      <c r="M19" s="1634" t="e">
        <f t="shared" si="0"/>
        <v>#N/A</v>
      </c>
      <c r="N19" s="1632" t="s">
        <v>4</v>
      </c>
      <c r="O19" s="1662" t="e">
        <f>VLOOKUP(S19,'DATOS #'!$C$155:$AA$161,8,FALSE)</f>
        <v>#N/A</v>
      </c>
      <c r="P19" s="1664" t="e">
        <f>VLOOKUP(S19,'DATOS #'!$C$155:$AA$161,9,FALSE)</f>
        <v>#N/A</v>
      </c>
      <c r="Q19" s="271" t="e">
        <f>VLOOKUP(S19,'DATOS #'!$C$155:$AA$161,12,FALSE)</f>
        <v>#N/A</v>
      </c>
      <c r="R19" s="272" t="e">
        <f>VLOOKUP(S19,'DATOS #'!$C$155:$AA$161,14,FALSE)</f>
        <v>#N/A</v>
      </c>
      <c r="S19" s="1649"/>
    </row>
    <row r="20" spans="1:20" s="20" customFormat="1" ht="30" customHeight="1" thickBot="1" x14ac:dyDescent="0.3">
      <c r="A20" s="1640"/>
      <c r="B20" s="1673"/>
      <c r="C20" s="1675"/>
      <c r="D20" s="1671"/>
      <c r="E20" s="1663"/>
      <c r="F20" s="1671"/>
      <c r="G20" s="1675"/>
      <c r="H20" s="1671"/>
      <c r="I20" s="1663"/>
      <c r="J20" s="1671"/>
      <c r="K20" s="1683"/>
      <c r="L20" s="1633"/>
      <c r="M20" s="1635"/>
      <c r="N20" s="1633"/>
      <c r="O20" s="1663"/>
      <c r="P20" s="1665"/>
      <c r="Q20" s="274" t="e">
        <f>VLOOKUP(S19,'DATOS #'!$C$155:$AA$161,13,FALSE)</f>
        <v>#N/A</v>
      </c>
      <c r="R20" s="275" t="e">
        <f>VLOOKUP(S19,'DATOS #'!$C$155:$AA$161,15,FALSE)</f>
        <v>#N/A</v>
      </c>
      <c r="S20" s="1650"/>
    </row>
    <row r="21" spans="1:20" s="21" customFormat="1" ht="27.75" customHeight="1" thickBot="1" x14ac:dyDescent="0.3">
      <c r="A21" s="276" t="s">
        <v>324</v>
      </c>
      <c r="B21" s="266" t="e">
        <f>VLOOKUP(S21,'DATOS #'!$C$167:$K$168,3,FALSE)</f>
        <v>#N/A</v>
      </c>
      <c r="C21" s="256" t="e">
        <f>VLOOKUP(S21,'DATOS #'!$C$167:$K$168,4,FALSE)</f>
        <v>#N/A</v>
      </c>
      <c r="D21" s="254" t="s">
        <v>151</v>
      </c>
      <c r="E21" s="277" t="e">
        <f>VLOOKUP(S21,'DATOS #'!$C$167:$K$168,5,FALSE)</f>
        <v>#N/A</v>
      </c>
      <c r="F21" s="254" t="s">
        <v>151</v>
      </c>
      <c r="G21" s="278" t="e">
        <f>VLOOKUP(S21,'DATOS #'!$C$167:$K$168,6,FALSE)</f>
        <v>#N/A</v>
      </c>
      <c r="H21" s="254" t="s">
        <v>151</v>
      </c>
      <c r="I21" s="278" t="e">
        <f>VLOOKUP(S21,'DATOS #'!$C$167:$K$168,7,FALSE)</f>
        <v>#N/A</v>
      </c>
      <c r="J21" s="267" t="s">
        <v>151</v>
      </c>
      <c r="K21" s="377" t="e">
        <f>(I21/2)/SQRT(12)</f>
        <v>#N/A</v>
      </c>
      <c r="L21" s="254" t="s">
        <v>151</v>
      </c>
      <c r="M21" s="247" t="e">
        <f>SQRT((I21/2)^2+(K21)^2)</f>
        <v>#N/A</v>
      </c>
      <c r="N21" s="279" t="s">
        <v>151</v>
      </c>
      <c r="O21" s="9" t="e">
        <f>VLOOKUP(S21,'DATOS #'!$C$167:$K$168,8,FALSE)</f>
        <v>#N/A</v>
      </c>
      <c r="P21" s="248" t="e">
        <f>VLOOKUP(S21,'DATOS #'!$C$167:$K$168,9,FALSE)</f>
        <v>#N/A</v>
      </c>
      <c r="Q21" s="280"/>
      <c r="R21" s="281"/>
      <c r="S21" s="251"/>
    </row>
    <row r="22" spans="1:20" s="20" customFormat="1" ht="30" customHeight="1" thickBot="1" x14ac:dyDescent="0.3">
      <c r="A22" s="282" t="s">
        <v>57</v>
      </c>
      <c r="B22" s="283" t="e">
        <f>VLOOKUP(S22,'DATOS #'!$C$173:$K$188,3,FALSE)</f>
        <v>#N/A</v>
      </c>
      <c r="C22" s="284" t="e">
        <f>VLOOKUP(S22,'DATOS #'!$C$173:$K$188,4,FALSE)</f>
        <v>#N/A</v>
      </c>
      <c r="D22" s="285" t="s">
        <v>141</v>
      </c>
      <c r="E22" s="286" t="e">
        <f>VLOOKUP(S22,'DATOS #'!$C$173:$K$188,5,FALSE)</f>
        <v>#N/A</v>
      </c>
      <c r="F22" s="285" t="s">
        <v>141</v>
      </c>
      <c r="G22" s="287" t="e">
        <f>VLOOKUP(S22,'DATOS #'!$C$173:$K$188,6,FALSE)</f>
        <v>#N/A</v>
      </c>
      <c r="H22" s="285" t="s">
        <v>141</v>
      </c>
      <c r="I22" s="288" t="e">
        <f>VLOOKUP(S22,'DATOS #'!$C$173:$K$188,7,FALSE)</f>
        <v>#N/A</v>
      </c>
      <c r="J22" s="285" t="s">
        <v>141</v>
      </c>
      <c r="K22" s="289" t="e">
        <f>(I22/2)/SQRT(12)</f>
        <v>#N/A</v>
      </c>
      <c r="L22" s="285" t="s">
        <v>141</v>
      </c>
      <c r="M22" s="290" t="e">
        <f>SQRT((I22/2)^2+(K22)^2)</f>
        <v>#N/A</v>
      </c>
      <c r="N22" s="285" t="s">
        <v>141</v>
      </c>
      <c r="O22" s="284" t="e">
        <f>VLOOKUP(S22,'DATOS #'!$C$173:$K$188,8,FALSE)</f>
        <v>#N/A</v>
      </c>
      <c r="P22" s="291" t="e">
        <f>VLOOKUP(S22,'DATOS #'!$C$173:$K$188,9,FALSE)</f>
        <v>#N/A</v>
      </c>
      <c r="Q22" s="292"/>
      <c r="R22" s="293"/>
      <c r="S22" s="263"/>
    </row>
    <row r="23" spans="1:20" s="20" customFormat="1" ht="30" customHeight="1" thickBot="1" x14ac:dyDescent="0.3"/>
    <row r="24" spans="1:20" s="20" customFormat="1" ht="30" customHeight="1" thickBot="1" x14ac:dyDescent="0.3">
      <c r="A24" s="23"/>
      <c r="B24" s="1651" t="s">
        <v>596</v>
      </c>
      <c r="C24" s="1652"/>
      <c r="D24" s="1652"/>
      <c r="E24" s="1652"/>
      <c r="F24" s="1652"/>
      <c r="G24" s="1653"/>
      <c r="H24" s="21"/>
      <c r="I24" s="1651" t="s">
        <v>597</v>
      </c>
      <c r="J24" s="1652"/>
      <c r="K24" s="1652"/>
      <c r="L24" s="1652"/>
      <c r="M24" s="1652"/>
      <c r="N24" s="1652"/>
      <c r="O24" s="1652"/>
      <c r="P24" s="1652"/>
      <c r="Q24" s="1652"/>
      <c r="R24" s="1653"/>
    </row>
    <row r="25" spans="1:20" s="20" customFormat="1" ht="30" customHeight="1" thickBot="1" x14ac:dyDescent="0.3">
      <c r="A25" s="23"/>
      <c r="B25" s="224" t="s">
        <v>58</v>
      </c>
      <c r="C25" s="294"/>
      <c r="D25" s="1676" t="s">
        <v>1</v>
      </c>
      <c r="E25" s="1677"/>
      <c r="F25" s="1644" t="s">
        <v>0</v>
      </c>
      <c r="G25" s="1645"/>
      <c r="H25" s="21"/>
      <c r="I25" s="1660" t="s">
        <v>53</v>
      </c>
      <c r="J25" s="1678" t="s">
        <v>40</v>
      </c>
      <c r="K25" s="1678" t="s">
        <v>41</v>
      </c>
      <c r="L25" s="1678" t="s">
        <v>398</v>
      </c>
      <c r="M25" s="1668" t="s">
        <v>59</v>
      </c>
      <c r="N25" s="21"/>
      <c r="O25" s="1660" t="s">
        <v>60</v>
      </c>
      <c r="P25" s="1660" t="s">
        <v>61</v>
      </c>
      <c r="Q25" s="1660" t="s">
        <v>62</v>
      </c>
      <c r="R25" s="1658" t="s">
        <v>274</v>
      </c>
    </row>
    <row r="26" spans="1:20" s="20" customFormat="1" ht="30" customHeight="1" thickBot="1" x14ac:dyDescent="0.3">
      <c r="A26" s="238"/>
      <c r="B26" s="1656" t="s">
        <v>35</v>
      </c>
      <c r="C26" s="1657"/>
      <c r="D26" s="1654" t="e">
        <f>VLOOKUP($A$26,'DATOS #'!$B$24:$O$26,2,FALSE)</f>
        <v>#N/A</v>
      </c>
      <c r="E26" s="1655"/>
      <c r="F26" s="1666" t="e">
        <f>VLOOKUP($H$26,'DATOS #'!$B$14:$N$16,2,FALSE)</f>
        <v>#N/A</v>
      </c>
      <c r="G26" s="1667"/>
      <c r="H26" s="238"/>
      <c r="I26" s="1661"/>
      <c r="J26" s="1679"/>
      <c r="K26" s="1679"/>
      <c r="L26" s="1679"/>
      <c r="M26" s="1669"/>
      <c r="N26" s="21"/>
      <c r="O26" s="1661"/>
      <c r="P26" s="1661"/>
      <c r="Q26" s="1661"/>
      <c r="R26" s="1659"/>
      <c r="T26" s="590"/>
    </row>
    <row r="27" spans="1:20" s="20" customFormat="1" ht="30" customHeight="1" thickBot="1" x14ac:dyDescent="0.3">
      <c r="A27" s="23"/>
      <c r="B27" s="1656" t="s">
        <v>36</v>
      </c>
      <c r="C27" s="1657"/>
      <c r="D27" s="1688" t="e">
        <f>VLOOKUP($A$26,'DATOS #'!$B$24:$O$26,3,FALSE)</f>
        <v>#N/A</v>
      </c>
      <c r="E27" s="1689"/>
      <c r="F27" s="1684" t="e">
        <f>VLOOKUP($H$26,'DATOS #'!$B$14:$N$16,3,FALSE)</f>
        <v>#N/A</v>
      </c>
      <c r="G27" s="1685"/>
      <c r="H27" s="21"/>
      <c r="I27" s="129" t="s">
        <v>65</v>
      </c>
      <c r="J27" s="333">
        <v>3.785412</v>
      </c>
      <c r="K27" s="333">
        <v>3785.4110000000001</v>
      </c>
      <c r="L27" s="333">
        <v>231.00006956708521</v>
      </c>
      <c r="M27" s="575">
        <v>5</v>
      </c>
      <c r="N27" s="297"/>
      <c r="O27" s="574" t="e">
        <f>O30/K27</f>
        <v>#N/A</v>
      </c>
      <c r="P27" s="181" t="e">
        <f>P30/K27</f>
        <v>#N/A</v>
      </c>
      <c r="Q27" s="578" t="e">
        <f>P27-O27</f>
        <v>#N/A</v>
      </c>
      <c r="R27" s="579" t="e">
        <f>ABS(Q27)</f>
        <v>#N/A</v>
      </c>
    </row>
    <row r="28" spans="1:20" s="20" customFormat="1" ht="30" customHeight="1" thickBot="1" x14ac:dyDescent="0.3">
      <c r="A28" s="23"/>
      <c r="B28" s="1656" t="s">
        <v>25</v>
      </c>
      <c r="C28" s="1657"/>
      <c r="D28" s="1688" t="e">
        <f>VLOOKUP($A$26,'DATOS #'!$B$24:$O$26,4,FALSE)</f>
        <v>#N/A</v>
      </c>
      <c r="E28" s="1689"/>
      <c r="F28" s="1686" t="e">
        <f>VLOOKUP($H$26,'DATOS #'!$B$14:$N$16,4,FALSE)</f>
        <v>#N/A</v>
      </c>
      <c r="G28" s="1687"/>
      <c r="H28" s="21"/>
      <c r="I28" s="380" t="s">
        <v>189</v>
      </c>
      <c r="J28" s="295">
        <v>1.6387059999999998E-2</v>
      </c>
      <c r="K28" s="295">
        <v>16.387059999999998</v>
      </c>
      <c r="L28" s="295">
        <v>1</v>
      </c>
      <c r="M28" s="296">
        <v>1155.0000427166315</v>
      </c>
      <c r="N28" s="21"/>
      <c r="O28" s="298" t="e">
        <f>O30/K28</f>
        <v>#N/A</v>
      </c>
      <c r="P28" s="369" t="e">
        <f>(P30*L28)/K28</f>
        <v>#N/A</v>
      </c>
      <c r="Q28" s="580" t="e">
        <f>P28-O28</f>
        <v>#N/A</v>
      </c>
      <c r="R28" s="581" t="e">
        <f>ABS(Q28)</f>
        <v>#N/A</v>
      </c>
    </row>
    <row r="29" spans="1:20" s="20" customFormat="1" ht="30" customHeight="1" thickBot="1" x14ac:dyDescent="0.3">
      <c r="A29" s="23"/>
      <c r="B29" s="1656" t="s">
        <v>68</v>
      </c>
      <c r="C29" s="1657"/>
      <c r="D29" s="299" t="e">
        <f>VLOOKUP($A$26,'DATOS #'!$B$24:$O$26,5,FALSE)</f>
        <v>#N/A</v>
      </c>
      <c r="E29" s="279" t="s">
        <v>3</v>
      </c>
      <c r="F29" s="279" t="e">
        <f>VLOOKUP($H$26,'DATOS #'!$B$14:$N$16,5,FALSE)</f>
        <v>#N/A</v>
      </c>
      <c r="G29" s="300" t="s">
        <v>3</v>
      </c>
      <c r="H29" s="21"/>
      <c r="I29" s="380" t="s">
        <v>22</v>
      </c>
      <c r="J29" s="295">
        <v>1</v>
      </c>
      <c r="K29" s="295">
        <v>1000</v>
      </c>
      <c r="L29" s="295">
        <v>1.6387059999999998E-2</v>
      </c>
      <c r="M29" s="296">
        <v>18.927054999999999</v>
      </c>
      <c r="N29" s="21"/>
      <c r="O29" s="301" t="e">
        <f>O30/K29</f>
        <v>#N/A</v>
      </c>
      <c r="P29" s="369" t="e">
        <f>(P30*J29)/K29</f>
        <v>#N/A</v>
      </c>
      <c r="Q29" s="580" t="e">
        <f>P29-O29</f>
        <v>#N/A</v>
      </c>
      <c r="R29" s="581" t="e">
        <f>ABS(Q29)</f>
        <v>#N/A</v>
      </c>
    </row>
    <row r="30" spans="1:20" s="20" customFormat="1" ht="30" customHeight="1" thickBot="1" x14ac:dyDescent="0.3">
      <c r="A30" s="23"/>
      <c r="B30" s="1656" t="s">
        <v>39</v>
      </c>
      <c r="C30" s="1657"/>
      <c r="D30" s="645" t="e">
        <f>VLOOKUP($A$26,'DATOS #'!$B$24:$O$26,6,FALSE)</f>
        <v>#N/A</v>
      </c>
      <c r="E30" s="279" t="s">
        <v>9</v>
      </c>
      <c r="F30" s="279" t="e">
        <f>VLOOKUP($H$26,'DATOS #'!$B$14:$N$16,6,FALSE)</f>
        <v>#N/A</v>
      </c>
      <c r="G30" s="300" t="s">
        <v>9</v>
      </c>
      <c r="H30" s="21"/>
      <c r="I30" s="380" t="s">
        <v>23</v>
      </c>
      <c r="J30" s="114">
        <v>1E-3</v>
      </c>
      <c r="K30" s="295">
        <v>1</v>
      </c>
      <c r="L30" s="295">
        <v>16.387059999999998</v>
      </c>
      <c r="M30" s="576">
        <v>18927.055</v>
      </c>
      <c r="N30" s="21"/>
      <c r="O30" s="582" t="e">
        <f>C7</f>
        <v>#N/A</v>
      </c>
      <c r="P30" s="114" t="e">
        <f>H58</f>
        <v>#N/A</v>
      </c>
      <c r="Q30" s="580" t="e">
        <f>P30-O30</f>
        <v>#N/A</v>
      </c>
      <c r="R30" s="581" t="e">
        <f>ABS(Q30)</f>
        <v>#N/A</v>
      </c>
    </row>
    <row r="31" spans="1:20" s="20" customFormat="1" ht="30" customHeight="1" thickBot="1" x14ac:dyDescent="0.3">
      <c r="A31" s="23"/>
      <c r="B31" s="1656" t="s">
        <v>70</v>
      </c>
      <c r="C31" s="1657"/>
      <c r="D31" s="299" t="e">
        <f>VLOOKUP($A$26,'DATOS #'!$B$24:$O$26,7,FALSE)</f>
        <v>#N/A</v>
      </c>
      <c r="E31" s="279" t="s">
        <v>4</v>
      </c>
      <c r="F31" s="279" t="e">
        <f>VLOOKUP($H$26,'DATOS #'!$B$14:$N$16,7,FALSE)</f>
        <v>#N/A</v>
      </c>
      <c r="G31" s="300" t="s">
        <v>4</v>
      </c>
      <c r="H31" s="21"/>
      <c r="I31" s="65" t="s">
        <v>399</v>
      </c>
      <c r="J31" s="144">
        <v>1E-3</v>
      </c>
      <c r="K31" s="302">
        <v>1</v>
      </c>
      <c r="L31" s="302">
        <v>16.387059999999998</v>
      </c>
      <c r="M31" s="577">
        <v>18927.055</v>
      </c>
      <c r="N31" s="21"/>
      <c r="O31" s="583" t="e">
        <f>O30</f>
        <v>#N/A</v>
      </c>
      <c r="P31" s="144" t="e">
        <f>P30</f>
        <v>#N/A</v>
      </c>
      <c r="Q31" s="584" t="e">
        <f>P31-O31</f>
        <v>#N/A</v>
      </c>
      <c r="R31" s="585" t="e">
        <f>ABS(Q31)</f>
        <v>#N/A</v>
      </c>
      <c r="T31" s="303"/>
    </row>
    <row r="32" spans="1:20" s="20" customFormat="1" ht="30" customHeight="1" thickBot="1" x14ac:dyDescent="0.3">
      <c r="A32" s="23"/>
      <c r="B32" s="1656" t="s">
        <v>34</v>
      </c>
      <c r="C32" s="1657"/>
      <c r="D32" s="299" t="e">
        <f>VLOOKUP($A$26,'DATOS #'!$B$24:$O$26,8,FALSE)</f>
        <v>#N/A</v>
      </c>
      <c r="E32" s="279" t="s">
        <v>4</v>
      </c>
      <c r="F32" s="279" t="e">
        <f>VLOOKUP($H$26,'DATOS #'!$B$14:$N$16,8,FALSE)</f>
        <v>#N/A</v>
      </c>
      <c r="G32" s="300" t="s">
        <v>4</v>
      </c>
      <c r="H32" s="21"/>
      <c r="R32" s="23"/>
      <c r="T32" s="303"/>
    </row>
    <row r="33" spans="1:25" s="20" customFormat="1" ht="48" customHeight="1" thickBot="1" x14ac:dyDescent="0.3">
      <c r="A33" s="23"/>
      <c r="B33" s="1656" t="s">
        <v>328</v>
      </c>
      <c r="C33" s="1657"/>
      <c r="D33" s="299" t="e">
        <f>VLOOKUP($A$26,'DATOS #'!$B$24:$O$26,9,FALSE)</f>
        <v>#N/A</v>
      </c>
      <c r="E33" s="279" t="s">
        <v>400</v>
      </c>
      <c r="F33" s="377" t="e">
        <f>VLOOKUP($H$26,'DATOS #'!$B$14:$N$16,9,FALSE)</f>
        <v>#N/A</v>
      </c>
      <c r="G33" s="300" t="s">
        <v>400</v>
      </c>
      <c r="H33" s="23"/>
      <c r="I33" s="1592" t="s">
        <v>66</v>
      </c>
      <c r="J33" s="1699"/>
      <c r="K33" s="704"/>
      <c r="L33" s="703"/>
      <c r="N33" s="1604" t="s">
        <v>67</v>
      </c>
      <c r="O33" s="1605"/>
      <c r="P33" s="808"/>
      <c r="Q33" s="703"/>
      <c r="R33" s="304"/>
      <c r="T33" s="303"/>
    </row>
    <row r="34" spans="1:25" s="20" customFormat="1" ht="30" customHeight="1" thickBot="1" x14ac:dyDescent="0.3">
      <c r="A34" s="23"/>
      <c r="B34" s="1656" t="s">
        <v>73</v>
      </c>
      <c r="C34" s="1657"/>
      <c r="D34" s="299" t="e">
        <f>VLOOKUP($A$26,'DATOS #'!$B$24:$O$26,10,FALSE)</f>
        <v>#N/A</v>
      </c>
      <c r="E34" s="279" t="s">
        <v>13</v>
      </c>
      <c r="F34" s="810" t="e">
        <f>VLOOKUP($H$26,'DATOS #'!$B$14:$N$16,10,FALSE)</f>
        <v>#N/A</v>
      </c>
      <c r="G34" s="300" t="s">
        <v>13</v>
      </c>
      <c r="H34" s="21"/>
    </row>
    <row r="35" spans="1:25" s="20" customFormat="1" ht="54.75" customHeight="1" thickBot="1" x14ac:dyDescent="0.3">
      <c r="A35" s="23"/>
      <c r="B35" s="1656" t="s">
        <v>74</v>
      </c>
      <c r="C35" s="1657"/>
      <c r="D35" s="299" t="e">
        <f>VLOOKUP($A$26,'DATOS #'!$B$24:$O$26,11,FALSE)</f>
        <v>#N/A</v>
      </c>
      <c r="E35" s="279" t="s">
        <v>13</v>
      </c>
      <c r="F35" s="279" t="e">
        <f>VLOOKUP($H$26,'DATOS #'!$B$14:$N$16,11,FALSE)</f>
        <v>#N/A</v>
      </c>
      <c r="G35" s="300" t="s">
        <v>13</v>
      </c>
      <c r="H35" s="21"/>
      <c r="I35" s="1711" t="s">
        <v>598</v>
      </c>
      <c r="J35" s="1712"/>
      <c r="K35" s="1712"/>
      <c r="L35" s="1712"/>
      <c r="M35" s="1712"/>
      <c r="N35" s="1712"/>
      <c r="O35" s="1712"/>
      <c r="P35" s="1713"/>
      <c r="Q35" s="150" t="s">
        <v>251</v>
      </c>
    </row>
    <row r="36" spans="1:25" s="20" customFormat="1" ht="48" customHeight="1" thickBot="1" x14ac:dyDescent="0.3">
      <c r="A36" s="23"/>
      <c r="B36" s="1656" t="s">
        <v>439</v>
      </c>
      <c r="C36" s="1657"/>
      <c r="D36" s="299" t="e">
        <f>VLOOKUP($A$26,'DATOS #'!$B$24:$O$26,12,FALSE)</f>
        <v>#N/A</v>
      </c>
      <c r="E36" s="279" t="s">
        <v>400</v>
      </c>
      <c r="F36" s="377" t="e">
        <f>D36</f>
        <v>#N/A</v>
      </c>
      <c r="G36" s="300" t="s">
        <v>400</v>
      </c>
      <c r="H36" s="21"/>
      <c r="I36" s="1714" t="s">
        <v>69</v>
      </c>
      <c r="J36" s="1715"/>
      <c r="K36" s="1715"/>
      <c r="L36" s="1716" t="s">
        <v>19</v>
      </c>
      <c r="M36" s="1716"/>
      <c r="N36" s="1716"/>
      <c r="O36" s="592" t="s">
        <v>20</v>
      </c>
      <c r="P36" s="672" t="s">
        <v>506</v>
      </c>
      <c r="Q36" s="634"/>
    </row>
    <row r="37" spans="1:25" s="20" customFormat="1" ht="41.1" customHeight="1" thickBot="1" x14ac:dyDescent="0.3">
      <c r="A37" s="23"/>
      <c r="B37" s="1702" t="s">
        <v>71</v>
      </c>
      <c r="C37" s="1703"/>
      <c r="D37" s="305" t="e">
        <f>K58</f>
        <v>#N/A</v>
      </c>
      <c r="E37" s="306" t="s">
        <v>400</v>
      </c>
      <c r="F37" s="307" t="e">
        <f>D37</f>
        <v>#N/A</v>
      </c>
      <c r="G37" s="308" t="s">
        <v>400</v>
      </c>
      <c r="H37" s="21"/>
      <c r="I37" s="1717" t="s">
        <v>264</v>
      </c>
      <c r="J37" s="1718"/>
      <c r="K37" s="1327"/>
      <c r="L37" s="1718" t="s">
        <v>264</v>
      </c>
      <c r="M37" s="1718"/>
      <c r="N37" s="1327"/>
      <c r="O37" s="862" t="e">
        <f>AVERAGE(K37,N37)</f>
        <v>#DIV/0!</v>
      </c>
      <c r="P37" s="676" t="e">
        <f>O37+((VLOOKUP($Q$36,'DATOS #'!$B$131:$O$137,9,FALSE))*O37+(VLOOKUP($Q$36,'DATOS #'!$B$131:$O$137,10,FALSE)))</f>
        <v>#DIV/0!</v>
      </c>
    </row>
    <row r="38" spans="1:25" s="20" customFormat="1" ht="41.1" customHeight="1" thickBot="1" x14ac:dyDescent="0.3">
      <c r="A38" s="23"/>
      <c r="B38" s="21"/>
      <c r="C38" s="21"/>
      <c r="D38" s="21"/>
      <c r="E38" s="21"/>
      <c r="F38" s="21"/>
      <c r="G38" s="21"/>
      <c r="H38" s="21"/>
      <c r="I38" s="1719" t="s">
        <v>396</v>
      </c>
      <c r="J38" s="1720"/>
      <c r="K38" s="1328"/>
      <c r="L38" s="1720" t="s">
        <v>396</v>
      </c>
      <c r="M38" s="1720"/>
      <c r="N38" s="1328"/>
      <c r="O38" s="863" t="e">
        <f>AVERAGE(K38,N38)</f>
        <v>#DIV/0!</v>
      </c>
      <c r="P38" s="677" t="e">
        <f>O38+((VLOOKUP($Q$36,'DATOS #'!$B$131:$O$137,11,FALSE))*O38+(VLOOKUP($Q$36,'DATOS #'!$B$131:$O$137,12,FALSE)))</f>
        <v>#DIV/0!</v>
      </c>
    </row>
    <row r="39" spans="1:25" s="20" customFormat="1" ht="41.1" customHeight="1" thickBot="1" x14ac:dyDescent="0.3">
      <c r="A39" s="23"/>
      <c r="B39" s="1704" t="s">
        <v>166</v>
      </c>
      <c r="C39" s="1677"/>
      <c r="D39" s="1705" t="e">
        <f>VLOOKUP(H39,'DATOS #'!P9:R13,2,FALSE)</f>
        <v>#N/A</v>
      </c>
      <c r="E39" s="1706"/>
      <c r="F39" s="1706"/>
      <c r="G39" s="1707"/>
      <c r="H39" s="631"/>
      <c r="I39" s="1721" t="s">
        <v>265</v>
      </c>
      <c r="J39" s="1722"/>
      <c r="K39" s="1329"/>
      <c r="L39" s="1722" t="s">
        <v>265</v>
      </c>
      <c r="M39" s="1722"/>
      <c r="N39" s="1329"/>
      <c r="O39" s="864" t="e">
        <f>AVERAGE(K39,N39)</f>
        <v>#DIV/0!</v>
      </c>
      <c r="P39" s="678" t="e">
        <f>O39+((VLOOKUP($Q$36,'DATOS #'!$B$131:$O$137,13,FALSE))*O39+(VLOOKUP($Q$36,'DATOS #'!$B$131:$O$137,14,FALSE)))</f>
        <v>#DIV/0!</v>
      </c>
    </row>
    <row r="40" spans="1:25" s="20" customFormat="1" ht="30" customHeight="1" thickBot="1" x14ac:dyDescent="0.3">
      <c r="A40" s="23"/>
      <c r="H40" s="21"/>
      <c r="I40" s="21"/>
    </row>
    <row r="41" spans="1:25" s="23" customFormat="1" ht="30" customHeight="1" thickBot="1" x14ac:dyDescent="0.3">
      <c r="B41" s="1641" t="s">
        <v>599</v>
      </c>
      <c r="C41" s="1642"/>
      <c r="D41" s="1642"/>
      <c r="E41" s="1642"/>
      <c r="F41" s="1642"/>
      <c r="G41" s="1642"/>
      <c r="H41" s="1569"/>
      <c r="I41" s="1642"/>
      <c r="J41" s="1642"/>
      <c r="K41" s="1642"/>
      <c r="L41" s="1642"/>
      <c r="M41" s="1642"/>
      <c r="N41" s="1643"/>
    </row>
    <row r="42" spans="1:25" s="21" customFormat="1" ht="27.75" customHeight="1" thickBot="1" x14ac:dyDescent="0.3">
      <c r="B42" s="1592" t="s">
        <v>381</v>
      </c>
      <c r="C42" s="1539"/>
      <c r="D42" s="1539"/>
      <c r="E42" s="1539"/>
      <c r="F42" s="1539"/>
      <c r="G42" s="1593"/>
      <c r="I42" s="1592" t="s">
        <v>382</v>
      </c>
      <c r="J42" s="1539"/>
      <c r="K42" s="1539"/>
      <c r="L42" s="1539"/>
      <c r="M42" s="1539"/>
      <c r="N42" s="1593"/>
      <c r="Q42" s="23"/>
      <c r="R42" s="23"/>
      <c r="S42" s="23"/>
      <c r="T42" s="23"/>
      <c r="U42" s="23"/>
      <c r="V42" s="23"/>
      <c r="W42" s="23"/>
      <c r="X42" s="23"/>
      <c r="Y42" s="23"/>
    </row>
    <row r="43" spans="1:25" s="20" customFormat="1" ht="59.25" customHeight="1" thickBot="1" x14ac:dyDescent="0.3">
      <c r="A43" s="631" t="s">
        <v>278</v>
      </c>
      <c r="B43" s="609" t="s">
        <v>75</v>
      </c>
      <c r="C43" s="608" t="s">
        <v>327</v>
      </c>
      <c r="D43" s="608" t="s">
        <v>326</v>
      </c>
      <c r="E43" s="608" t="s">
        <v>77</v>
      </c>
      <c r="F43" s="608" t="s">
        <v>78</v>
      </c>
      <c r="G43" s="82" t="s">
        <v>79</v>
      </c>
      <c r="H43" s="21"/>
      <c r="I43" s="609" t="s">
        <v>76</v>
      </c>
      <c r="J43" s="608" t="s">
        <v>325</v>
      </c>
      <c r="K43" s="608" t="s">
        <v>77</v>
      </c>
      <c r="L43" s="608" t="s">
        <v>78</v>
      </c>
      <c r="M43" s="608" t="s">
        <v>79</v>
      </c>
      <c r="N43" s="82" t="s">
        <v>357</v>
      </c>
      <c r="O43" s="634"/>
    </row>
    <row r="44" spans="1:25" s="20" customFormat="1" ht="30" customHeight="1" thickBot="1" x14ac:dyDescent="0.3">
      <c r="A44" s="23"/>
      <c r="B44" s="129">
        <v>1</v>
      </c>
      <c r="C44" s="635"/>
      <c r="D44" s="636">
        <f>C44+(VLOOKUP($A$43,'DATOS #'!$A$37:$N$49,13,FALSE))*C44+(VLOOKUP($A$43,'DATOS #'!$A$37:$N$49,14,FALSE))</f>
        <v>8.5720333590149529E-3</v>
      </c>
      <c r="E44" s="637"/>
      <c r="F44" s="638"/>
      <c r="G44" s="639">
        <f>E44+F44</f>
        <v>0</v>
      </c>
      <c r="H44" s="21"/>
      <c r="I44" s="685"/>
      <c r="J44" s="636" t="e">
        <f>I44+(VLOOKUP($O$43,'DATOS #'!$A$37:$N$49,13,FALSE))*I44+(VLOOKUP($O$43,'DATOS #'!$A$37:$N$49,14,FALSE))</f>
        <v>#N/A</v>
      </c>
      <c r="K44" s="640"/>
      <c r="L44" s="641"/>
      <c r="M44" s="642">
        <f>K44+L44</f>
        <v>0</v>
      </c>
      <c r="N44" s="643"/>
      <c r="O44" s="21"/>
    </row>
    <row r="45" spans="1:25" s="20" customFormat="1" ht="30" customHeight="1" thickBot="1" x14ac:dyDescent="0.3">
      <c r="A45" s="23"/>
      <c r="B45" s="610">
        <v>2</v>
      </c>
      <c r="C45" s="632"/>
      <c r="D45" s="310">
        <f>C45+(VLOOKUP($A$43,'DATOS #'!$A$37:$N$49,13,FALSE))*C45+(VLOOKUP($A$43,'DATOS #'!$A$37:$N$49,14,FALSE))</f>
        <v>8.5720333590149529E-3</v>
      </c>
      <c r="E45" s="311"/>
      <c r="F45" s="312"/>
      <c r="G45" s="313">
        <f>E45+F45</f>
        <v>0</v>
      </c>
      <c r="H45" s="21"/>
      <c r="I45" s="314"/>
      <c r="J45" s="310" t="e">
        <f>I45+(VLOOKUP($O$43,'DATOS #'!$A$37:$N$49,13,FALSE))*I45+(VLOOKUP($O$43,'DATOS #'!$A$37:$N$49,14,FALSE))</f>
        <v>#N/A</v>
      </c>
      <c r="K45" s="315"/>
      <c r="L45" s="13"/>
      <c r="M45" s="611">
        <f>K45+L45</f>
        <v>0</v>
      </c>
      <c r="N45" s="316"/>
      <c r="O45" s="21"/>
      <c r="Q45" s="1708" t="s">
        <v>217</v>
      </c>
      <c r="R45" s="1709"/>
      <c r="S45" s="1709"/>
      <c r="T45" s="1709"/>
      <c r="U45" s="1709"/>
      <c r="V45" s="1709"/>
      <c r="W45" s="1709"/>
      <c r="X45" s="1709"/>
      <c r="Y45" s="1710"/>
    </row>
    <row r="46" spans="1:25" s="20" customFormat="1" ht="30" customHeight="1" thickBot="1" x14ac:dyDescent="0.3">
      <c r="A46" s="226" t="s">
        <v>80</v>
      </c>
      <c r="B46" s="610">
        <v>3</v>
      </c>
      <c r="C46" s="632"/>
      <c r="D46" s="310">
        <f>C46+(VLOOKUP($A$43,'DATOS #'!$A$37:$N$49,13,FALSE))*C46+(VLOOKUP($A$43,'DATOS #'!$A$37:$N$49,14,FALSE))</f>
        <v>8.5720333590149529E-3</v>
      </c>
      <c r="E46" s="311"/>
      <c r="F46" s="312"/>
      <c r="G46" s="313">
        <f>E46+F46</f>
        <v>0</v>
      </c>
      <c r="H46" s="21"/>
      <c r="I46" s="314"/>
      <c r="J46" s="310" t="e">
        <f>I46+(VLOOKUP($O$43,'DATOS #'!$A$37:$N$49,13,FALSE))*I46+(VLOOKUP($O$43,'DATOS #'!$A$37:$N$49,14,FALSE))</f>
        <v>#N/A</v>
      </c>
      <c r="K46" s="315"/>
      <c r="L46" s="13"/>
      <c r="M46" s="611">
        <f>K46+L46</f>
        <v>0</v>
      </c>
      <c r="N46" s="316"/>
      <c r="O46" s="21"/>
      <c r="Q46" s="1690"/>
      <c r="R46" s="1691"/>
      <c r="S46" s="1691"/>
      <c r="T46" s="1691"/>
      <c r="U46" s="1691"/>
      <c r="V46" s="1691"/>
      <c r="W46" s="1691"/>
      <c r="X46" s="1691"/>
      <c r="Y46" s="1692"/>
    </row>
    <row r="47" spans="1:25" s="20" customFormat="1" ht="33.75" customHeight="1" thickBot="1" x14ac:dyDescent="0.3">
      <c r="A47" s="23"/>
      <c r="B47" s="1700" t="s">
        <v>372</v>
      </c>
      <c r="C47" s="1701"/>
      <c r="D47" s="1701"/>
      <c r="E47" s="1701"/>
      <c r="F47" s="1701"/>
      <c r="G47" s="633">
        <f>AVERAGE(D44:D46)</f>
        <v>8.5720333590149529E-3</v>
      </c>
      <c r="H47" s="21"/>
      <c r="I47" s="1700" t="s">
        <v>372</v>
      </c>
      <c r="J47" s="1701"/>
      <c r="K47" s="1701"/>
      <c r="L47" s="1701"/>
      <c r="M47" s="1701"/>
      <c r="N47" s="633" t="e">
        <f>AVERAGE(J44:J46)</f>
        <v>#N/A</v>
      </c>
      <c r="O47" s="21"/>
      <c r="Q47" s="1693"/>
      <c r="R47" s="1694"/>
      <c r="S47" s="1694"/>
      <c r="T47" s="1694"/>
      <c r="U47" s="1694"/>
      <c r="V47" s="1694"/>
      <c r="W47" s="1694"/>
      <c r="X47" s="1694"/>
      <c r="Y47" s="1695"/>
    </row>
    <row r="48" spans="1:25" s="20" customFormat="1" ht="45" customHeight="1" thickBot="1" x14ac:dyDescent="0.3">
      <c r="A48" s="23"/>
      <c r="D48" s="319"/>
      <c r="J48" s="823"/>
      <c r="O48" s="21"/>
      <c r="Q48" s="1696"/>
      <c r="R48" s="1697"/>
      <c r="S48" s="1697"/>
      <c r="T48" s="1697"/>
      <c r="U48" s="1697"/>
      <c r="V48" s="1697"/>
      <c r="W48" s="1697"/>
      <c r="X48" s="1697"/>
      <c r="Y48" s="1698"/>
    </row>
    <row r="49" spans="1:22" s="20" customFormat="1" ht="45" customHeight="1" x14ac:dyDescent="0.25">
      <c r="A49" s="23"/>
      <c r="B49" s="21"/>
    </row>
    <row r="50" spans="1:22" s="20" customFormat="1" ht="30" customHeight="1" x14ac:dyDescent="0.25">
      <c r="A50" s="23"/>
      <c r="B50" s="23"/>
      <c r="C50" s="23"/>
      <c r="D50" s="23"/>
      <c r="E50" s="23"/>
      <c r="F50" s="23"/>
      <c r="G50" s="23"/>
      <c r="H50" s="23"/>
      <c r="I50" s="23"/>
      <c r="J50" s="23"/>
      <c r="K50" s="23"/>
      <c r="L50" s="23"/>
      <c r="M50" s="23"/>
      <c r="N50" s="23"/>
      <c r="O50" s="23"/>
      <c r="P50" s="23"/>
      <c r="Q50" s="23"/>
      <c r="R50" s="23"/>
    </row>
    <row r="51" spans="1:22" s="20" customFormat="1" ht="30" customHeight="1" x14ac:dyDescent="0.25">
      <c r="A51" s="23"/>
      <c r="B51" s="21"/>
      <c r="H51" s="21"/>
      <c r="N51" s="21"/>
      <c r="O51" s="21"/>
      <c r="P51" s="21"/>
      <c r="Q51" s="23"/>
      <c r="R51" s="23"/>
    </row>
    <row r="52" spans="1:22" s="21" customFormat="1" ht="25.5" customHeight="1" thickBot="1" x14ac:dyDescent="0.3"/>
    <row r="53" spans="1:22" s="20" customFormat="1" ht="30" customHeight="1" thickBot="1" x14ac:dyDescent="0.3">
      <c r="A53" s="23"/>
      <c r="B53" s="23"/>
      <c r="C53" s="23"/>
      <c r="D53" s="23"/>
      <c r="E53" s="1568" t="s">
        <v>646</v>
      </c>
      <c r="F53" s="1569"/>
      <c r="G53" s="1569"/>
      <c r="H53" s="1569"/>
      <c r="I53" s="1569"/>
      <c r="J53" s="1569"/>
      <c r="K53" s="1569"/>
      <c r="L53" s="1570"/>
      <c r="M53" s="23"/>
      <c r="N53" s="23"/>
      <c r="O53" s="23"/>
      <c r="P53" s="23"/>
      <c r="Q53" s="23"/>
    </row>
    <row r="54" spans="1:22" s="20" customFormat="1" ht="30" customHeight="1" x14ac:dyDescent="0.25">
      <c r="A54" s="23"/>
      <c r="E54" s="1623" t="s">
        <v>75</v>
      </c>
      <c r="F54" s="1624"/>
      <c r="G54" s="17" t="s">
        <v>145</v>
      </c>
      <c r="H54" s="18" t="s">
        <v>554</v>
      </c>
      <c r="I54" s="21"/>
      <c r="J54" s="320"/>
      <c r="K54" s="200"/>
      <c r="L54" s="201"/>
      <c r="M54" s="23"/>
      <c r="N54" s="23"/>
      <c r="O54" s="23"/>
      <c r="P54" s="23"/>
      <c r="Q54" s="23"/>
      <c r="U54" s="604"/>
      <c r="V54" s="235"/>
    </row>
    <row r="55" spans="1:22" s="20" customFormat="1" ht="30" customHeight="1" x14ac:dyDescent="0.25">
      <c r="A55" s="23"/>
      <c r="E55" s="1618">
        <v>1</v>
      </c>
      <c r="F55" s="1619"/>
      <c r="G55" s="321" t="e">
        <f>$C$7*((1-$D$33*($D$29-D44))+($K$55)*(J44-D44)+$F$33*($F$29-J44))</f>
        <v>#N/A</v>
      </c>
      <c r="H55" s="656" t="e">
        <f>G55+N44</f>
        <v>#N/A</v>
      </c>
      <c r="I55" s="21"/>
      <c r="J55" s="64">
        <v>1</v>
      </c>
      <c r="K55" s="322" t="e">
        <f>(-0.1176*((D44+J44)/2)^2+(15.846*(D44+J44)/2)-62.677)*10^-6</f>
        <v>#N/A</v>
      </c>
      <c r="L55" s="89" t="s">
        <v>400</v>
      </c>
      <c r="M55" s="21"/>
      <c r="N55" s="23"/>
      <c r="O55" s="23"/>
      <c r="P55" s="23"/>
      <c r="Q55" s="23"/>
      <c r="U55" s="605"/>
      <c r="V55" s="606"/>
    </row>
    <row r="56" spans="1:22" s="20" customFormat="1" ht="30" customHeight="1" thickBot="1" x14ac:dyDescent="0.3">
      <c r="A56" s="23"/>
      <c r="E56" s="1618">
        <v>2</v>
      </c>
      <c r="F56" s="1619"/>
      <c r="G56" s="321" t="e">
        <f>$C$7*((1-$D$33*($D$29-D45))+($K$56)*(J45-D45)+$F$33*($F$29-J45))</f>
        <v>#N/A</v>
      </c>
      <c r="H56" s="656" t="e">
        <f>G56+N45</f>
        <v>#N/A</v>
      </c>
      <c r="I56" s="21"/>
      <c r="J56" s="64">
        <v>2</v>
      </c>
      <c r="K56" s="322" t="e">
        <f>(-0.1176*((D45+J45)/2)^2+(15.846*(D45+J45)/2)-62.677)*10^-6</f>
        <v>#N/A</v>
      </c>
      <c r="L56" s="89" t="s">
        <v>400</v>
      </c>
      <c r="N56" s="23"/>
      <c r="O56" s="23"/>
      <c r="P56" s="23"/>
      <c r="Q56" s="23"/>
      <c r="U56" s="303"/>
    </row>
    <row r="57" spans="1:22" s="20" customFormat="1" ht="30" customHeight="1" thickBot="1" x14ac:dyDescent="0.3">
      <c r="A57" s="23"/>
      <c r="E57" s="1618">
        <v>3</v>
      </c>
      <c r="F57" s="1619"/>
      <c r="G57" s="321" t="e">
        <f>$C$7*((1-$D$33*($D$29-D46))+($K$57)*(J46-D46)+$F$33*($F$29-J46))</f>
        <v>#N/A</v>
      </c>
      <c r="H57" s="656" t="e">
        <f>G57+N46</f>
        <v>#N/A</v>
      </c>
      <c r="I57" s="21"/>
      <c r="J57" s="64">
        <v>3</v>
      </c>
      <c r="K57" s="322" t="e">
        <f>(-0.1176*((D46+J46)/2)^2+(15.846*(D46+J46)/2)-62.677)*10^-6</f>
        <v>#N/A</v>
      </c>
      <c r="L57" s="89" t="s">
        <v>400</v>
      </c>
      <c r="N57" s="23"/>
      <c r="O57" s="23"/>
      <c r="P57" s="23"/>
      <c r="Q57" s="23"/>
      <c r="T57" s="1565" t="e">
        <f>IF(AND('Pc #'!H5&gt;=97.5%,'Pc #'!I5&lt;=2.5%),"NO AJUSTAR","AJUSTAR")</f>
        <v>#N/A</v>
      </c>
      <c r="U57" s="1566"/>
      <c r="V57" s="1567"/>
    </row>
    <row r="58" spans="1:22" s="20" customFormat="1" ht="30" customHeight="1" thickBot="1" x14ac:dyDescent="0.3">
      <c r="A58" s="23"/>
      <c r="E58" s="1620" t="s">
        <v>401</v>
      </c>
      <c r="F58" s="1621"/>
      <c r="G58" s="1622"/>
      <c r="H58" s="656" t="e">
        <f>AVERAGE(H55:H57)</f>
        <v>#N/A</v>
      </c>
      <c r="J58" s="1" t="s">
        <v>2</v>
      </c>
      <c r="K58" s="323" t="e">
        <f>AVERAGE(K55:K57)</f>
        <v>#N/A</v>
      </c>
      <c r="L58" s="324" t="s">
        <v>400</v>
      </c>
      <c r="N58" s="23"/>
      <c r="O58" s="23"/>
      <c r="P58" s="23"/>
      <c r="Q58" s="23"/>
      <c r="T58" s="303"/>
    </row>
    <row r="59" spans="1:22" s="20" customFormat="1" ht="30" customHeight="1" x14ac:dyDescent="0.25">
      <c r="A59" s="23"/>
      <c r="E59" s="1620" t="s">
        <v>402</v>
      </c>
      <c r="F59" s="1621"/>
      <c r="G59" s="1622"/>
      <c r="H59" s="656" t="e">
        <f>_xlfn.STDEV.S(H55:H57)</f>
        <v>#N/A</v>
      </c>
      <c r="I59" s="23"/>
    </row>
    <row r="60" spans="1:22" s="20" customFormat="1" ht="30" customHeight="1" thickBot="1" x14ac:dyDescent="0.3">
      <c r="A60" s="23"/>
      <c r="B60" s="21"/>
      <c r="E60" s="1680" t="s">
        <v>81</v>
      </c>
      <c r="F60" s="1681"/>
      <c r="G60" s="1682"/>
      <c r="H60" s="325" t="e">
        <f>H59/SQRT(3)</f>
        <v>#N/A</v>
      </c>
      <c r="I60" s="23"/>
      <c r="J60" s="21"/>
      <c r="K60" s="21"/>
      <c r="L60" s="21"/>
      <c r="M60" s="21"/>
      <c r="N60" s="21"/>
      <c r="O60" s="21"/>
      <c r="P60" s="21"/>
      <c r="Q60" s="23"/>
      <c r="R60" s="23"/>
    </row>
    <row r="61" spans="1:22" s="20" customFormat="1" ht="30" customHeight="1" x14ac:dyDescent="0.25">
      <c r="A61" s="23"/>
      <c r="B61" s="21"/>
      <c r="M61" s="21" t="s">
        <v>12</v>
      </c>
      <c r="N61" s="21"/>
      <c r="O61" s="21"/>
      <c r="P61" s="21"/>
      <c r="Q61" s="23"/>
      <c r="R61" s="23"/>
    </row>
    <row r="62" spans="1:22" s="21" customFormat="1" ht="22.5" customHeight="1" x14ac:dyDescent="0.25">
      <c r="A62" s="326"/>
      <c r="J62" s="227"/>
      <c r="K62" s="227"/>
      <c r="L62" s="327"/>
      <c r="M62" s="327"/>
      <c r="N62" s="327"/>
      <c r="O62" s="327"/>
      <c r="Q62" s="23"/>
      <c r="R62" s="23"/>
    </row>
    <row r="63" spans="1:22" s="20" customFormat="1" ht="30" customHeight="1" thickBot="1" x14ac:dyDescent="0.3">
      <c r="M63" s="21"/>
      <c r="N63" s="21"/>
      <c r="O63" s="21"/>
      <c r="P63" s="21"/>
      <c r="Q63" s="23"/>
      <c r="R63" s="23"/>
    </row>
    <row r="64" spans="1:22" s="20" customFormat="1" ht="30" customHeight="1" thickBot="1" x14ac:dyDescent="0.3">
      <c r="A64" s="21"/>
      <c r="B64" s="1568" t="s">
        <v>600</v>
      </c>
      <c r="C64" s="1569"/>
      <c r="D64" s="1569"/>
      <c r="E64" s="1569"/>
      <c r="F64" s="1569"/>
      <c r="G64" s="1569"/>
      <c r="H64" s="1569"/>
      <c r="I64" s="1569"/>
      <c r="J64" s="1569"/>
      <c r="K64" s="1569"/>
      <c r="L64" s="1570"/>
      <c r="M64" s="21"/>
      <c r="Q64" s="23"/>
      <c r="R64" s="23"/>
    </row>
    <row r="65" spans="1:18" s="20" customFormat="1" ht="30" customHeight="1" thickBot="1" x14ac:dyDescent="0.3">
      <c r="A65" s="21"/>
      <c r="B65" s="328"/>
      <c r="C65" s="329"/>
      <c r="D65" s="329"/>
      <c r="E65" s="329"/>
      <c r="F65" s="329"/>
      <c r="G65" s="329"/>
      <c r="H65" s="329"/>
      <c r="I65" s="329"/>
      <c r="J65" s="329"/>
      <c r="K65" s="309" t="s">
        <v>83</v>
      </c>
      <c r="L65" s="309" t="s">
        <v>53</v>
      </c>
      <c r="M65" s="21"/>
      <c r="N65" s="223" t="s">
        <v>53</v>
      </c>
      <c r="O65" s="81" t="s">
        <v>1</v>
      </c>
      <c r="P65" s="82" t="s">
        <v>0</v>
      </c>
      <c r="Q65" s="23"/>
      <c r="R65" s="23"/>
    </row>
    <row r="66" spans="1:18" s="21" customFormat="1" ht="30" customHeight="1" thickBot="1" x14ac:dyDescent="0.3">
      <c r="B66" s="1615" t="s">
        <v>167</v>
      </c>
      <c r="C66" s="1614"/>
      <c r="D66" s="1614"/>
      <c r="E66" s="330"/>
      <c r="F66" s="330"/>
      <c r="G66" s="331"/>
      <c r="H66" s="331"/>
      <c r="I66" s="331"/>
      <c r="J66" s="331"/>
      <c r="K66" s="194" t="e">
        <f>(1-$O$74*(O72-O68))+(O78)*(P70-O68)+P76*(P80-P70)</f>
        <v>#N/A</v>
      </c>
      <c r="L66" s="204" t="s">
        <v>248</v>
      </c>
      <c r="N66" s="332"/>
      <c r="O66" s="333" t="e">
        <f>C7</f>
        <v>#N/A</v>
      </c>
      <c r="P66" s="334"/>
    </row>
    <row r="67" spans="1:18" s="20" customFormat="1" ht="5.0999999999999996" customHeight="1" thickBot="1" x14ac:dyDescent="0.3">
      <c r="A67" s="21"/>
      <c r="B67" s="80"/>
      <c r="C67" s="273"/>
      <c r="D67" s="273"/>
      <c r="E67" s="273"/>
      <c r="F67" s="335"/>
      <c r="G67" s="336"/>
      <c r="H67" s="336"/>
      <c r="I67" s="336"/>
      <c r="J67" s="336"/>
      <c r="K67" s="273"/>
      <c r="L67" s="205"/>
      <c r="M67" s="21"/>
      <c r="N67" s="337"/>
      <c r="O67" s="338"/>
      <c r="P67" s="339"/>
      <c r="R67" s="23"/>
    </row>
    <row r="68" spans="1:18" s="23" customFormat="1" ht="30" customHeight="1" thickBot="1" x14ac:dyDescent="0.3">
      <c r="A68" s="21"/>
      <c r="B68" s="1615" t="s">
        <v>168</v>
      </c>
      <c r="C68" s="1614"/>
      <c r="D68" s="1614"/>
      <c r="E68" s="1614"/>
      <c r="F68" s="330"/>
      <c r="G68" s="331"/>
      <c r="H68" s="331"/>
      <c r="I68" s="331"/>
      <c r="J68" s="331"/>
      <c r="K68" s="194" t="e">
        <f>$O$66*(O74-O78)</f>
        <v>#N/A</v>
      </c>
      <c r="L68" s="204" t="s">
        <v>266</v>
      </c>
      <c r="N68" s="340"/>
      <c r="O68" s="114">
        <f>G47</f>
        <v>8.5720333590149529E-3</v>
      </c>
      <c r="P68" s="341"/>
    </row>
    <row r="69" spans="1:18" s="20" customFormat="1" ht="5.0999999999999996" customHeight="1" thickBot="1" x14ac:dyDescent="0.3">
      <c r="A69" s="21"/>
      <c r="B69" s="80"/>
      <c r="C69" s="273"/>
      <c r="D69" s="273"/>
      <c r="E69" s="273"/>
      <c r="F69" s="335"/>
      <c r="G69" s="336"/>
      <c r="H69" s="336"/>
      <c r="I69" s="336"/>
      <c r="J69" s="336"/>
      <c r="K69" s="273"/>
      <c r="L69" s="206"/>
      <c r="M69" s="23"/>
      <c r="N69" s="337"/>
      <c r="O69" s="338"/>
      <c r="P69" s="339"/>
      <c r="Q69" s="23"/>
      <c r="R69" s="23"/>
    </row>
    <row r="70" spans="1:18" s="23" customFormat="1" ht="30" customHeight="1" thickBot="1" x14ac:dyDescent="0.3">
      <c r="A70" s="21"/>
      <c r="B70" s="1615" t="s">
        <v>169</v>
      </c>
      <c r="C70" s="1614"/>
      <c r="D70" s="1614"/>
      <c r="E70" s="1614"/>
      <c r="F70" s="330"/>
      <c r="G70" s="331"/>
      <c r="H70" s="331"/>
      <c r="I70" s="331"/>
      <c r="J70" s="331"/>
      <c r="K70" s="194" t="e">
        <f>$O$66*(O78-P76)</f>
        <v>#N/A</v>
      </c>
      <c r="L70" s="204" t="s">
        <v>266</v>
      </c>
      <c r="N70" s="340"/>
      <c r="O70" s="342"/>
      <c r="P70" s="343" t="e">
        <f>N47</f>
        <v>#N/A</v>
      </c>
    </row>
    <row r="71" spans="1:18" s="20" customFormat="1" ht="5.0999999999999996" customHeight="1" thickBot="1" x14ac:dyDescent="0.3">
      <c r="A71" s="21"/>
      <c r="B71" s="80"/>
      <c r="C71" s="273"/>
      <c r="D71" s="273"/>
      <c r="E71" s="273"/>
      <c r="F71" s="273"/>
      <c r="G71" s="336"/>
      <c r="H71" s="336"/>
      <c r="I71" s="336"/>
      <c r="J71" s="336"/>
      <c r="K71" s="273"/>
      <c r="L71" s="206"/>
      <c r="M71" s="23"/>
      <c r="N71" s="337"/>
      <c r="O71" s="338"/>
      <c r="P71" s="339"/>
      <c r="Q71" s="23"/>
      <c r="R71" s="23"/>
    </row>
    <row r="72" spans="1:18" s="23" customFormat="1" ht="30" customHeight="1" thickBot="1" x14ac:dyDescent="0.3">
      <c r="A72" s="21"/>
      <c r="B72" s="1613" t="s">
        <v>647</v>
      </c>
      <c r="C72" s="1614"/>
      <c r="D72" s="1614"/>
      <c r="E72" s="1614"/>
      <c r="F72" s="1614"/>
      <c r="G72" s="331"/>
      <c r="H72" s="331"/>
      <c r="I72" s="331"/>
      <c r="J72" s="331"/>
      <c r="K72" s="373" t="e">
        <f>-O$66*(O72-O68)</f>
        <v>#N/A</v>
      </c>
      <c r="L72" s="204" t="s">
        <v>509</v>
      </c>
      <c r="N72" s="344"/>
      <c r="O72" s="295" t="e">
        <f>D29</f>
        <v>#N/A</v>
      </c>
      <c r="P72" s="345"/>
    </row>
    <row r="73" spans="1:18" s="20" customFormat="1" ht="5.0999999999999996" customHeight="1" thickBot="1" x14ac:dyDescent="0.3">
      <c r="A73" s="21"/>
      <c r="B73" s="80"/>
      <c r="C73" s="273"/>
      <c r="D73" s="273"/>
      <c r="E73" s="273"/>
      <c r="F73" s="273"/>
      <c r="G73" s="336"/>
      <c r="H73" s="336"/>
      <c r="I73" s="336"/>
      <c r="J73" s="336"/>
      <c r="K73" s="374"/>
      <c r="L73" s="206"/>
      <c r="M73" s="23"/>
      <c r="N73" s="337"/>
      <c r="O73" s="338"/>
      <c r="P73" s="339"/>
      <c r="Q73" s="23"/>
      <c r="R73" s="23"/>
    </row>
    <row r="74" spans="1:18" s="23" customFormat="1" ht="30" customHeight="1" thickBot="1" x14ac:dyDescent="0.3">
      <c r="A74" s="21"/>
      <c r="B74" s="1613" t="s">
        <v>648</v>
      </c>
      <c r="C74" s="1614"/>
      <c r="D74" s="1614"/>
      <c r="E74" s="1614"/>
      <c r="F74" s="1614"/>
      <c r="G74" s="346"/>
      <c r="H74" s="346"/>
      <c r="I74" s="346"/>
      <c r="J74" s="331"/>
      <c r="K74" s="373" t="e">
        <f>$O$66*(P80-P70)</f>
        <v>#N/A</v>
      </c>
      <c r="L74" s="204" t="s">
        <v>509</v>
      </c>
      <c r="N74" s="340"/>
      <c r="O74" s="229" t="e">
        <f>D33</f>
        <v>#N/A</v>
      </c>
      <c r="P74" s="341"/>
    </row>
    <row r="75" spans="1:18" s="20" customFormat="1" ht="5.0999999999999996" customHeight="1" thickBot="1" x14ac:dyDescent="0.3">
      <c r="A75" s="21"/>
      <c r="B75" s="80"/>
      <c r="C75" s="273"/>
      <c r="D75" s="273"/>
      <c r="E75" s="273"/>
      <c r="F75" s="273"/>
      <c r="G75" s="336"/>
      <c r="H75" s="336"/>
      <c r="I75" s="336"/>
      <c r="J75" s="336"/>
      <c r="K75" s="273"/>
      <c r="L75" s="206"/>
      <c r="M75" s="23"/>
      <c r="N75" s="337"/>
      <c r="O75" s="338"/>
      <c r="P75" s="339"/>
      <c r="Q75" s="23"/>
      <c r="R75" s="23"/>
    </row>
    <row r="76" spans="1:18" s="23" customFormat="1" ht="30" customHeight="1" thickBot="1" x14ac:dyDescent="0.3">
      <c r="A76" s="21"/>
      <c r="B76" s="1613" t="s">
        <v>649</v>
      </c>
      <c r="C76" s="1614"/>
      <c r="D76" s="1614"/>
      <c r="E76" s="1614"/>
      <c r="F76" s="1614"/>
      <c r="G76" s="331"/>
      <c r="H76" s="331"/>
      <c r="I76" s="331"/>
      <c r="J76" s="331"/>
      <c r="K76" s="194" t="e">
        <f>$O$66*(P70-O68)</f>
        <v>#N/A</v>
      </c>
      <c r="L76" s="204" t="s">
        <v>509</v>
      </c>
      <c r="N76" s="340"/>
      <c r="O76" s="342"/>
      <c r="P76" s="375" t="e">
        <f>F33</f>
        <v>#N/A</v>
      </c>
    </row>
    <row r="77" spans="1:18" s="20" customFormat="1" ht="5.0999999999999996" customHeight="1" thickBot="1" x14ac:dyDescent="0.3">
      <c r="A77" s="21"/>
      <c r="B77" s="80"/>
      <c r="C77" s="273"/>
      <c r="D77" s="273"/>
      <c r="E77" s="335"/>
      <c r="F77" s="335"/>
      <c r="G77" s="336"/>
      <c r="H77" s="336"/>
      <c r="I77" s="336"/>
      <c r="J77" s="336"/>
      <c r="K77" s="273"/>
      <c r="L77" s="206"/>
      <c r="M77" s="327"/>
      <c r="N77" s="347"/>
      <c r="O77" s="338"/>
      <c r="P77" s="339"/>
      <c r="Q77" s="23"/>
      <c r="R77" s="23"/>
    </row>
    <row r="78" spans="1:18" s="23" customFormat="1" ht="30" customHeight="1" thickBot="1" x14ac:dyDescent="0.3">
      <c r="A78" s="21"/>
      <c r="B78" s="1615" t="s">
        <v>84</v>
      </c>
      <c r="C78" s="1614"/>
      <c r="D78" s="1614"/>
      <c r="E78" s="348"/>
      <c r="F78" s="348"/>
      <c r="G78" s="346"/>
      <c r="H78" s="346"/>
      <c r="I78" s="346"/>
      <c r="J78" s="331"/>
      <c r="K78" s="349">
        <v>1</v>
      </c>
      <c r="L78" s="204" t="s">
        <v>248</v>
      </c>
      <c r="M78" s="327"/>
      <c r="N78" s="340"/>
      <c r="O78" s="350" t="e">
        <f>D37</f>
        <v>#N/A</v>
      </c>
      <c r="P78" s="351" t="e">
        <f>F37</f>
        <v>#N/A</v>
      </c>
    </row>
    <row r="79" spans="1:18" s="20" customFormat="1" ht="5.0999999999999996" customHeight="1" thickBot="1" x14ac:dyDescent="0.3">
      <c r="A79" s="233"/>
      <c r="B79" s="80"/>
      <c r="C79" s="273"/>
      <c r="D79" s="273"/>
      <c r="E79" s="335"/>
      <c r="F79" s="335"/>
      <c r="G79" s="336"/>
      <c r="H79" s="336"/>
      <c r="I79" s="336"/>
      <c r="J79" s="336"/>
      <c r="K79" s="273"/>
      <c r="L79" s="206"/>
      <c r="M79" s="327"/>
      <c r="N79" s="347"/>
      <c r="O79" s="338"/>
      <c r="P79" s="339"/>
      <c r="Q79" s="23"/>
      <c r="R79" s="23"/>
    </row>
    <row r="80" spans="1:18" s="23" customFormat="1" ht="30" customHeight="1" thickBot="1" x14ac:dyDescent="0.3">
      <c r="A80" s="21"/>
      <c r="B80" s="1615" t="s">
        <v>85</v>
      </c>
      <c r="C80" s="1614"/>
      <c r="D80" s="1614"/>
      <c r="E80" s="348"/>
      <c r="F80" s="348"/>
      <c r="G80" s="346"/>
      <c r="H80" s="346"/>
      <c r="I80" s="346"/>
      <c r="J80" s="331"/>
      <c r="K80" s="349">
        <v>1</v>
      </c>
      <c r="L80" s="204" t="s">
        <v>248</v>
      </c>
      <c r="M80" s="327"/>
      <c r="N80" s="352"/>
      <c r="O80" s="353"/>
      <c r="P80" s="354" t="e">
        <f>F29</f>
        <v>#N/A</v>
      </c>
    </row>
    <row r="81" spans="1:20" s="20" customFormat="1" ht="5.0999999999999996" customHeight="1" thickBot="1" x14ac:dyDescent="0.3">
      <c r="A81" s="21"/>
      <c r="B81" s="80"/>
      <c r="C81" s="273"/>
      <c r="D81" s="273"/>
      <c r="E81" s="335"/>
      <c r="F81" s="335"/>
      <c r="G81" s="336"/>
      <c r="H81" s="336"/>
      <c r="I81" s="336"/>
      <c r="J81" s="336"/>
      <c r="K81" s="273"/>
      <c r="L81" s="206"/>
      <c r="M81" s="327"/>
      <c r="Q81" s="23"/>
      <c r="R81" s="23"/>
    </row>
    <row r="82" spans="1:20" s="23" customFormat="1" ht="30" customHeight="1" thickBot="1" x14ac:dyDescent="0.3">
      <c r="A82" s="21"/>
      <c r="B82" s="1616" t="s">
        <v>86</v>
      </c>
      <c r="C82" s="1617"/>
      <c r="D82" s="1617"/>
      <c r="E82" s="330"/>
      <c r="F82" s="330"/>
      <c r="G82" s="331"/>
      <c r="H82" s="331"/>
      <c r="I82" s="331"/>
      <c r="J82" s="331"/>
      <c r="K82" s="349">
        <v>1</v>
      </c>
      <c r="L82" s="204" t="s">
        <v>248</v>
      </c>
      <c r="M82" s="327"/>
    </row>
    <row r="83" spans="1:20" s="23" customFormat="1" ht="9.75" customHeight="1" thickBot="1" x14ac:dyDescent="0.3">
      <c r="A83" s="21"/>
      <c r="B83" s="317"/>
      <c r="C83" s="318"/>
      <c r="D83" s="318"/>
      <c r="E83" s="318"/>
      <c r="F83" s="318"/>
      <c r="G83" s="318"/>
      <c r="H83" s="318"/>
      <c r="I83" s="318"/>
      <c r="J83" s="318"/>
      <c r="K83" s="318"/>
      <c r="L83" s="355"/>
      <c r="M83" s="327"/>
      <c r="N83" s="327"/>
      <c r="O83" s="356"/>
      <c r="P83" s="21"/>
    </row>
    <row r="84" spans="1:20" s="23" customFormat="1" ht="39.75" customHeight="1" x14ac:dyDescent="0.25">
      <c r="A84" s="21"/>
      <c r="B84" s="327"/>
      <c r="C84" s="327"/>
      <c r="D84" s="327"/>
      <c r="E84" s="327"/>
      <c r="F84" s="327"/>
      <c r="G84" s="327"/>
      <c r="H84" s="327"/>
      <c r="I84" s="327"/>
      <c r="J84" s="327"/>
      <c r="K84" s="327"/>
      <c r="L84" s="327"/>
      <c r="M84" s="327"/>
    </row>
    <row r="85" spans="1:20" s="23" customFormat="1" ht="34.5" customHeight="1" thickBot="1" x14ac:dyDescent="0.3">
      <c r="A85" s="21"/>
      <c r="M85" s="327"/>
      <c r="N85" s="327"/>
      <c r="O85" s="356"/>
      <c r="P85" s="21"/>
    </row>
    <row r="86" spans="1:20" s="23" customFormat="1" ht="34.5" customHeight="1" thickBot="1" x14ac:dyDescent="0.3">
      <c r="A86" s="327"/>
      <c r="B86" s="1568" t="s">
        <v>594</v>
      </c>
      <c r="C86" s="1569"/>
      <c r="D86" s="1569"/>
      <c r="E86" s="1569"/>
      <c r="F86" s="1569"/>
      <c r="G86" s="1569"/>
      <c r="H86" s="1569"/>
      <c r="I86" s="1569"/>
      <c r="J86" s="1569"/>
      <c r="K86" s="1569"/>
      <c r="L86" s="1569"/>
      <c r="M86" s="1569"/>
      <c r="N86" s="1569"/>
      <c r="O86" s="1569"/>
      <c r="P86" s="1569"/>
      <c r="Q86" s="1569"/>
      <c r="R86" s="1570"/>
    </row>
    <row r="87" spans="1:20" s="20" customFormat="1" ht="57.75" customHeight="1" thickBot="1" x14ac:dyDescent="0.3">
      <c r="B87" s="1604" t="s">
        <v>87</v>
      </c>
      <c r="C87" s="1605"/>
      <c r="D87" s="865" t="s">
        <v>593</v>
      </c>
      <c r="E87" s="860" t="s">
        <v>88</v>
      </c>
      <c r="F87" s="860"/>
      <c r="G87" s="860" t="s">
        <v>386</v>
      </c>
      <c r="H87" s="860" t="s">
        <v>90</v>
      </c>
      <c r="I87" s="860"/>
      <c r="J87" s="860" t="s">
        <v>91</v>
      </c>
      <c r="K87" s="860"/>
      <c r="L87" s="860" t="s">
        <v>92</v>
      </c>
      <c r="M87" s="860"/>
      <c r="N87" s="860" t="s">
        <v>403</v>
      </c>
      <c r="O87" s="860" t="s">
        <v>93</v>
      </c>
      <c r="P87" s="860" t="s">
        <v>94</v>
      </c>
      <c r="Q87" s="861" t="s">
        <v>95</v>
      </c>
      <c r="R87" s="861" t="s">
        <v>520</v>
      </c>
      <c r="S87" s="734"/>
    </row>
    <row r="88" spans="1:20" s="20" customFormat="1" ht="39.950000000000003" customHeight="1" thickBot="1" x14ac:dyDescent="0.3">
      <c r="A88" s="23"/>
      <c r="B88" s="1606" t="s">
        <v>96</v>
      </c>
      <c r="C88" s="1607"/>
      <c r="D88" s="1012" t="e">
        <f>C7</f>
        <v>#N/A</v>
      </c>
      <c r="S88" s="734"/>
    </row>
    <row r="89" spans="1:20" s="356" customFormat="1" ht="39.950000000000003" customHeight="1" x14ac:dyDescent="0.25">
      <c r="B89" s="1594" t="s">
        <v>97</v>
      </c>
      <c r="C89" s="1608"/>
      <c r="D89" s="1013"/>
      <c r="E89" s="1006" t="e">
        <f>I7</f>
        <v>#N/A</v>
      </c>
      <c r="F89" s="1007" t="s">
        <v>4</v>
      </c>
      <c r="G89" s="802" t="e">
        <f>O7</f>
        <v>#N/A</v>
      </c>
      <c r="H89" s="802" t="e">
        <f>E89/G89</f>
        <v>#N/A</v>
      </c>
      <c r="I89" s="1007" t="s">
        <v>4</v>
      </c>
      <c r="J89" s="804" t="e">
        <f>K66</f>
        <v>#N/A</v>
      </c>
      <c r="K89" s="803"/>
      <c r="L89" s="1008" t="e">
        <f>H89*J89</f>
        <v>#N/A</v>
      </c>
      <c r="M89" s="803" t="s">
        <v>4</v>
      </c>
      <c r="N89" s="804" t="e">
        <f>L89^2</f>
        <v>#N/A</v>
      </c>
      <c r="O89" s="803" t="s">
        <v>17</v>
      </c>
      <c r="P89" s="803" t="s">
        <v>98</v>
      </c>
      <c r="Q89" s="803">
        <v>50</v>
      </c>
      <c r="R89" s="1009" t="e">
        <f>(L89/$N$119)^2</f>
        <v>#N/A</v>
      </c>
      <c r="S89" s="1090" t="e">
        <f t="shared" ref="S89:S117" si="1">IF(L89=MAX($L$89,$L$90,$L$93,$L$94,$L$95,$L$98,$L$99,$L$100,$L$101,$L$103,$L$104,$L$105,$L$106,$L$108,$L$109,$L$110,$L$111,$L$112,,$L$115,$L$116,$L$117,$L$118),"",L89)</f>
        <v>#N/A</v>
      </c>
    </row>
    <row r="90" spans="1:20" s="20" customFormat="1" ht="39.950000000000003" customHeight="1" thickBot="1" x14ac:dyDescent="0.3">
      <c r="A90" s="1609"/>
      <c r="B90" s="1596" t="s">
        <v>99</v>
      </c>
      <c r="C90" s="1610"/>
      <c r="D90" s="1002"/>
      <c r="E90" s="806" t="e">
        <f>K7</f>
        <v>#N/A</v>
      </c>
      <c r="F90" s="1003" t="s">
        <v>4</v>
      </c>
      <c r="G90" s="806">
        <f>SQRT(12)</f>
        <v>3.4641016151377544</v>
      </c>
      <c r="H90" s="784" t="e">
        <f>E90/G90</f>
        <v>#N/A</v>
      </c>
      <c r="I90" s="1003" t="str">
        <f>F90</f>
        <v>mL</v>
      </c>
      <c r="J90" s="787" t="e">
        <f>K66</f>
        <v>#N/A</v>
      </c>
      <c r="K90" s="783"/>
      <c r="L90" s="1004" t="e">
        <f>H90*J90</f>
        <v>#N/A</v>
      </c>
      <c r="M90" s="783" t="s">
        <v>4</v>
      </c>
      <c r="N90" s="787" t="e">
        <f>L90^2</f>
        <v>#N/A</v>
      </c>
      <c r="O90" s="783" t="s">
        <v>17</v>
      </c>
      <c r="P90" s="783" t="s">
        <v>5</v>
      </c>
      <c r="Q90" s="783" t="s">
        <v>11</v>
      </c>
      <c r="R90" s="1011" t="e">
        <f>(L90/$N$119)^2</f>
        <v>#N/A</v>
      </c>
      <c r="S90" s="1090" t="e">
        <f t="shared" si="1"/>
        <v>#N/A</v>
      </c>
    </row>
    <row r="91" spans="1:20" s="20" customFormat="1" ht="5.0999999999999996" customHeight="1" thickBot="1" x14ac:dyDescent="0.3">
      <c r="A91" s="1609"/>
      <c r="B91" s="1611"/>
      <c r="C91" s="1612"/>
      <c r="D91" s="1016"/>
      <c r="S91" s="1090"/>
      <c r="T91" s="1086"/>
    </row>
    <row r="92" spans="1:20" s="356" customFormat="1" ht="39.950000000000003" customHeight="1" thickBot="1" x14ac:dyDescent="0.3">
      <c r="B92" s="1579" t="s">
        <v>170</v>
      </c>
      <c r="C92" s="1581"/>
      <c r="D92" s="1017" t="e">
        <f>C18</f>
        <v>#N/A</v>
      </c>
      <c r="L92" s="1057"/>
      <c r="S92" s="1090"/>
      <c r="T92" s="1086"/>
    </row>
    <row r="93" spans="1:20" s="20" customFormat="1" ht="39.950000000000003" customHeight="1" x14ac:dyDescent="0.25">
      <c r="A93" s="21"/>
      <c r="B93" s="1579" t="s">
        <v>171</v>
      </c>
      <c r="C93" s="1581"/>
      <c r="D93" s="1018"/>
      <c r="E93" s="1032" t="e">
        <f>I18</f>
        <v>#N/A</v>
      </c>
      <c r="F93" s="1033" t="str">
        <f>F19</f>
        <v>mL</v>
      </c>
      <c r="G93" s="1034" t="e">
        <f>O18</f>
        <v>#N/A</v>
      </c>
      <c r="H93" s="1008" t="e">
        <f>E93/G93</f>
        <v>#N/A</v>
      </c>
      <c r="I93" s="1033" t="str">
        <f>F93</f>
        <v>mL</v>
      </c>
      <c r="J93" s="1034">
        <f>K82</f>
        <v>1</v>
      </c>
      <c r="K93" s="1033"/>
      <c r="L93" s="1035" t="e">
        <f>H93*J93</f>
        <v>#N/A</v>
      </c>
      <c r="M93" s="1033" t="s">
        <v>4</v>
      </c>
      <c r="N93" s="804" t="e">
        <f>L93^2</f>
        <v>#N/A</v>
      </c>
      <c r="O93" s="803" t="s">
        <v>17</v>
      </c>
      <c r="P93" s="803" t="s">
        <v>98</v>
      </c>
      <c r="Q93" s="803">
        <v>50</v>
      </c>
      <c r="R93" s="1009" t="e">
        <f t="shared" ref="R93:R95" si="2">(L93/$N$119)^2</f>
        <v>#N/A</v>
      </c>
      <c r="S93" s="1090" t="e">
        <f t="shared" si="1"/>
        <v>#N/A</v>
      </c>
    </row>
    <row r="94" spans="1:20" s="356" customFormat="1" ht="39.950000000000003" customHeight="1" x14ac:dyDescent="0.25">
      <c r="B94" s="1579" t="s">
        <v>172</v>
      </c>
      <c r="C94" s="1581"/>
      <c r="D94" s="1018"/>
      <c r="E94" s="1036" t="e">
        <f>E18</f>
        <v>#N/A</v>
      </c>
      <c r="F94" s="795" t="str">
        <f>F19</f>
        <v>mL</v>
      </c>
      <c r="G94" s="792">
        <f>SQRT(12)</f>
        <v>3.4641016151377544</v>
      </c>
      <c r="H94" s="792" t="e">
        <f>E94/G94</f>
        <v>#N/A</v>
      </c>
      <c r="I94" s="795" t="str">
        <f>F94</f>
        <v>mL</v>
      </c>
      <c r="J94" s="796">
        <f>K82</f>
        <v>1</v>
      </c>
      <c r="K94" s="795"/>
      <c r="L94" s="791" t="e">
        <f>H94*J94</f>
        <v>#N/A</v>
      </c>
      <c r="M94" s="795" t="s">
        <v>4</v>
      </c>
      <c r="N94" s="791" t="e">
        <f>L94^2</f>
        <v>#N/A</v>
      </c>
      <c r="O94" s="788" t="s">
        <v>17</v>
      </c>
      <c r="P94" s="788" t="s">
        <v>5</v>
      </c>
      <c r="Q94" s="788" t="s">
        <v>11</v>
      </c>
      <c r="R94" s="1024" t="e">
        <f t="shared" si="2"/>
        <v>#N/A</v>
      </c>
      <c r="S94" s="1090" t="e">
        <f t="shared" si="1"/>
        <v>#N/A</v>
      </c>
    </row>
    <row r="95" spans="1:20" s="20" customFormat="1" ht="39.950000000000003" customHeight="1" thickBot="1" x14ac:dyDescent="0.3">
      <c r="A95" s="21"/>
      <c r="B95" s="1579" t="s">
        <v>173</v>
      </c>
      <c r="C95" s="1581"/>
      <c r="D95" s="1019"/>
      <c r="E95" s="1037" t="e">
        <f>K18</f>
        <v>#N/A</v>
      </c>
      <c r="F95" s="1038" t="str">
        <f>F19</f>
        <v>mL</v>
      </c>
      <c r="G95" s="806">
        <f>SQRT(12)</f>
        <v>3.4641016151377544</v>
      </c>
      <c r="H95" s="1039" t="e">
        <f>E95/G95</f>
        <v>#N/A</v>
      </c>
      <c r="I95" s="1038" t="str">
        <f>F95</f>
        <v>mL</v>
      </c>
      <c r="J95" s="786">
        <f>K82</f>
        <v>1</v>
      </c>
      <c r="K95" s="1038"/>
      <c r="L95" s="785" t="e">
        <f>H95*J95</f>
        <v>#N/A</v>
      </c>
      <c r="M95" s="1038" t="s">
        <v>4</v>
      </c>
      <c r="N95" s="787" t="e">
        <f>L95^2</f>
        <v>#N/A</v>
      </c>
      <c r="O95" s="783" t="s">
        <v>17</v>
      </c>
      <c r="P95" s="783" t="s">
        <v>5</v>
      </c>
      <c r="Q95" s="783" t="s">
        <v>11</v>
      </c>
      <c r="R95" s="1011" t="e">
        <f t="shared" si="2"/>
        <v>#N/A</v>
      </c>
      <c r="S95" s="1090" t="e">
        <f t="shared" si="1"/>
        <v>#N/A</v>
      </c>
    </row>
    <row r="96" spans="1:20" s="20" customFormat="1" ht="5.0999999999999996" customHeight="1" thickBot="1" x14ac:dyDescent="0.3">
      <c r="A96" s="21"/>
      <c r="B96" s="1014"/>
      <c r="C96" s="1015"/>
      <c r="D96" s="1027"/>
      <c r="E96" s="1031"/>
      <c r="F96" s="1031"/>
      <c r="S96" s="1090"/>
      <c r="T96" s="303"/>
    </row>
    <row r="97" spans="1:90" s="20" customFormat="1" ht="39.950000000000003" customHeight="1" thickBot="1" x14ac:dyDescent="0.3">
      <c r="A97" s="21"/>
      <c r="B97" s="1579" t="s">
        <v>100</v>
      </c>
      <c r="C97" s="1581"/>
      <c r="D97" s="1111">
        <f>G47</f>
        <v>8.5720333590149529E-3</v>
      </c>
      <c r="E97" s="1112">
        <f>G47</f>
        <v>8.5720333590149529E-3</v>
      </c>
      <c r="F97" s="1113" t="s">
        <v>3</v>
      </c>
      <c r="S97" s="1090"/>
      <c r="T97" s="1086"/>
      <c r="U97" s="1058"/>
    </row>
    <row r="98" spans="1:90" s="20" customFormat="1" ht="39.950000000000003" customHeight="1" x14ac:dyDescent="0.25">
      <c r="A98" s="21"/>
      <c r="B98" s="1579" t="s">
        <v>101</v>
      </c>
      <c r="C98" s="1580"/>
      <c r="D98" s="1020" t="e">
        <f>E11</f>
        <v>#N/A</v>
      </c>
      <c r="E98" s="802" t="e">
        <f>E9</f>
        <v>#N/A</v>
      </c>
      <c r="F98" s="1021" t="s">
        <v>3</v>
      </c>
      <c r="G98" s="802">
        <f>SQRT(12)</f>
        <v>3.4641016151377544</v>
      </c>
      <c r="H98" s="802" t="e">
        <f>E98/G98</f>
        <v>#N/A</v>
      </c>
      <c r="I98" s="1021" t="s">
        <v>3</v>
      </c>
      <c r="J98" s="1022" t="e">
        <f>K68</f>
        <v>#N/A</v>
      </c>
      <c r="K98" s="803" t="s">
        <v>547</v>
      </c>
      <c r="L98" s="802" t="e">
        <f t="shared" ref="L98:L110" si="3">H98*J98</f>
        <v>#N/A</v>
      </c>
      <c r="M98" s="803" t="s">
        <v>4</v>
      </c>
      <c r="N98" s="804" t="e">
        <f t="shared" ref="N98:N110" si="4">L98^2</f>
        <v>#N/A</v>
      </c>
      <c r="O98" s="803" t="s">
        <v>18</v>
      </c>
      <c r="P98" s="803" t="s">
        <v>5</v>
      </c>
      <c r="Q98" s="803" t="s">
        <v>11</v>
      </c>
      <c r="R98" s="1009" t="e">
        <f>IFERROR(L98/$N$119,"--")^2</f>
        <v>#VALUE!</v>
      </c>
      <c r="S98" s="1090" t="e">
        <f t="shared" si="1"/>
        <v>#N/A</v>
      </c>
    </row>
    <row r="99" spans="1:90" s="356" customFormat="1" ht="39.950000000000003" customHeight="1" x14ac:dyDescent="0.25">
      <c r="B99" s="1579" t="s">
        <v>102</v>
      </c>
      <c r="C99" s="1580"/>
      <c r="D99" s="1023"/>
      <c r="E99" s="799" t="e">
        <f>MAX(I8:I12)</f>
        <v>#N/A</v>
      </c>
      <c r="F99" s="794" t="str">
        <f>F14</f>
        <v>°C</v>
      </c>
      <c r="G99" s="790" t="e">
        <f>O9</f>
        <v>#N/A</v>
      </c>
      <c r="H99" s="790" t="e">
        <f t="shared" ref="H99:H111" si="5">E99/G99</f>
        <v>#N/A</v>
      </c>
      <c r="I99" s="794" t="s">
        <v>3</v>
      </c>
      <c r="J99" s="798" t="e">
        <f>K68</f>
        <v>#N/A</v>
      </c>
      <c r="K99" s="788" t="s">
        <v>547</v>
      </c>
      <c r="L99" s="790" t="e">
        <f t="shared" si="3"/>
        <v>#N/A</v>
      </c>
      <c r="M99" s="788" t="s">
        <v>4</v>
      </c>
      <c r="N99" s="791" t="e">
        <f t="shared" si="4"/>
        <v>#N/A</v>
      </c>
      <c r="O99" s="788" t="s">
        <v>17</v>
      </c>
      <c r="P99" s="788" t="s">
        <v>98</v>
      </c>
      <c r="Q99" s="788">
        <v>50</v>
      </c>
      <c r="R99" s="1024" t="e">
        <f t="shared" ref="R99:R112" si="6">IFERROR(L99/$N$119,"--")^2</f>
        <v>#VALUE!</v>
      </c>
      <c r="S99" s="1090" t="e">
        <f t="shared" si="1"/>
        <v>#N/A</v>
      </c>
    </row>
    <row r="100" spans="1:90" s="20" customFormat="1" ht="39.950000000000003" customHeight="1" x14ac:dyDescent="0.25">
      <c r="A100" s="21"/>
      <c r="B100" s="1579" t="s">
        <v>99</v>
      </c>
      <c r="C100" s="1580"/>
      <c r="D100" s="1023"/>
      <c r="E100" s="796" t="e">
        <f>VLOOKUP(D97,C8:K12,9,TRUE)</f>
        <v>#N/A</v>
      </c>
      <c r="F100" s="794" t="str">
        <f>F14</f>
        <v>°C</v>
      </c>
      <c r="G100" s="793">
        <f>SQRT(12)</f>
        <v>3.4641016151377544</v>
      </c>
      <c r="H100" s="790" t="e">
        <f>E100/G100</f>
        <v>#N/A</v>
      </c>
      <c r="I100" s="794" t="s">
        <v>3</v>
      </c>
      <c r="J100" s="798" t="e">
        <f>K68</f>
        <v>#N/A</v>
      </c>
      <c r="K100" s="788" t="s">
        <v>547</v>
      </c>
      <c r="L100" s="790" t="e">
        <f t="shared" si="3"/>
        <v>#N/A</v>
      </c>
      <c r="M100" s="788" t="s">
        <v>4</v>
      </c>
      <c r="N100" s="791" t="e">
        <f t="shared" si="4"/>
        <v>#N/A</v>
      </c>
      <c r="O100" s="788" t="s">
        <v>17</v>
      </c>
      <c r="P100" s="788" t="s">
        <v>5</v>
      </c>
      <c r="Q100" s="788" t="s">
        <v>11</v>
      </c>
      <c r="R100" s="1024" t="e">
        <f t="shared" si="6"/>
        <v>#VALUE!</v>
      </c>
      <c r="S100" s="1090" t="e">
        <f t="shared" si="1"/>
        <v>#N/A</v>
      </c>
    </row>
    <row r="101" spans="1:90" s="20" customFormat="1" ht="39.950000000000003" customHeight="1" thickBot="1" x14ac:dyDescent="0.3">
      <c r="A101" s="21"/>
      <c r="B101" s="1579" t="s">
        <v>103</v>
      </c>
      <c r="C101" s="1580"/>
      <c r="D101" s="1025"/>
      <c r="E101" s="1026">
        <f>(MAX(D44:D46)-(MIN(D44:D46)))</f>
        <v>0</v>
      </c>
      <c r="F101" s="1003" t="str">
        <f>F14</f>
        <v>°C</v>
      </c>
      <c r="G101" s="784">
        <f>SQRT(12)</f>
        <v>3.4641016151377544</v>
      </c>
      <c r="H101" s="784">
        <f t="shared" si="5"/>
        <v>0</v>
      </c>
      <c r="I101" s="1003" t="s">
        <v>3</v>
      </c>
      <c r="J101" s="785" t="e">
        <f>K68</f>
        <v>#N/A</v>
      </c>
      <c r="K101" s="783" t="s">
        <v>547</v>
      </c>
      <c r="L101" s="784" t="e">
        <f t="shared" si="3"/>
        <v>#N/A</v>
      </c>
      <c r="M101" s="783" t="s">
        <v>4</v>
      </c>
      <c r="N101" s="787" t="e">
        <f t="shared" si="4"/>
        <v>#N/A</v>
      </c>
      <c r="O101" s="783" t="s">
        <v>18</v>
      </c>
      <c r="P101" s="783" t="s">
        <v>5</v>
      </c>
      <c r="Q101" s="783" t="s">
        <v>11</v>
      </c>
      <c r="R101" s="1011" t="e">
        <f t="shared" si="6"/>
        <v>#VALUE!</v>
      </c>
      <c r="S101" s="1090" t="e">
        <f t="shared" si="1"/>
        <v>#N/A</v>
      </c>
    </row>
    <row r="102" spans="1:90" s="20" customFormat="1" ht="39.950000000000003" customHeight="1" thickBot="1" x14ac:dyDescent="0.3">
      <c r="A102" s="21"/>
      <c r="B102" s="1579" t="s">
        <v>104</v>
      </c>
      <c r="C102" s="1581"/>
      <c r="D102" s="1115" t="e">
        <f>N47</f>
        <v>#N/A</v>
      </c>
      <c r="E102" s="1116">
        <f>M50</f>
        <v>0</v>
      </c>
      <c r="F102" s="1117" t="str">
        <f>F14</f>
        <v>°C</v>
      </c>
      <c r="R102" s="1059"/>
      <c r="S102" s="1090"/>
      <c r="T102" s="1086"/>
    </row>
    <row r="103" spans="1:90" s="20" customFormat="1" ht="39.950000000000003" customHeight="1" x14ac:dyDescent="0.25">
      <c r="A103" s="21"/>
      <c r="B103" s="1579" t="s">
        <v>101</v>
      </c>
      <c r="C103" s="1580"/>
      <c r="D103" s="866" t="e">
        <f>E14</f>
        <v>#N/A</v>
      </c>
      <c r="E103" s="802" t="e">
        <f>E14</f>
        <v>#N/A</v>
      </c>
      <c r="F103" s="803" t="str">
        <f>F14</f>
        <v>°C</v>
      </c>
      <c r="G103" s="802">
        <f>SQRT(12)</f>
        <v>3.4641016151377544</v>
      </c>
      <c r="H103" s="802" t="e">
        <f t="shared" si="5"/>
        <v>#N/A</v>
      </c>
      <c r="I103" s="1021" t="s">
        <v>3</v>
      </c>
      <c r="J103" s="804" t="e">
        <f>K70</f>
        <v>#N/A</v>
      </c>
      <c r="K103" s="803" t="s">
        <v>547</v>
      </c>
      <c r="L103" s="802" t="e">
        <f t="shared" si="3"/>
        <v>#N/A</v>
      </c>
      <c r="M103" s="803" t="s">
        <v>4</v>
      </c>
      <c r="N103" s="804" t="e">
        <f t="shared" si="4"/>
        <v>#N/A</v>
      </c>
      <c r="O103" s="803" t="s">
        <v>18</v>
      </c>
      <c r="P103" s="803" t="s">
        <v>5</v>
      </c>
      <c r="Q103" s="803" t="s">
        <v>11</v>
      </c>
      <c r="R103" s="1009" t="e">
        <f t="shared" si="6"/>
        <v>#VALUE!</v>
      </c>
      <c r="S103" s="1090" t="e">
        <f t="shared" si="1"/>
        <v>#N/A</v>
      </c>
    </row>
    <row r="104" spans="1:90" s="356" customFormat="1" ht="39.950000000000003" customHeight="1" x14ac:dyDescent="0.25">
      <c r="B104" s="1576" t="s">
        <v>102</v>
      </c>
      <c r="C104" s="1577"/>
      <c r="D104" s="1023"/>
      <c r="E104" s="799" t="e">
        <f>MAX(I13:I17)</f>
        <v>#N/A</v>
      </c>
      <c r="F104" s="794" t="str">
        <f>F14</f>
        <v>°C</v>
      </c>
      <c r="G104" s="796" t="e">
        <f>O14</f>
        <v>#N/A</v>
      </c>
      <c r="H104" s="790" t="e">
        <f t="shared" si="5"/>
        <v>#N/A</v>
      </c>
      <c r="I104" s="794" t="s">
        <v>3</v>
      </c>
      <c r="J104" s="791" t="e">
        <f>K70</f>
        <v>#N/A</v>
      </c>
      <c r="K104" s="788" t="s">
        <v>547</v>
      </c>
      <c r="L104" s="790" t="e">
        <f>H104*J104</f>
        <v>#N/A</v>
      </c>
      <c r="M104" s="788" t="s">
        <v>4</v>
      </c>
      <c r="N104" s="791" t="e">
        <f>L104^2</f>
        <v>#N/A</v>
      </c>
      <c r="O104" s="788" t="s">
        <v>17</v>
      </c>
      <c r="P104" s="788" t="s">
        <v>98</v>
      </c>
      <c r="Q104" s="788">
        <v>50</v>
      </c>
      <c r="R104" s="1024" t="e">
        <f t="shared" si="6"/>
        <v>#VALUE!</v>
      </c>
      <c r="S104" s="1090" t="e">
        <f t="shared" si="1"/>
        <v>#N/A</v>
      </c>
    </row>
    <row r="105" spans="1:90" s="20" customFormat="1" ht="39.950000000000003" customHeight="1" x14ac:dyDescent="0.25">
      <c r="A105" s="21"/>
      <c r="B105" s="1576" t="s">
        <v>99</v>
      </c>
      <c r="C105" s="1577"/>
      <c r="D105" s="1040"/>
      <c r="E105" s="797" t="e">
        <f>VLOOKUP(D102,C13:K17,9,TRUE)</f>
        <v>#N/A</v>
      </c>
      <c r="F105" s="794" t="str">
        <f>F14</f>
        <v>°C</v>
      </c>
      <c r="G105" s="793">
        <f>SQRT(12)</f>
        <v>3.4641016151377544</v>
      </c>
      <c r="H105" s="790" t="e">
        <f t="shared" si="5"/>
        <v>#N/A</v>
      </c>
      <c r="I105" s="794" t="s">
        <v>3</v>
      </c>
      <c r="J105" s="791" t="e">
        <f>K70</f>
        <v>#N/A</v>
      </c>
      <c r="K105" s="788" t="s">
        <v>547</v>
      </c>
      <c r="L105" s="790" t="e">
        <f t="shared" si="3"/>
        <v>#N/A</v>
      </c>
      <c r="M105" s="788" t="s">
        <v>4</v>
      </c>
      <c r="N105" s="791" t="e">
        <f t="shared" si="4"/>
        <v>#N/A</v>
      </c>
      <c r="O105" s="788" t="s">
        <v>17</v>
      </c>
      <c r="P105" s="788" t="s">
        <v>5</v>
      </c>
      <c r="Q105" s="788" t="s">
        <v>11</v>
      </c>
      <c r="R105" s="1024" t="e">
        <f t="shared" si="6"/>
        <v>#VALUE!</v>
      </c>
      <c r="S105" s="1090" t="e">
        <f t="shared" si="1"/>
        <v>#N/A</v>
      </c>
    </row>
    <row r="106" spans="1:90" s="20" customFormat="1" ht="39.950000000000003" customHeight="1" thickBot="1" x14ac:dyDescent="0.3">
      <c r="A106" s="21"/>
      <c r="B106" s="1576" t="s">
        <v>103</v>
      </c>
      <c r="C106" s="1577"/>
      <c r="D106" s="1010"/>
      <c r="E106" s="806" t="e">
        <f>(MAX(J44:J46)-(MIN(J44:J46)))</f>
        <v>#N/A</v>
      </c>
      <c r="F106" s="1003" t="str">
        <f>F14</f>
        <v>°C</v>
      </c>
      <c r="G106" s="784">
        <f>SQRT(12)</f>
        <v>3.4641016151377544</v>
      </c>
      <c r="H106" s="784" t="e">
        <f t="shared" si="5"/>
        <v>#N/A</v>
      </c>
      <c r="I106" s="1003" t="s">
        <v>3</v>
      </c>
      <c r="J106" s="787" t="e">
        <f>K70</f>
        <v>#N/A</v>
      </c>
      <c r="K106" s="783" t="s">
        <v>547</v>
      </c>
      <c r="L106" s="784" t="e">
        <f t="shared" si="3"/>
        <v>#N/A</v>
      </c>
      <c r="M106" s="783" t="s">
        <v>4</v>
      </c>
      <c r="N106" s="787" t="e">
        <f t="shared" si="4"/>
        <v>#N/A</v>
      </c>
      <c r="O106" s="783" t="s">
        <v>18</v>
      </c>
      <c r="P106" s="783" t="s">
        <v>5</v>
      </c>
      <c r="Q106" s="783" t="s">
        <v>11</v>
      </c>
      <c r="R106" s="1011" t="e">
        <f t="shared" si="6"/>
        <v>#VALUE!</v>
      </c>
      <c r="S106" s="1090" t="e">
        <f t="shared" si="1"/>
        <v>#N/A</v>
      </c>
    </row>
    <row r="107" spans="1:90" s="20" customFormat="1" ht="45.95" customHeight="1" thickBot="1" x14ac:dyDescent="0.3">
      <c r="A107" s="21"/>
      <c r="B107" s="1576" t="s">
        <v>152</v>
      </c>
      <c r="C107" s="1578"/>
      <c r="D107" s="1118" t="e">
        <f>D37</f>
        <v>#N/A</v>
      </c>
      <c r="E107" s="1119" t="e">
        <f>D37</f>
        <v>#N/A</v>
      </c>
      <c r="F107" s="1120" t="s">
        <v>10</v>
      </c>
      <c r="R107" s="1086"/>
      <c r="S107" s="1090"/>
      <c r="T107" s="1086"/>
    </row>
    <row r="108" spans="1:90" s="356" customFormat="1" ht="45.95" customHeight="1" x14ac:dyDescent="0.25">
      <c r="A108" s="21"/>
      <c r="B108" s="1576" t="s">
        <v>329</v>
      </c>
      <c r="C108" s="1577"/>
      <c r="D108" s="1005"/>
      <c r="E108" s="1044" t="e">
        <f>(D37*5%)</f>
        <v>#N/A</v>
      </c>
      <c r="F108" s="803" t="s">
        <v>10</v>
      </c>
      <c r="G108" s="802">
        <f>SQRT(3)</f>
        <v>1.7320508075688772</v>
      </c>
      <c r="H108" s="802" t="e">
        <f>E108/G108</f>
        <v>#N/A</v>
      </c>
      <c r="I108" s="803" t="s">
        <v>10</v>
      </c>
      <c r="J108" s="1035" t="e">
        <f>K76</f>
        <v>#N/A</v>
      </c>
      <c r="K108" s="803" t="s">
        <v>509</v>
      </c>
      <c r="L108" s="802" t="e">
        <f t="shared" si="3"/>
        <v>#N/A</v>
      </c>
      <c r="M108" s="803" t="s">
        <v>4</v>
      </c>
      <c r="N108" s="804" t="e">
        <f t="shared" si="4"/>
        <v>#N/A</v>
      </c>
      <c r="O108" s="803" t="s">
        <v>105</v>
      </c>
      <c r="P108" s="803" t="s">
        <v>5</v>
      </c>
      <c r="Q108" s="803" t="s">
        <v>11</v>
      </c>
      <c r="R108" s="1009" t="e">
        <f t="shared" si="6"/>
        <v>#VALUE!</v>
      </c>
      <c r="S108" s="1090" t="e">
        <f t="shared" si="1"/>
        <v>#N/A</v>
      </c>
    </row>
    <row r="109" spans="1:90" s="358" customFormat="1" ht="45.95" customHeight="1" x14ac:dyDescent="0.25">
      <c r="A109" s="21"/>
      <c r="B109" s="1576" t="s">
        <v>328</v>
      </c>
      <c r="C109" s="1577"/>
      <c r="D109" s="1081" t="s">
        <v>1</v>
      </c>
      <c r="E109" s="800" t="e">
        <f>(D33*5%)</f>
        <v>#N/A</v>
      </c>
      <c r="F109" s="788" t="s">
        <v>10</v>
      </c>
      <c r="G109" s="790">
        <f>SQRT(3)</f>
        <v>1.7320508075688772</v>
      </c>
      <c r="H109" s="790" t="e">
        <f t="shared" si="5"/>
        <v>#N/A</v>
      </c>
      <c r="I109" s="788" t="s">
        <v>10</v>
      </c>
      <c r="J109" s="799" t="e">
        <f>K72</f>
        <v>#N/A</v>
      </c>
      <c r="K109" s="788" t="s">
        <v>509</v>
      </c>
      <c r="L109" s="790" t="e">
        <f t="shared" si="3"/>
        <v>#N/A</v>
      </c>
      <c r="M109" s="788" t="s">
        <v>4</v>
      </c>
      <c r="N109" s="791" t="e">
        <f t="shared" si="4"/>
        <v>#N/A</v>
      </c>
      <c r="O109" s="788" t="s">
        <v>106</v>
      </c>
      <c r="P109" s="788" t="s">
        <v>5</v>
      </c>
      <c r="Q109" s="788" t="s">
        <v>11</v>
      </c>
      <c r="R109" s="1024" t="e">
        <f t="shared" si="6"/>
        <v>#VALUE!</v>
      </c>
      <c r="S109" s="1090" t="e">
        <f t="shared" si="1"/>
        <v>#N/A</v>
      </c>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c r="BV109" s="20"/>
      <c r="BW109" s="20"/>
      <c r="BX109" s="20"/>
      <c r="BY109" s="20"/>
      <c r="BZ109" s="20"/>
      <c r="CA109" s="20"/>
      <c r="CB109" s="20"/>
      <c r="CC109" s="20"/>
      <c r="CD109" s="20"/>
      <c r="CE109" s="20"/>
      <c r="CF109" s="20"/>
      <c r="CG109" s="20"/>
      <c r="CH109" s="20"/>
      <c r="CI109" s="20"/>
      <c r="CJ109" s="20"/>
      <c r="CK109" s="20"/>
      <c r="CL109" s="20"/>
    </row>
    <row r="110" spans="1:90" s="356" customFormat="1" ht="45.95" customHeight="1" x14ac:dyDescent="0.25">
      <c r="B110" s="1576" t="s">
        <v>328</v>
      </c>
      <c r="C110" s="1577"/>
      <c r="D110" s="1081" t="s">
        <v>0</v>
      </c>
      <c r="E110" s="800" t="e">
        <f>(F33*5%)</f>
        <v>#N/A</v>
      </c>
      <c r="F110" s="788" t="s">
        <v>10</v>
      </c>
      <c r="G110" s="790">
        <f>SQRT(3)</f>
        <v>1.7320508075688772</v>
      </c>
      <c r="H110" s="790" t="e">
        <f t="shared" si="5"/>
        <v>#N/A</v>
      </c>
      <c r="I110" s="788" t="s">
        <v>10</v>
      </c>
      <c r="J110" s="799" t="e">
        <f>K74</f>
        <v>#N/A</v>
      </c>
      <c r="K110" s="788" t="s">
        <v>509</v>
      </c>
      <c r="L110" s="790" t="e">
        <f t="shared" si="3"/>
        <v>#N/A</v>
      </c>
      <c r="M110" s="788" t="s">
        <v>4</v>
      </c>
      <c r="N110" s="791" t="e">
        <f t="shared" si="4"/>
        <v>#N/A</v>
      </c>
      <c r="O110" s="788" t="s">
        <v>107</v>
      </c>
      <c r="P110" s="788" t="s">
        <v>5</v>
      </c>
      <c r="Q110" s="788" t="s">
        <v>11</v>
      </c>
      <c r="R110" s="1024" t="e">
        <f t="shared" si="6"/>
        <v>#VALUE!</v>
      </c>
      <c r="S110" s="1090" t="e">
        <f t="shared" si="1"/>
        <v>#N/A</v>
      </c>
    </row>
    <row r="111" spans="1:90" s="20" customFormat="1" ht="45.95" customHeight="1" x14ac:dyDescent="0.25">
      <c r="A111" s="23"/>
      <c r="B111" s="1576" t="s">
        <v>328</v>
      </c>
      <c r="C111" s="1577"/>
      <c r="D111" s="1081" t="s">
        <v>28</v>
      </c>
      <c r="E111" s="800" t="e">
        <f>(D36*7.5%)</f>
        <v>#N/A</v>
      </c>
      <c r="F111" s="788" t="s">
        <v>10</v>
      </c>
      <c r="G111" s="790">
        <f>SQRT(12)</f>
        <v>3.4641016151377544</v>
      </c>
      <c r="H111" s="798" t="e">
        <f t="shared" si="5"/>
        <v>#N/A</v>
      </c>
      <c r="I111" s="788" t="s">
        <v>10</v>
      </c>
      <c r="J111" s="796">
        <f>K82</f>
        <v>1</v>
      </c>
      <c r="K111" s="788" t="s">
        <v>509</v>
      </c>
      <c r="L111" s="798" t="e">
        <f>H111*J111</f>
        <v>#N/A</v>
      </c>
      <c r="M111" s="788" t="s">
        <v>4</v>
      </c>
      <c r="N111" s="791" t="e">
        <f>L111^2</f>
        <v>#N/A</v>
      </c>
      <c r="O111" s="788" t="s">
        <v>107</v>
      </c>
      <c r="P111" s="788" t="s">
        <v>5</v>
      </c>
      <c r="Q111" s="788" t="s">
        <v>11</v>
      </c>
      <c r="R111" s="1024" t="e">
        <f t="shared" si="6"/>
        <v>#VALUE!</v>
      </c>
      <c r="S111" s="1090" t="e">
        <f t="shared" si="1"/>
        <v>#N/A</v>
      </c>
    </row>
    <row r="112" spans="1:90" s="20" customFormat="1" ht="45.95" customHeight="1" thickBot="1" x14ac:dyDescent="0.3">
      <c r="A112" s="23"/>
      <c r="B112" s="1574" t="s">
        <v>527</v>
      </c>
      <c r="C112" s="1575"/>
      <c r="D112" s="1064"/>
      <c r="E112" s="782">
        <v>0.25703300000000001</v>
      </c>
      <c r="F112" s="783" t="s">
        <v>4</v>
      </c>
      <c r="G112" s="784">
        <f>SQRT(9)</f>
        <v>3</v>
      </c>
      <c r="H112" s="785">
        <f>E112/G112</f>
        <v>8.5677666666666666E-2</v>
      </c>
      <c r="I112" s="783" t="s">
        <v>4</v>
      </c>
      <c r="J112" s="786">
        <v>1</v>
      </c>
      <c r="K112" s="783" t="s">
        <v>4</v>
      </c>
      <c r="L112" s="785">
        <f>H112*J112</f>
        <v>8.5677666666666666E-2</v>
      </c>
      <c r="M112" s="783" t="s">
        <v>4</v>
      </c>
      <c r="N112" s="787">
        <f>L112^2</f>
        <v>7.3406625654444443E-3</v>
      </c>
      <c r="O112" s="783" t="s">
        <v>522</v>
      </c>
      <c r="P112" s="783" t="s">
        <v>513</v>
      </c>
      <c r="Q112" s="783">
        <v>6</v>
      </c>
      <c r="R112" s="1011" t="e">
        <f t="shared" si="6"/>
        <v>#VALUE!</v>
      </c>
      <c r="S112" s="1090" t="e">
        <f t="shared" si="1"/>
        <v>#N/A</v>
      </c>
    </row>
    <row r="113" spans="1:31" s="20" customFormat="1" ht="30" customHeight="1" x14ac:dyDescent="0.25">
      <c r="A113" s="327"/>
      <c r="B113" s="789"/>
      <c r="C113" s="789"/>
      <c r="D113" s="789"/>
      <c r="E113" s="801"/>
      <c r="F113" s="789"/>
      <c r="G113" s="789"/>
      <c r="H113" s="789"/>
      <c r="I113" s="789"/>
      <c r="J113" s="789"/>
      <c r="K113" s="789"/>
      <c r="L113" s="789"/>
      <c r="M113" s="789"/>
      <c r="N113" s="789"/>
      <c r="O113" s="789"/>
      <c r="P113" s="789"/>
      <c r="Q113" s="789"/>
      <c r="R113" s="1060"/>
      <c r="S113" s="1090"/>
    </row>
    <row r="114" spans="1:31" s="20" customFormat="1" ht="30" customHeight="1" thickBot="1" x14ac:dyDescent="0.3">
      <c r="A114" s="327"/>
      <c r="B114" s="1582" t="s">
        <v>108</v>
      </c>
      <c r="C114" s="1583"/>
      <c r="D114" s="1584"/>
      <c r="E114" s="1584"/>
      <c r="F114" s="1584"/>
      <c r="G114" s="1584"/>
      <c r="H114" s="1584"/>
      <c r="I114" s="1584"/>
      <c r="J114" s="1584"/>
      <c r="K114" s="1584"/>
      <c r="L114" s="1584"/>
      <c r="M114" s="1584"/>
      <c r="N114" s="1584"/>
      <c r="O114" s="1584"/>
      <c r="P114" s="1584"/>
      <c r="Q114" s="1584"/>
      <c r="R114" s="1585"/>
      <c r="S114" s="1090"/>
    </row>
    <row r="115" spans="1:31" s="20" customFormat="1" ht="30" customHeight="1" x14ac:dyDescent="0.25">
      <c r="A115" s="21"/>
      <c r="B115" s="1594" t="s">
        <v>109</v>
      </c>
      <c r="C115" s="1595"/>
      <c r="D115" s="1122"/>
      <c r="E115" s="790" t="e">
        <f>(PI()*(D34)^2/4)*D35</f>
        <v>#N/A</v>
      </c>
      <c r="F115" s="788" t="s">
        <v>4</v>
      </c>
      <c r="G115" s="790">
        <f>SQRT(3)</f>
        <v>1.7320508075688772</v>
      </c>
      <c r="H115" s="790" t="e">
        <f>E115/G115</f>
        <v>#N/A</v>
      </c>
      <c r="I115" s="788" t="s">
        <v>4</v>
      </c>
      <c r="J115" s="790">
        <v>1</v>
      </c>
      <c r="K115" s="788"/>
      <c r="L115" s="790" t="e">
        <f>H115*J115</f>
        <v>#N/A</v>
      </c>
      <c r="M115" s="788" t="s">
        <v>4</v>
      </c>
      <c r="N115" s="791" t="e">
        <f>L115^2</f>
        <v>#N/A</v>
      </c>
      <c r="O115" s="788" t="s">
        <v>16</v>
      </c>
      <c r="P115" s="788" t="s">
        <v>5</v>
      </c>
      <c r="Q115" s="788" t="s">
        <v>11</v>
      </c>
      <c r="R115" s="1114" t="e">
        <f t="shared" ref="R115:R118" si="7">IFERROR(L115/$N$119,"--")^2</f>
        <v>#VALUE!</v>
      </c>
      <c r="S115" s="1090" t="e">
        <f t="shared" si="1"/>
        <v>#N/A</v>
      </c>
    </row>
    <row r="116" spans="1:31" s="20" customFormat="1" ht="30" customHeight="1" x14ac:dyDescent="0.25">
      <c r="B116" s="1579" t="s">
        <v>110</v>
      </c>
      <c r="C116" s="1580"/>
      <c r="D116" s="1122"/>
      <c r="E116" s="793" t="e">
        <f>(PI()*(1.5/2)^2*F35)+(PI()*(F34/2)^2*F35)</f>
        <v>#N/A</v>
      </c>
      <c r="F116" s="788" t="s">
        <v>4</v>
      </c>
      <c r="G116" s="790">
        <f>SQRT(3)</f>
        <v>1.7320508075688772</v>
      </c>
      <c r="H116" s="790" t="e">
        <f>E116/G116</f>
        <v>#N/A</v>
      </c>
      <c r="I116" s="788" t="s">
        <v>4</v>
      </c>
      <c r="J116" s="790">
        <v>1</v>
      </c>
      <c r="K116" s="788"/>
      <c r="L116" s="790" t="e">
        <f>H116*J116</f>
        <v>#N/A</v>
      </c>
      <c r="M116" s="788" t="s">
        <v>4</v>
      </c>
      <c r="N116" s="791" t="e">
        <f>L116^2</f>
        <v>#N/A</v>
      </c>
      <c r="O116" s="788" t="s">
        <v>16</v>
      </c>
      <c r="P116" s="788" t="s">
        <v>5</v>
      </c>
      <c r="Q116" s="788" t="s">
        <v>11</v>
      </c>
      <c r="R116" s="1114" t="e">
        <f t="shared" si="7"/>
        <v>#VALUE!</v>
      </c>
      <c r="S116" s="1090" t="e">
        <f t="shared" si="1"/>
        <v>#N/A</v>
      </c>
    </row>
    <row r="117" spans="1:31" s="235" customFormat="1" ht="39.950000000000003" customHeight="1" x14ac:dyDescent="0.25">
      <c r="A117" s="233"/>
      <c r="B117" s="1579" t="s">
        <v>111</v>
      </c>
      <c r="C117" s="1580"/>
      <c r="D117" s="1122"/>
      <c r="E117" s="791" t="e">
        <f>H59</f>
        <v>#N/A</v>
      </c>
      <c r="F117" s="788" t="s">
        <v>4</v>
      </c>
      <c r="G117" s="793">
        <f>SQRT(B46)</f>
        <v>1.7320508075688772</v>
      </c>
      <c r="H117" s="791" t="e">
        <f>E117/G117</f>
        <v>#N/A</v>
      </c>
      <c r="I117" s="788" t="s">
        <v>4</v>
      </c>
      <c r="J117" s="790">
        <v>1</v>
      </c>
      <c r="K117" s="788"/>
      <c r="L117" s="790" t="e">
        <f>H117*J117</f>
        <v>#N/A</v>
      </c>
      <c r="M117" s="788" t="s">
        <v>4</v>
      </c>
      <c r="N117" s="791" t="e">
        <f>L117^2</f>
        <v>#N/A</v>
      </c>
      <c r="O117" s="788" t="s">
        <v>6</v>
      </c>
      <c r="P117" s="788" t="s">
        <v>98</v>
      </c>
      <c r="Q117" s="788">
        <f>B46-1</f>
        <v>2</v>
      </c>
      <c r="R117" s="1114" t="e">
        <f t="shared" si="7"/>
        <v>#VALUE!</v>
      </c>
      <c r="S117" s="1090" t="e">
        <f t="shared" si="1"/>
        <v>#N/A</v>
      </c>
    </row>
    <row r="118" spans="1:31" s="273" customFormat="1" ht="30" customHeight="1" thickBot="1" x14ac:dyDescent="0.3">
      <c r="A118" s="359" t="s">
        <v>112</v>
      </c>
      <c r="B118" s="1596" t="s">
        <v>113</v>
      </c>
      <c r="C118" s="1597"/>
      <c r="D118" s="1122"/>
      <c r="E118" s="793" t="e">
        <f>C122*0.01%</f>
        <v>#N/A</v>
      </c>
      <c r="F118" s="788" t="s">
        <v>4</v>
      </c>
      <c r="G118" s="790">
        <v>1</v>
      </c>
      <c r="H118" s="790" t="e">
        <f>E118/G118</f>
        <v>#N/A</v>
      </c>
      <c r="I118" s="788" t="s">
        <v>4</v>
      </c>
      <c r="J118" s="790">
        <v>1</v>
      </c>
      <c r="K118" s="788"/>
      <c r="L118" s="790" t="e">
        <f>H118*J118</f>
        <v>#N/A</v>
      </c>
      <c r="M118" s="788" t="s">
        <v>4</v>
      </c>
      <c r="N118" s="791" t="e">
        <f>L118^2</f>
        <v>#N/A</v>
      </c>
      <c r="O118" s="788" t="s">
        <v>114</v>
      </c>
      <c r="P118" s="788" t="s">
        <v>98</v>
      </c>
      <c r="Q118" s="788" t="s">
        <v>11</v>
      </c>
      <c r="R118" s="1114" t="e">
        <f t="shared" si="7"/>
        <v>#VALUE!</v>
      </c>
      <c r="S118" s="1110" t="e">
        <f>IF(L118=MAX($L$89,$L$90,$L$93,$L$94,$L$95,$L$98,$L$99,$L$100,$L$101,$L$103,$L$104,$L$105,$L$106,$L$108,$L$109,$L$110,$L$111,$L$112,,$L$115,$L$116,$L$117,$L$118),"",L118)</f>
        <v>#N/A</v>
      </c>
    </row>
    <row r="119" spans="1:31" s="273" customFormat="1" ht="45.75" customHeight="1" thickBot="1" x14ac:dyDescent="0.3">
      <c r="A119" s="21"/>
      <c r="B119" s="807"/>
      <c r="C119" s="807"/>
      <c r="D119" s="807"/>
      <c r="E119" s="807"/>
      <c r="F119" s="807"/>
      <c r="G119" s="807"/>
      <c r="H119" s="807"/>
      <c r="I119" s="807"/>
      <c r="J119" s="807"/>
      <c r="K119" s="807"/>
      <c r="L119" s="360"/>
      <c r="M119" s="361"/>
      <c r="N119" s="119" t="e">
        <f>SQRT(SUM(N89:N90,N93:N95,N98:N101,N103:N106,N108:N111,N112,N115,N116,N117,N118))</f>
        <v>#N/A</v>
      </c>
      <c r="P119" s="807"/>
      <c r="Q119" s="807"/>
      <c r="R119" s="1121" t="e">
        <f>SUM(R89:R90,R93:R95,R98:R101,R103:R106,R108:R112,R114:R118)</f>
        <v>#N/A</v>
      </c>
      <c r="S119" s="20"/>
    </row>
    <row r="120" spans="1:31" s="273" customFormat="1" ht="41.25" customHeight="1" thickBot="1" x14ac:dyDescent="0.3">
      <c r="A120" s="21"/>
      <c r="B120" s="1568" t="s">
        <v>116</v>
      </c>
      <c r="C120" s="1569"/>
      <c r="D120" s="1569"/>
      <c r="E120" s="1569"/>
      <c r="F120" s="1569"/>
      <c r="G120" s="1569"/>
      <c r="H120" s="1569"/>
      <c r="I120" s="1570"/>
      <c r="J120" s="807"/>
      <c r="K120" s="21"/>
      <c r="L120" s="1588" t="s">
        <v>115</v>
      </c>
      <c r="M120" s="1589"/>
      <c r="N120" s="209" t="e">
        <f>E122*N119</f>
        <v>#N/A</v>
      </c>
      <c r="O120" s="1088"/>
      <c r="P120" s="21"/>
      <c r="R120" s="77"/>
      <c r="S120" s="20"/>
    </row>
    <row r="121" spans="1:31" s="20" customFormat="1" ht="34.5" customHeight="1" thickBot="1" x14ac:dyDescent="0.3">
      <c r="A121" s="23"/>
      <c r="B121" s="362"/>
      <c r="C121" s="363" t="s">
        <v>404</v>
      </c>
      <c r="D121" s="364" t="s">
        <v>405</v>
      </c>
      <c r="E121" s="364" t="s">
        <v>89</v>
      </c>
      <c r="F121" s="364" t="s">
        <v>7</v>
      </c>
      <c r="G121" s="364" t="s">
        <v>406</v>
      </c>
      <c r="H121" s="364" t="s">
        <v>8</v>
      </c>
      <c r="I121" s="365" t="s">
        <v>117</v>
      </c>
      <c r="J121" s="807"/>
      <c r="K121" s="366"/>
      <c r="L121" s="1590" t="s">
        <v>339</v>
      </c>
      <c r="M121" s="1591"/>
      <c r="N121" s="118" t="e">
        <f>(N119^4)/((L89^4/Q89)+(L99^4/Q99)+(L104^4/Q104)+(L93^4/Q93)+(L112^4/Q112)+(L117^4/Q117))</f>
        <v>#N/A</v>
      </c>
      <c r="O121" s="21"/>
    </row>
    <row r="122" spans="1:31" s="20" customFormat="1" ht="30" customHeight="1" thickBot="1" x14ac:dyDescent="0.3">
      <c r="A122" s="23"/>
      <c r="B122" s="587" t="s">
        <v>4</v>
      </c>
      <c r="C122" s="655" t="e">
        <f>$H$58</f>
        <v>#N/A</v>
      </c>
      <c r="D122" s="1143" t="e">
        <f>N119</f>
        <v>#N/A</v>
      </c>
      <c r="E122" s="1598" t="str">
        <f>N125</f>
        <v>2</v>
      </c>
      <c r="F122" s="1143" t="e">
        <f>(D122*E122)</f>
        <v>#N/A</v>
      </c>
      <c r="G122" s="1601">
        <v>95</v>
      </c>
      <c r="H122" s="1143" t="e">
        <f>C122-C7</f>
        <v>#N/A</v>
      </c>
      <c r="I122" s="1160" t="e">
        <f>ABS(H122)</f>
        <v>#N/A</v>
      </c>
      <c r="J122" s="807"/>
      <c r="K122" s="367"/>
    </row>
    <row r="123" spans="1:31" s="20" customFormat="1" ht="30" customHeight="1" thickBot="1" x14ac:dyDescent="0.3">
      <c r="A123" s="23"/>
      <c r="B123" s="588" t="s">
        <v>407</v>
      </c>
      <c r="C123" s="230" t="e">
        <f>C122/L30</f>
        <v>#N/A</v>
      </c>
      <c r="D123" s="295" t="e">
        <f>D122/K28</f>
        <v>#N/A</v>
      </c>
      <c r="E123" s="1599"/>
      <c r="F123" s="295" t="e">
        <f>D123*E122</f>
        <v>#N/A</v>
      </c>
      <c r="G123" s="1602"/>
      <c r="H123" s="295" t="e">
        <f>H122/L30</f>
        <v>#N/A</v>
      </c>
      <c r="I123" s="296" t="e">
        <f>ABS(H123)</f>
        <v>#N/A</v>
      </c>
      <c r="J123" s="807"/>
      <c r="K123" s="23"/>
      <c r="L123" s="1592" t="s">
        <v>89</v>
      </c>
      <c r="M123" s="1593"/>
      <c r="N123" s="23"/>
      <c r="O123" s="652">
        <v>0.3</v>
      </c>
      <c r="P123" s="368">
        <v>1.65</v>
      </c>
    </row>
    <row r="124" spans="1:31" s="21" customFormat="1" ht="36.75" customHeight="1" thickBot="1" x14ac:dyDescent="0.3">
      <c r="B124" s="588" t="s">
        <v>9</v>
      </c>
      <c r="C124" s="369" t="e">
        <f>C123/L27</f>
        <v>#N/A</v>
      </c>
      <c r="D124" s="586" t="e">
        <f>D123/L27</f>
        <v>#N/A</v>
      </c>
      <c r="E124" s="1599"/>
      <c r="F124" s="369" t="e">
        <f>D124*E122</f>
        <v>#N/A</v>
      </c>
      <c r="G124" s="1602"/>
      <c r="H124" s="369" t="e">
        <f>H123/L27</f>
        <v>#N/A</v>
      </c>
      <c r="I124" s="580" t="e">
        <f>ABS(H124)</f>
        <v>#N/A</v>
      </c>
      <c r="J124" s="807"/>
      <c r="L124" s="653" t="e">
        <f>_xlfn.T.INV.2T(0.05,N121)</f>
        <v>#N/A</v>
      </c>
      <c r="M124" s="654" t="e">
        <f>TINV(0.05,N121)</f>
        <v>#N/A</v>
      </c>
      <c r="N124" s="154" t="s">
        <v>89</v>
      </c>
      <c r="O124" s="1571" t="s">
        <v>297</v>
      </c>
      <c r="P124" s="1572"/>
      <c r="Q124" s="1573"/>
      <c r="AA124" s="370"/>
    </row>
    <row r="125" spans="1:31" s="20" customFormat="1" ht="42" customHeight="1" thickBot="1" x14ac:dyDescent="0.3">
      <c r="A125" s="23"/>
      <c r="B125" s="1144" t="s">
        <v>246</v>
      </c>
      <c r="C125" s="302" t="e">
        <f>(C122*100)/C7</f>
        <v>#N/A</v>
      </c>
      <c r="D125" s="589" t="e">
        <f>(D124/C124)</f>
        <v>#N/A</v>
      </c>
      <c r="E125" s="1600"/>
      <c r="F125" s="144" t="e">
        <f>(D125*E122)*100</f>
        <v>#N/A</v>
      </c>
      <c r="G125" s="1603"/>
      <c r="H125" s="589" t="e">
        <f>(H124*100)/C124</f>
        <v>#N/A</v>
      </c>
      <c r="I125" s="584" t="e">
        <f>(I124*100)/M27</f>
        <v>#N/A</v>
      </c>
      <c r="J125" s="807"/>
      <c r="K125" s="23"/>
      <c r="L125" s="1586" t="s">
        <v>289</v>
      </c>
      <c r="M125" s="1587"/>
      <c r="N125" s="154" t="str">
        <f>IF((M126)&lt;=(O123),"1,65","2")</f>
        <v>2</v>
      </c>
      <c r="O125" s="155" t="s">
        <v>292</v>
      </c>
      <c r="P125" s="156" t="s">
        <v>293</v>
      </c>
      <c r="Q125" s="157" t="s">
        <v>294</v>
      </c>
      <c r="AA125" s="273"/>
      <c r="AB125" s="273"/>
      <c r="AC125" s="273"/>
      <c r="AD125" s="273"/>
      <c r="AE125" s="273"/>
    </row>
    <row r="126" spans="1:31" s="20" customFormat="1" ht="30" customHeight="1" thickBot="1" x14ac:dyDescent="0.3">
      <c r="C126" s="371"/>
      <c r="D126" s="319"/>
      <c r="E126" s="372"/>
      <c r="G126" s="596"/>
      <c r="H126" s="597"/>
      <c r="K126" s="21"/>
      <c r="L126" s="679" t="s">
        <v>296</v>
      </c>
      <c r="M126" s="175" t="str">
        <f>IFERROR(SQRT(SUMSQ(S89:S90,S93:S95,S98:S101,S103:S106,S108:S112,S115:S118))/MAX(L89:L90,L93:L95,L98:L101,L103:L106,L108:L112,L115:L118),"--")</f>
        <v>--</v>
      </c>
      <c r="N126" s="318"/>
      <c r="O126" s="158" t="s">
        <v>292</v>
      </c>
      <c r="P126" s="159" t="s">
        <v>298</v>
      </c>
      <c r="Q126" s="160" t="s">
        <v>295</v>
      </c>
    </row>
    <row r="127" spans="1:31" x14ac:dyDescent="0.2">
      <c r="G127" s="598"/>
      <c r="H127" s="599"/>
    </row>
  </sheetData>
  <sheetProtection algorithmName="SHA-512" hashValue="dLx1m9OqJ6xStGSf4v7oCDhXi141fZc0xz2KIBvzJKOiUFKU7UKUPx6CCeMr/1XtvrJLMdi5XbNXcwrM0yhg5g==" saltValue="3Yy0Fmiz7xT71/b4jdbd4A==" spinCount="100000" sheet="1" objects="1" scenarios="1"/>
  <mergeCells count="138">
    <mergeCell ref="Q46:Y48"/>
    <mergeCell ref="I33:J33"/>
    <mergeCell ref="N33:O33"/>
    <mergeCell ref="B42:G42"/>
    <mergeCell ref="I42:N42"/>
    <mergeCell ref="E53:L53"/>
    <mergeCell ref="B41:N41"/>
    <mergeCell ref="B47:F47"/>
    <mergeCell ref="I47:M47"/>
    <mergeCell ref="B35:C35"/>
    <mergeCell ref="B36:C36"/>
    <mergeCell ref="B37:C37"/>
    <mergeCell ref="B39:C39"/>
    <mergeCell ref="D39:G39"/>
    <mergeCell ref="Q45:Y45"/>
    <mergeCell ref="I35:P35"/>
    <mergeCell ref="I36:K36"/>
    <mergeCell ref="L36:N36"/>
    <mergeCell ref="I37:J37"/>
    <mergeCell ref="L37:M37"/>
    <mergeCell ref="I38:J38"/>
    <mergeCell ref="L38:M38"/>
    <mergeCell ref="I39:J39"/>
    <mergeCell ref="L39:M39"/>
    <mergeCell ref="I25:I26"/>
    <mergeCell ref="J25:J26"/>
    <mergeCell ref="E60:G60"/>
    <mergeCell ref="B27:C27"/>
    <mergeCell ref="B28:C28"/>
    <mergeCell ref="B29:C29"/>
    <mergeCell ref="B30:C30"/>
    <mergeCell ref="K19:K20"/>
    <mergeCell ref="L19:L20"/>
    <mergeCell ref="K25:K26"/>
    <mergeCell ref="L25:L26"/>
    <mergeCell ref="F27:G27"/>
    <mergeCell ref="F28:G28"/>
    <mergeCell ref="B32:C32"/>
    <mergeCell ref="B33:C33"/>
    <mergeCell ref="B34:C34"/>
    <mergeCell ref="B31:C31"/>
    <mergeCell ref="D27:E27"/>
    <mergeCell ref="D28:E28"/>
    <mergeCell ref="S19:S20"/>
    <mergeCell ref="B24:G24"/>
    <mergeCell ref="I24:R24"/>
    <mergeCell ref="D26:E26"/>
    <mergeCell ref="B26:C26"/>
    <mergeCell ref="R25:R26"/>
    <mergeCell ref="O25:O26"/>
    <mergeCell ref="P25:P26"/>
    <mergeCell ref="Q25:Q26"/>
    <mergeCell ref="O19:O20"/>
    <mergeCell ref="P19:P20"/>
    <mergeCell ref="F26:G26"/>
    <mergeCell ref="M25:M26"/>
    <mergeCell ref="I19:I20"/>
    <mergeCell ref="J19:J20"/>
    <mergeCell ref="B19:B20"/>
    <mergeCell ref="C19:C20"/>
    <mergeCell ref="D19:D20"/>
    <mergeCell ref="E19:E20"/>
    <mergeCell ref="F19:F20"/>
    <mergeCell ref="G19:G20"/>
    <mergeCell ref="H19:H20"/>
    <mergeCell ref="D25:E25"/>
    <mergeCell ref="F25:G25"/>
    <mergeCell ref="D1:R1"/>
    <mergeCell ref="D3:E3"/>
    <mergeCell ref="G3:H3"/>
    <mergeCell ref="J3:K3"/>
    <mergeCell ref="M3:N3"/>
    <mergeCell ref="P3:R3"/>
    <mergeCell ref="N19:N20"/>
    <mergeCell ref="M19:M20"/>
    <mergeCell ref="A1:C1"/>
    <mergeCell ref="A19:A20"/>
    <mergeCell ref="A5:R5"/>
    <mergeCell ref="Q6:R6"/>
    <mergeCell ref="A8:A12"/>
    <mergeCell ref="A13:A17"/>
    <mergeCell ref="B64:L64"/>
    <mergeCell ref="B66:D66"/>
    <mergeCell ref="B68:E68"/>
    <mergeCell ref="B70:E70"/>
    <mergeCell ref="E55:F55"/>
    <mergeCell ref="E56:F56"/>
    <mergeCell ref="E57:F57"/>
    <mergeCell ref="E58:G58"/>
    <mergeCell ref="E54:F54"/>
    <mergeCell ref="E59:G59"/>
    <mergeCell ref="B87:C87"/>
    <mergeCell ref="B88:C88"/>
    <mergeCell ref="B89:C89"/>
    <mergeCell ref="A90:A91"/>
    <mergeCell ref="B90:C90"/>
    <mergeCell ref="B91:C91"/>
    <mergeCell ref="B72:F72"/>
    <mergeCell ref="B74:F74"/>
    <mergeCell ref="B76:F76"/>
    <mergeCell ref="B78:D78"/>
    <mergeCell ref="B80:D80"/>
    <mergeCell ref="B82:D82"/>
    <mergeCell ref="B86:R86"/>
    <mergeCell ref="L125:M125"/>
    <mergeCell ref="L120:M120"/>
    <mergeCell ref="L121:M121"/>
    <mergeCell ref="L123:M123"/>
    <mergeCell ref="B115:C115"/>
    <mergeCell ref="B116:C116"/>
    <mergeCell ref="B117:C117"/>
    <mergeCell ref="B118:C118"/>
    <mergeCell ref="E122:E125"/>
    <mergeCell ref="G122:G125"/>
    <mergeCell ref="T57:V57"/>
    <mergeCell ref="B120:I120"/>
    <mergeCell ref="O124:Q124"/>
    <mergeCell ref="B112:C112"/>
    <mergeCell ref="B105:C105"/>
    <mergeCell ref="B106:C106"/>
    <mergeCell ref="B107:C107"/>
    <mergeCell ref="B108:C108"/>
    <mergeCell ref="B109:C109"/>
    <mergeCell ref="B110:C110"/>
    <mergeCell ref="B99:C99"/>
    <mergeCell ref="B100:C100"/>
    <mergeCell ref="B101:C101"/>
    <mergeCell ref="B102:C102"/>
    <mergeCell ref="B103:C103"/>
    <mergeCell ref="B104:C104"/>
    <mergeCell ref="B114:R114"/>
    <mergeCell ref="B92:C92"/>
    <mergeCell ref="B93:C93"/>
    <mergeCell ref="B94:C94"/>
    <mergeCell ref="B95:C95"/>
    <mergeCell ref="B97:C97"/>
    <mergeCell ref="B98:C98"/>
    <mergeCell ref="B111:C111"/>
  </mergeCells>
  <conditionalFormatting sqref="Q36">
    <cfRule type="colorScale" priority="23">
      <colorScale>
        <cfvo type="min"/>
        <cfvo type="percentile" val="50"/>
        <cfvo type="max"/>
        <color rgb="FFF8696B"/>
        <color rgb="FFFFEB84"/>
        <color rgb="FF63BE7B"/>
      </colorScale>
    </cfRule>
  </conditionalFormatting>
  <conditionalFormatting sqref="R89:R90 R93:R95 R98:R101 R103:R106 R108:R112 R115:R118">
    <cfRule type="cellIs" dxfId="9" priority="5" operator="equal">
      <formula>MAX($R$89:$R$90,$R$93:$R$95,$R$98:$R$101,$R$103:$R$106,$R$108:$R$112,$R$115:$R$118)</formula>
    </cfRule>
  </conditionalFormatting>
  <conditionalFormatting sqref="T57:V57">
    <cfRule type="containsText" dxfId="8" priority="1" operator="containsText" text="NO AJUSTAR">
      <formula>NOT(ISERROR(SEARCH("NO AJUSTAR",T57)))</formula>
    </cfRule>
    <cfRule type="containsText" dxfId="7" priority="2" operator="containsText" text="AJUSTAR">
      <formula>NOT(ISERROR(SEARCH("AJUSTAR",T57)))</formula>
    </cfRule>
  </conditionalFormatting>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Vr.12 (2022-02-18)</oddFooter>
  </headerFooter>
  <rowBreaks count="1" manualBreakCount="1">
    <brk id="60" max="24" man="1"/>
  </rowBreaks>
  <ignoredErrors>
    <ignoredError sqref="G117" formula="1"/>
  </ignoredErrors>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100-000000000000}">
          <x14:formula1>
            <xm:f>'DATOS #'!$P$9:$P$13</xm:f>
          </x14:formula1>
          <xm:sqref>H39</xm:sqref>
        </x14:dataValidation>
        <x14:dataValidation type="list" allowBlank="1" showInputMessage="1" showErrorMessage="1" xr:uid="{00000000-0002-0000-0100-000001000000}">
          <x14:formula1>
            <xm:f>'DATOS #'!$B$14:$B$16</xm:f>
          </x14:formula1>
          <xm:sqref>H26</xm:sqref>
        </x14:dataValidation>
        <x14:dataValidation type="list" allowBlank="1" showInputMessage="1" showErrorMessage="1" xr:uid="{00000000-0002-0000-0100-000002000000}">
          <x14:formula1>
            <xm:f>'DATOS #'!$D$7:$D$9</xm:f>
          </x14:formula1>
          <xm:sqref>S3</xm:sqref>
        </x14:dataValidation>
        <x14:dataValidation type="list" allowBlank="1" showInputMessage="1" showErrorMessage="1" xr:uid="{00000000-0002-0000-0100-000003000000}">
          <x14:formula1>
            <xm:f>'DATOS #'!$B$24:$B$26</xm:f>
          </x14:formula1>
          <xm:sqref>A26</xm:sqref>
        </x14:dataValidation>
        <x14:dataValidation type="list" allowBlank="1" showInputMessage="1" showErrorMessage="1" xr:uid="{00000000-0002-0000-0100-000004000000}">
          <x14:formula1>
            <xm:f>'DATOS #'!$C$30:$C$32</xm:f>
          </x14:formula1>
          <xm:sqref>S7</xm:sqref>
        </x14:dataValidation>
        <x14:dataValidation type="list" allowBlank="1" showInputMessage="1" showErrorMessage="1" xr:uid="{00000000-0002-0000-0100-000005000000}">
          <x14:formula1>
            <xm:f>'DATOS #'!$B$131:$B$136</xm:f>
          </x14:formula1>
          <xm:sqref>Q36</xm:sqref>
        </x14:dataValidation>
        <x14:dataValidation type="list" allowBlank="1" showInputMessage="1" showErrorMessage="1" xr:uid="{00000000-0002-0000-0100-000006000000}">
          <x14:formula1>
            <xm:f>'DATOS #'!$C$143:$C$148</xm:f>
          </x14:formula1>
          <xm:sqref>S18</xm:sqref>
        </x14:dataValidation>
        <x14:dataValidation type="list" allowBlank="1" showInputMessage="1" showErrorMessage="1" xr:uid="{00000000-0002-0000-0100-000007000000}">
          <x14:formula1>
            <xm:f>'DATOS #'!$C$155:$C$161</xm:f>
          </x14:formula1>
          <xm:sqref>S19:S20</xm:sqref>
        </x14:dataValidation>
        <x14:dataValidation type="list" allowBlank="1" showInputMessage="1" showErrorMessage="1" xr:uid="{00000000-0002-0000-0100-000008000000}">
          <x14:formula1>
            <xm:f>'DATOS #'!$C$173:$C$188</xm:f>
          </x14:formula1>
          <xm:sqref>S22</xm:sqref>
        </x14:dataValidation>
        <x14:dataValidation type="list" allowBlank="1" showInputMessage="1" showErrorMessage="1" xr:uid="{00000000-0002-0000-0100-000009000000}">
          <x14:formula1>
            <xm:f>'DATOS #'!$C$167:$C$168</xm:f>
          </x14:formula1>
          <xm:sqref>S21</xm:sqref>
        </x14:dataValidation>
        <x14:dataValidation type="list" allowBlank="1" showInputMessage="1" showErrorMessage="1" xr:uid="{00000000-0002-0000-0100-00000A000000}">
          <x14:formula1>
            <xm:f>'DATOS #'!$A$45:$A$46</xm:f>
          </x14:formula1>
          <xm:sqref>O43</xm:sqref>
        </x14:dataValidation>
        <x14:dataValidation type="list" allowBlank="1" showInputMessage="1" showErrorMessage="1" xr:uid="{00000000-0002-0000-0100-00000B000000}">
          <x14:formula1>
            <xm:f>'DATOS #'!$C$37:$C$42</xm:f>
          </x14:formula1>
          <xm:sqref>S8:S12</xm:sqref>
        </x14:dataValidation>
        <x14:dataValidation type="list" allowBlank="1" showInputMessage="1" showErrorMessage="1" xr:uid="{00000000-0002-0000-0100-00000C000000}">
          <x14:formula1>
            <xm:f>'DATOS #'!$A$39:$A$40</xm:f>
          </x14:formula1>
          <xm:sqref>A43</xm:sqref>
        </x14:dataValidation>
        <x14:dataValidation type="list" allowBlank="1" showInputMessage="1" showErrorMessage="1" xr:uid="{00000000-0002-0000-0100-00000D000000}">
          <x14:formula1>
            <xm:f>'DATOS #'!$C$43:$C$48</xm:f>
          </x14:formula1>
          <xm:sqref>S13:S17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66CC"/>
  </sheetPr>
  <dimension ref="A1:CL127"/>
  <sheetViews>
    <sheetView showGridLines="0" view="pageBreakPreview" topLeftCell="A110" zoomScale="40" zoomScaleNormal="40" zoomScaleSheetLayoutView="40" workbookViewId="0">
      <selection activeCell="E149" sqref="E149"/>
    </sheetView>
  </sheetViews>
  <sheetFormatPr baseColWidth="10" defaultColWidth="11.42578125" defaultRowHeight="15" x14ac:dyDescent="0.2"/>
  <cols>
    <col min="1" max="1" width="20.7109375" style="5" customWidth="1"/>
    <col min="2" max="2" width="18" style="5" customWidth="1"/>
    <col min="3" max="3" width="17.140625" style="5" customWidth="1"/>
    <col min="4" max="4" width="16.7109375" style="5" customWidth="1"/>
    <col min="5" max="5" width="17.28515625" style="5" customWidth="1"/>
    <col min="6" max="6" width="11.5703125" style="5" customWidth="1"/>
    <col min="7" max="7" width="14.42578125" style="5" customWidth="1"/>
    <col min="8" max="8" width="17.5703125" style="5" customWidth="1"/>
    <col min="9" max="9" width="16.140625" style="5" customWidth="1"/>
    <col min="10" max="10" width="15.7109375" style="5" customWidth="1"/>
    <col min="11" max="11" width="13.42578125" style="5" customWidth="1"/>
    <col min="12" max="12" width="16.42578125" style="5" customWidth="1"/>
    <col min="13" max="13" width="17.140625" style="5" customWidth="1"/>
    <col min="14" max="14" width="17.85546875" style="5" customWidth="1"/>
    <col min="15" max="15" width="21" style="5" customWidth="1"/>
    <col min="16" max="16" width="16.42578125" style="5" customWidth="1"/>
    <col min="17" max="17" width="15.5703125" style="5" customWidth="1"/>
    <col min="18" max="18" width="17.42578125" style="5" customWidth="1"/>
    <col min="19" max="19" width="11.42578125" style="5"/>
    <col min="20" max="20" width="17.42578125" style="5" bestFit="1" customWidth="1"/>
    <col min="21" max="21" width="12.28515625" style="5" bestFit="1" customWidth="1"/>
    <col min="22" max="24" width="11.42578125" style="5"/>
    <col min="25" max="25" width="11.7109375" style="5" customWidth="1"/>
    <col min="26" max="16384" width="11.42578125" style="5"/>
  </cols>
  <sheetData>
    <row r="1" spans="1:19" s="20" customFormat="1" ht="75" customHeight="1" thickBot="1" x14ac:dyDescent="0.3">
      <c r="A1" s="1636"/>
      <c r="B1" s="1637"/>
      <c r="C1" s="1638"/>
      <c r="D1" s="1625" t="s">
        <v>277</v>
      </c>
      <c r="E1" s="1626"/>
      <c r="F1" s="1626"/>
      <c r="G1" s="1626"/>
      <c r="H1" s="1626"/>
      <c r="I1" s="1626"/>
      <c r="J1" s="1626"/>
      <c r="K1" s="1626"/>
      <c r="L1" s="1626"/>
      <c r="M1" s="1626"/>
      <c r="N1" s="1626"/>
      <c r="O1" s="1626"/>
      <c r="P1" s="1626"/>
      <c r="Q1" s="1626"/>
      <c r="R1" s="1627"/>
      <c r="S1" s="231"/>
    </row>
    <row r="2" spans="1:19" s="235" customFormat="1" ht="5.0999999999999996" customHeight="1" thickBot="1" x14ac:dyDescent="0.3">
      <c r="A2" s="232"/>
      <c r="B2" s="232"/>
      <c r="C2" s="233"/>
      <c r="D2" s="1085"/>
      <c r="E2" s="1085"/>
      <c r="F2" s="1085"/>
      <c r="G2" s="1085"/>
      <c r="H2" s="1085"/>
      <c r="I2" s="1085"/>
      <c r="J2" s="1085"/>
      <c r="K2" s="1085"/>
      <c r="L2" s="1085"/>
      <c r="M2" s="1085"/>
      <c r="N2" s="1085"/>
      <c r="O2" s="1085"/>
      <c r="P2" s="1085"/>
      <c r="Q2" s="1085"/>
      <c r="R2" s="1085"/>
    </row>
    <row r="3" spans="1:19" s="23" customFormat="1" ht="31.5" customHeight="1" thickBot="1" x14ac:dyDescent="0.3">
      <c r="A3" s="236" t="s">
        <v>44</v>
      </c>
      <c r="B3" s="1077" t="e">
        <f>VLOOKUP($S3,'DATOS #'!$D$7:$N$19,2,FALSE)</f>
        <v>#N/A</v>
      </c>
      <c r="C3" s="237" t="s">
        <v>157</v>
      </c>
      <c r="D3" s="1628" t="e">
        <f>VLOOKUP($S$3,'DATOS #'!$D$7:$N$19,3,FALSE)</f>
        <v>#N/A</v>
      </c>
      <c r="E3" s="1629"/>
      <c r="F3" s="237" t="s">
        <v>275</v>
      </c>
      <c r="G3" s="1630" t="e">
        <f>VLOOKUP($S$3,'DATOS #'!$D$7:$N$19,7,FALSE)</f>
        <v>#N/A</v>
      </c>
      <c r="H3" s="1630"/>
      <c r="I3" s="237" t="s">
        <v>158</v>
      </c>
      <c r="J3" s="1630" t="e">
        <f>VLOOKUP($S$3,'DATOS #'!$D$7:$N$19,4,FALSE)</f>
        <v>#N/A</v>
      </c>
      <c r="K3" s="1630"/>
      <c r="L3" s="237" t="s">
        <v>26</v>
      </c>
      <c r="M3" s="1628" t="e">
        <f>VLOOKUP($S$3,'DATOS #'!$D$7:$N$19,6,FALSE)</f>
        <v>#N/A</v>
      </c>
      <c r="N3" s="1629"/>
      <c r="O3" s="591" t="s">
        <v>269</v>
      </c>
      <c r="P3" s="1630" t="e">
        <f>VLOOKUP($S$3,'DATOS #'!$D$7:$N$19,11,FALSE)</f>
        <v>#N/A</v>
      </c>
      <c r="Q3" s="1630"/>
      <c r="R3" s="1631"/>
      <c r="S3" s="238"/>
    </row>
    <row r="4" spans="1:19" s="23" customFormat="1" ht="5.0999999999999996" customHeight="1" thickBot="1" x14ac:dyDescent="0.3"/>
    <row r="5" spans="1:19" s="23" customFormat="1" ht="30" customHeight="1" thickBot="1" x14ac:dyDescent="0.3">
      <c r="A5" s="1641" t="s">
        <v>595</v>
      </c>
      <c r="B5" s="1642"/>
      <c r="C5" s="1642"/>
      <c r="D5" s="1642"/>
      <c r="E5" s="1642"/>
      <c r="F5" s="1642"/>
      <c r="G5" s="1642"/>
      <c r="H5" s="1642"/>
      <c r="I5" s="1642"/>
      <c r="J5" s="1642"/>
      <c r="K5" s="1642"/>
      <c r="L5" s="1642"/>
      <c r="M5" s="1642"/>
      <c r="N5" s="1642"/>
      <c r="O5" s="1642"/>
      <c r="P5" s="1642"/>
      <c r="Q5" s="1642"/>
      <c r="R5" s="1643"/>
    </row>
    <row r="6" spans="1:19" s="20" customFormat="1" ht="67.5" customHeight="1" thickBot="1" x14ac:dyDescent="0.3">
      <c r="A6" s="239" t="s">
        <v>14</v>
      </c>
      <c r="B6" s="1066" t="s">
        <v>149</v>
      </c>
      <c r="C6" s="240" t="s">
        <v>397</v>
      </c>
      <c r="D6" s="240" t="s">
        <v>53</v>
      </c>
      <c r="E6" s="240" t="s">
        <v>148</v>
      </c>
      <c r="F6" s="240" t="s">
        <v>53</v>
      </c>
      <c r="G6" s="240" t="s">
        <v>178</v>
      </c>
      <c r="H6" s="240" t="s">
        <v>53</v>
      </c>
      <c r="I6" s="240" t="s">
        <v>146</v>
      </c>
      <c r="J6" s="240" t="s">
        <v>53</v>
      </c>
      <c r="K6" s="570" t="s">
        <v>420</v>
      </c>
      <c r="L6" s="240" t="s">
        <v>53</v>
      </c>
      <c r="M6" s="240" t="s">
        <v>276</v>
      </c>
      <c r="N6" s="240" t="s">
        <v>53</v>
      </c>
      <c r="O6" s="240" t="s">
        <v>179</v>
      </c>
      <c r="P6" s="240" t="s">
        <v>147</v>
      </c>
      <c r="Q6" s="1644" t="s">
        <v>163</v>
      </c>
      <c r="R6" s="1645"/>
    </row>
    <row r="7" spans="1:19" s="20" customFormat="1" ht="29.25" customHeight="1" thickBot="1" x14ac:dyDescent="0.3">
      <c r="A7" s="241" t="s">
        <v>1</v>
      </c>
      <c r="B7" s="242" t="e">
        <f>VLOOKUP(S7,'DATOS #'!C31:O33,3,FALSE)</f>
        <v>#N/A</v>
      </c>
      <c r="C7" s="243" t="e">
        <f>VLOOKUP(S7,'DATOS #'!C31:O33,4,FALSE)</f>
        <v>#N/A</v>
      </c>
      <c r="D7" s="244" t="s">
        <v>4</v>
      </c>
      <c r="E7" s="245" t="e">
        <f>VLOOKUP(S7,'DATOS #'!C31:O33,5,FALSE)</f>
        <v>#N/A</v>
      </c>
      <c r="F7" s="244" t="s">
        <v>4</v>
      </c>
      <c r="G7" s="243" t="e">
        <f>VLOOKUP(S7,'DATOS #'!C31:O33,6,FALSE)</f>
        <v>#N/A</v>
      </c>
      <c r="H7" s="244" t="s">
        <v>54</v>
      </c>
      <c r="I7" s="246" t="e">
        <f>VLOOKUP(S7,'DATOS #'!C31:O33,7,FALSE)</f>
        <v>#N/A</v>
      </c>
      <c r="J7" s="244" t="s">
        <v>4</v>
      </c>
      <c r="K7" s="571" t="e">
        <f>VLOOKUP(S7,'DATOS #'!C31:O33,13,FALSE)</f>
        <v>#N/A</v>
      </c>
      <c r="L7" s="244" t="s">
        <v>4</v>
      </c>
      <c r="M7" s="247" t="e">
        <f>SQRT((I7/2)^2+(K7/SQRT(12))^2)</f>
        <v>#N/A</v>
      </c>
      <c r="N7" s="244" t="s">
        <v>4</v>
      </c>
      <c r="O7" s="245" t="e">
        <f>VLOOKUP(S7,'DATOS #'!C31:O33,8,FALSE)</f>
        <v>#N/A</v>
      </c>
      <c r="P7" s="248" t="e">
        <f>VLOOKUP(S7,'DATOS #'!C31:O33,9,FALSE)</f>
        <v>#N/A</v>
      </c>
      <c r="Q7" s="249"/>
      <c r="R7" s="250"/>
      <c r="S7" s="251"/>
    </row>
    <row r="8" spans="1:19" s="20" customFormat="1" ht="30" customHeight="1" x14ac:dyDescent="0.25">
      <c r="A8" s="1646" t="s">
        <v>55</v>
      </c>
      <c r="B8" s="252" t="e">
        <f>VLOOKUP(S8,'DATOS #'!$C$37:$R$48,3,FALSE)</f>
        <v>#N/A</v>
      </c>
      <c r="C8" s="253" t="e">
        <f>VLOOKUP(S8,'DATOS #'!$C$37:$R$49,4,FALSE)</f>
        <v>#N/A</v>
      </c>
      <c r="D8" s="254" t="s">
        <v>3</v>
      </c>
      <c r="E8" s="253" t="e">
        <f>VLOOKUP(S8,'DATOS #'!$C$37:$R$49,5,FALSE)</f>
        <v>#N/A</v>
      </c>
      <c r="F8" s="255" t="s">
        <v>3</v>
      </c>
      <c r="G8" s="253" t="e">
        <f>VLOOKUP(S8,'DATOS #'!$C$37:$R$49,6,FALSE)</f>
        <v>#N/A</v>
      </c>
      <c r="H8" s="255" t="s">
        <v>3</v>
      </c>
      <c r="I8" s="253" t="e">
        <f>VLOOKUP(S8,'DATOS #'!$C$37:$R$49,7,FALSE)</f>
        <v>#N/A</v>
      </c>
      <c r="J8" s="255" t="s">
        <v>3</v>
      </c>
      <c r="K8" s="572" t="e">
        <f>VLOOKUP(S8,'DATOS #'!$C$37:$R$49,16,FALSE)</f>
        <v>#N/A</v>
      </c>
      <c r="L8" s="255" t="s">
        <v>3</v>
      </c>
      <c r="M8" s="247" t="e">
        <f t="shared" ref="M8:M19" si="0">SQRT((I8/2)^2+(K8/SQRT(12))^2)</f>
        <v>#N/A</v>
      </c>
      <c r="N8" s="255" t="s">
        <v>3</v>
      </c>
      <c r="O8" s="256" t="e">
        <f>VLOOKUP(S8,'DATOS #'!$C$37:$R$49,8,FALSE)</f>
        <v>#N/A</v>
      </c>
      <c r="P8" s="248" t="e">
        <f>VLOOKUP(S8,'DATOS #'!$C$37:$R$49,9,FALSE)</f>
        <v>#N/A</v>
      </c>
      <c r="Q8" s="1082"/>
      <c r="R8" s="92"/>
      <c r="S8" s="257"/>
    </row>
    <row r="9" spans="1:19" s="20" customFormat="1" ht="30" customHeight="1" x14ac:dyDescent="0.25">
      <c r="A9" s="1647"/>
      <c r="B9" s="252" t="e">
        <f>VLOOKUP(S9,'DATOS #'!$C$37:$R$48,3,FALSE)</f>
        <v>#N/A</v>
      </c>
      <c r="C9" s="253" t="e">
        <f>VLOOKUP(S9,'DATOS #'!$C$37:$R$49,4,FALSE)</f>
        <v>#N/A</v>
      </c>
      <c r="D9" s="254" t="s">
        <v>3</v>
      </c>
      <c r="E9" s="253" t="e">
        <f>VLOOKUP(S9,'DATOS #'!$C$37:$R$49,5,FALSE)</f>
        <v>#N/A</v>
      </c>
      <c r="F9" s="255" t="s">
        <v>3</v>
      </c>
      <c r="G9" s="253" t="e">
        <f>VLOOKUP(S9,'DATOS #'!$C$37:$R$49,6,FALSE)</f>
        <v>#N/A</v>
      </c>
      <c r="H9" s="255" t="s">
        <v>3</v>
      </c>
      <c r="I9" s="253" t="e">
        <f>VLOOKUP(S9,'DATOS #'!$C$37:$R$49,7,FALSE)</f>
        <v>#N/A</v>
      </c>
      <c r="J9" s="255" t="s">
        <v>3</v>
      </c>
      <c r="K9" s="572" t="e">
        <f>VLOOKUP(S9,'DATOS #'!$C$37:$R$49,16,FALSE)</f>
        <v>#N/A</v>
      </c>
      <c r="L9" s="255" t="s">
        <v>3</v>
      </c>
      <c r="M9" s="247" t="e">
        <f t="shared" si="0"/>
        <v>#N/A</v>
      </c>
      <c r="N9" s="255" t="s">
        <v>3</v>
      </c>
      <c r="O9" s="256" t="e">
        <f>VLOOKUP(S9,'DATOS #'!$C$37:$R$49,8,FALSE)</f>
        <v>#N/A</v>
      </c>
      <c r="P9" s="248" t="e">
        <f>VLOOKUP(S9,'DATOS #'!$C$37:$R$49,9,FALSE)</f>
        <v>#N/A</v>
      </c>
      <c r="Q9" s="258"/>
      <c r="R9" s="259"/>
      <c r="S9" s="260"/>
    </row>
    <row r="10" spans="1:19" s="20" customFormat="1" ht="30" customHeight="1" x14ac:dyDescent="0.25">
      <c r="A10" s="1647"/>
      <c r="B10" s="252" t="e">
        <f>VLOOKUP(S10,'DATOS #'!$C$37:$R$48,3,FALSE)</f>
        <v>#N/A</v>
      </c>
      <c r="C10" s="253" t="e">
        <f>VLOOKUP(S10,'DATOS #'!$C$37:$R$49,4,FALSE)</f>
        <v>#N/A</v>
      </c>
      <c r="D10" s="254" t="s">
        <v>3</v>
      </c>
      <c r="E10" s="253" t="e">
        <f>VLOOKUP(S10,'DATOS #'!$C$37:$R$49,5,FALSE)</f>
        <v>#N/A</v>
      </c>
      <c r="F10" s="255" t="s">
        <v>192</v>
      </c>
      <c r="G10" s="253" t="e">
        <f>VLOOKUP(S10,'DATOS #'!$C$37:$R$49,6,FALSE)</f>
        <v>#N/A</v>
      </c>
      <c r="H10" s="255" t="s">
        <v>3</v>
      </c>
      <c r="I10" s="261" t="e">
        <f>VLOOKUP(S10,'DATOS #'!$C$37:$R$49,7,FALSE)</f>
        <v>#N/A</v>
      </c>
      <c r="J10" s="255" t="s">
        <v>3</v>
      </c>
      <c r="K10" s="572" t="e">
        <f>VLOOKUP(S10,'DATOS #'!$C$37:$R$49,16,FALSE)</f>
        <v>#N/A</v>
      </c>
      <c r="L10" s="255" t="s">
        <v>3</v>
      </c>
      <c r="M10" s="247" t="e">
        <f t="shared" si="0"/>
        <v>#N/A</v>
      </c>
      <c r="N10" s="255" t="s">
        <v>3</v>
      </c>
      <c r="O10" s="256" t="e">
        <f>VLOOKUP(S10,'DATOS #'!$C$37:$R$49,8,FALSE)</f>
        <v>#N/A</v>
      </c>
      <c r="P10" s="248" t="e">
        <f>VLOOKUP(S10,'DATOS #'!$C$37:$R$49,9,FALSE)</f>
        <v>#N/A</v>
      </c>
      <c r="Q10" s="258"/>
      <c r="R10" s="92"/>
      <c r="S10" s="260"/>
    </row>
    <row r="11" spans="1:19" s="235" customFormat="1" ht="30" customHeight="1" x14ac:dyDescent="0.25">
      <c r="A11" s="1647"/>
      <c r="B11" s="252" t="e">
        <f>VLOOKUP(S11,'DATOS #'!$C$37:$R$49,3,FALSE)</f>
        <v>#N/A</v>
      </c>
      <c r="C11" s="253" t="e">
        <f>VLOOKUP(S11,'DATOS #'!$C$37:$R$49,4,FALSE)</f>
        <v>#N/A</v>
      </c>
      <c r="D11" s="254" t="s">
        <v>3</v>
      </c>
      <c r="E11" s="253" t="e">
        <f>VLOOKUP(S11,'DATOS #'!$C$37:$R$49,5,FALSE)</f>
        <v>#N/A</v>
      </c>
      <c r="F11" s="255" t="s">
        <v>192</v>
      </c>
      <c r="G11" s="253" t="e">
        <f>VLOOKUP(S11,'DATOS #'!$C$37:$R$49,6,FALSE)</f>
        <v>#N/A</v>
      </c>
      <c r="H11" s="255" t="s">
        <v>3</v>
      </c>
      <c r="I11" s="253" t="e">
        <f>VLOOKUP(S11,'DATOS #'!$C$37:$R$49,7,FALSE)</f>
        <v>#N/A</v>
      </c>
      <c r="J11" s="255" t="s">
        <v>3</v>
      </c>
      <c r="K11" s="572" t="e">
        <f>VLOOKUP(S11,'DATOS #'!$C$37:$R$49,16,FALSE)</f>
        <v>#N/A</v>
      </c>
      <c r="L11" s="255" t="s">
        <v>3</v>
      </c>
      <c r="M11" s="247" t="e">
        <f t="shared" si="0"/>
        <v>#N/A</v>
      </c>
      <c r="N11" s="255" t="s">
        <v>3</v>
      </c>
      <c r="O11" s="256" t="e">
        <f>VLOOKUP(S11,'DATOS #'!$C$37:$R$49,8,FALSE)</f>
        <v>#N/A</v>
      </c>
      <c r="P11" s="248" t="e">
        <f>VLOOKUP(S11,'DATOS #'!$C$37:$R$49,9,FALSE)</f>
        <v>#N/A</v>
      </c>
      <c r="Q11" s="258"/>
      <c r="R11" s="262"/>
      <c r="S11" s="260"/>
    </row>
    <row r="12" spans="1:19" s="235" customFormat="1" ht="30" customHeight="1" thickBot="1" x14ac:dyDescent="0.3">
      <c r="A12" s="1648"/>
      <c r="B12" s="252" t="e">
        <f>VLOOKUP(S12,'DATOS #'!$C$37:$R$49,3,FALSE)</f>
        <v>#N/A</v>
      </c>
      <c r="C12" s="253" t="e">
        <f>VLOOKUP(S12,'DATOS #'!$C$37:$R$49,4,FALSE)</f>
        <v>#N/A</v>
      </c>
      <c r="D12" s="254" t="s">
        <v>3</v>
      </c>
      <c r="E12" s="253" t="e">
        <f>VLOOKUP(S12,'DATOS #'!$C$37:$R$49,5,FALSE)</f>
        <v>#N/A</v>
      </c>
      <c r="F12" s="255" t="s">
        <v>192</v>
      </c>
      <c r="G12" s="253" t="e">
        <f>VLOOKUP(S12,'DATOS #'!$C$37:$R$49,6,FALSE)</f>
        <v>#N/A</v>
      </c>
      <c r="H12" s="255" t="s">
        <v>3</v>
      </c>
      <c r="I12" s="253" t="e">
        <f>VLOOKUP(S12,'DATOS #'!$C$37:$R$49,7,FALSE)</f>
        <v>#N/A</v>
      </c>
      <c r="J12" s="255" t="s">
        <v>3</v>
      </c>
      <c r="K12" s="572" t="e">
        <f>VLOOKUP(S12,'DATOS #'!$C$37:$R$49,16,FALSE)</f>
        <v>#N/A</v>
      </c>
      <c r="L12" s="255" t="s">
        <v>3</v>
      </c>
      <c r="M12" s="247" t="e">
        <f t="shared" si="0"/>
        <v>#N/A</v>
      </c>
      <c r="N12" s="255" t="s">
        <v>3</v>
      </c>
      <c r="O12" s="256" t="e">
        <f>VLOOKUP(S12,'DATOS #'!$C$37:$R$49,8,FALSE)</f>
        <v>#N/A</v>
      </c>
      <c r="P12" s="248" t="e">
        <f>VLOOKUP(S12,'DATOS #'!$C$37:$R$49,9,FALSE)</f>
        <v>#N/A</v>
      </c>
      <c r="Q12" s="258"/>
      <c r="R12" s="262"/>
      <c r="S12" s="263"/>
    </row>
    <row r="13" spans="1:19" s="235" customFormat="1" ht="30" customHeight="1" x14ac:dyDescent="0.25">
      <c r="A13" s="1646" t="s">
        <v>56</v>
      </c>
      <c r="B13" s="252" t="e">
        <f>VLOOKUP(S13,'DATOS #'!$C$37:$R$49,3,FALSE)</f>
        <v>#N/A</v>
      </c>
      <c r="C13" s="253" t="e">
        <f>VLOOKUP(S13,'DATOS #'!$C$37:$R$49,4,FALSE)</f>
        <v>#N/A</v>
      </c>
      <c r="D13" s="254" t="s">
        <v>3</v>
      </c>
      <c r="E13" s="253" t="e">
        <f>VLOOKUP(S13,'DATOS #'!$C$37:$R$49,5,FALSE)</f>
        <v>#N/A</v>
      </c>
      <c r="F13" s="255" t="s">
        <v>3</v>
      </c>
      <c r="G13" s="253" t="e">
        <f>VLOOKUP(S13,'DATOS #'!$C$37:$R$49,6,FALSE)</f>
        <v>#N/A</v>
      </c>
      <c r="H13" s="255" t="s">
        <v>3</v>
      </c>
      <c r="I13" s="253" t="e">
        <f>VLOOKUP(S13,'DATOS #'!$C$37:$R$49,7,FALSE)</f>
        <v>#N/A</v>
      </c>
      <c r="J13" s="255" t="s">
        <v>3</v>
      </c>
      <c r="K13" s="572" t="e">
        <f>VLOOKUP(S13,'DATOS #'!$C$37:$R$49,16,FALSE)</f>
        <v>#N/A</v>
      </c>
      <c r="L13" s="255" t="s">
        <v>3</v>
      </c>
      <c r="M13" s="247" t="e">
        <f t="shared" si="0"/>
        <v>#N/A</v>
      </c>
      <c r="N13" s="255" t="s">
        <v>3</v>
      </c>
      <c r="O13" s="256" t="e">
        <f>VLOOKUP(S13,'DATOS #'!$C$37:$R$49,8,FALSE)</f>
        <v>#N/A</v>
      </c>
      <c r="P13" s="248" t="e">
        <f>VLOOKUP(S13,'DATOS #'!$C$37:$R$49,9,FALSE)</f>
        <v>#N/A</v>
      </c>
      <c r="Q13" s="258"/>
      <c r="R13" s="92"/>
      <c r="S13" s="257"/>
    </row>
    <row r="14" spans="1:19" s="235" customFormat="1" ht="30" customHeight="1" x14ac:dyDescent="0.25">
      <c r="A14" s="1647"/>
      <c r="B14" s="252" t="e">
        <f>VLOOKUP(S14,'DATOS #'!$C$43:$R$48,3,FALSE)</f>
        <v>#N/A</v>
      </c>
      <c r="C14" s="253" t="e">
        <f>VLOOKUP(S14,'DATOS #'!$C$37:$R$49,4,FALSE)</f>
        <v>#N/A</v>
      </c>
      <c r="D14" s="254" t="s">
        <v>3</v>
      </c>
      <c r="E14" s="264" t="e">
        <f>VLOOKUP(S14,'DATOS #'!$C$37:$R$49,5,FALSE)</f>
        <v>#N/A</v>
      </c>
      <c r="F14" s="255" t="s">
        <v>3</v>
      </c>
      <c r="G14" s="253" t="e">
        <f>VLOOKUP(S14,'DATOS #'!$C$37:$R$49,6,FALSE)</f>
        <v>#N/A</v>
      </c>
      <c r="H14" s="255" t="s">
        <v>3</v>
      </c>
      <c r="I14" s="253" t="e">
        <f>VLOOKUP(S14,'DATOS #'!$C$37:$R$49,7,FALSE)</f>
        <v>#N/A</v>
      </c>
      <c r="J14" s="255" t="s">
        <v>3</v>
      </c>
      <c r="K14" s="572" t="e">
        <f>VLOOKUP(S14,'DATOS #'!$C$37:$R$49,16,FALSE)</f>
        <v>#N/A</v>
      </c>
      <c r="L14" s="255" t="s">
        <v>3</v>
      </c>
      <c r="M14" s="247" t="e">
        <f t="shared" si="0"/>
        <v>#N/A</v>
      </c>
      <c r="N14" s="255" t="s">
        <v>3</v>
      </c>
      <c r="O14" s="256" t="e">
        <f>VLOOKUP(S14,'DATOS #'!$C$37:$R$49,8,FALSE)</f>
        <v>#N/A</v>
      </c>
      <c r="P14" s="248" t="e">
        <f>VLOOKUP(S14,'DATOS #'!$C$37:$R$49,9,FALSE)</f>
        <v>#N/A</v>
      </c>
      <c r="Q14" s="258"/>
      <c r="R14" s="92"/>
      <c r="S14" s="260"/>
    </row>
    <row r="15" spans="1:19" s="235" customFormat="1" ht="30" customHeight="1" x14ac:dyDescent="0.25">
      <c r="A15" s="1647"/>
      <c r="B15" s="252" t="e">
        <f>VLOOKUP(S15,'DATOS #'!$C$43:$R$48,3,FALSE)</f>
        <v>#N/A</v>
      </c>
      <c r="C15" s="253" t="e">
        <f>VLOOKUP(S15,'DATOS #'!$C$37:$R$49,4,FALSE)</f>
        <v>#N/A</v>
      </c>
      <c r="D15" s="254" t="s">
        <v>3</v>
      </c>
      <c r="E15" s="264" t="e">
        <f>VLOOKUP(S15,'DATOS #'!$C$37:$R$49,5,FALSE)</f>
        <v>#N/A</v>
      </c>
      <c r="F15" s="255" t="s">
        <v>3</v>
      </c>
      <c r="G15" s="253" t="e">
        <f>VLOOKUP(S15,'DATOS #'!$C$37:$R$49,6,FALSE)</f>
        <v>#N/A</v>
      </c>
      <c r="H15" s="255" t="s">
        <v>3</v>
      </c>
      <c r="I15" s="253" t="e">
        <f>VLOOKUP(S15,'DATOS #'!$C$37:$R$49,7,FALSE)</f>
        <v>#N/A</v>
      </c>
      <c r="J15" s="255" t="s">
        <v>3</v>
      </c>
      <c r="K15" s="572" t="e">
        <f>VLOOKUP(S15,'DATOS #'!$C$37:$R$49,16,FALSE)</f>
        <v>#N/A</v>
      </c>
      <c r="L15" s="255" t="s">
        <v>3</v>
      </c>
      <c r="M15" s="247" t="e">
        <f t="shared" si="0"/>
        <v>#N/A</v>
      </c>
      <c r="N15" s="255" t="s">
        <v>3</v>
      </c>
      <c r="O15" s="256" t="e">
        <f>VLOOKUP(S15,'DATOS #'!$C$37:$R$49,8,FALSE)</f>
        <v>#N/A</v>
      </c>
      <c r="P15" s="248" t="e">
        <f>VLOOKUP(S15,'DATOS #'!$C$37:$R$49,9,FALSE)</f>
        <v>#N/A</v>
      </c>
      <c r="Q15" s="258"/>
      <c r="R15" s="92"/>
      <c r="S15" s="260"/>
    </row>
    <row r="16" spans="1:19" s="235" customFormat="1" ht="30" customHeight="1" x14ac:dyDescent="0.25">
      <c r="A16" s="1647"/>
      <c r="B16" s="252" t="e">
        <f>VLOOKUP(S16,'DATOS #'!$C$37:$R$49,3,FALSE)</f>
        <v>#N/A</v>
      </c>
      <c r="C16" s="253" t="e">
        <f>VLOOKUP(S16,'DATOS #'!$C$37:$R$49,4,FALSE)</f>
        <v>#N/A</v>
      </c>
      <c r="D16" s="254" t="s">
        <v>3</v>
      </c>
      <c r="E16" s="264" t="e">
        <f>VLOOKUP(S16,'DATOS #'!$C$37:$R$49,5,FALSE)</f>
        <v>#N/A</v>
      </c>
      <c r="F16" s="255" t="s">
        <v>3</v>
      </c>
      <c r="G16" s="253" t="e">
        <f>VLOOKUP(S16,'DATOS #'!$C$37:$R$49,6,FALSE)</f>
        <v>#N/A</v>
      </c>
      <c r="H16" s="255" t="s">
        <v>3</v>
      </c>
      <c r="I16" s="253" t="e">
        <f>VLOOKUP(S16,'DATOS #'!$C$37:$R$49,7,FALSE)</f>
        <v>#N/A</v>
      </c>
      <c r="J16" s="255" t="s">
        <v>3</v>
      </c>
      <c r="K16" s="572" t="e">
        <f>VLOOKUP(S16,'DATOS #'!$C$37:$R$49,16,FALSE)</f>
        <v>#N/A</v>
      </c>
      <c r="L16" s="255" t="s">
        <v>3</v>
      </c>
      <c r="M16" s="247" t="e">
        <f t="shared" si="0"/>
        <v>#N/A</v>
      </c>
      <c r="N16" s="255" t="s">
        <v>3</v>
      </c>
      <c r="O16" s="256" t="e">
        <f>VLOOKUP(S16,'DATOS #'!$C$37:$R$49,8,FALSE)</f>
        <v>#N/A</v>
      </c>
      <c r="P16" s="248" t="e">
        <f>VLOOKUP(S16,'DATOS #'!$C$37:$R$49,9,FALSE)</f>
        <v>#N/A</v>
      </c>
      <c r="Q16" s="258"/>
      <c r="R16" s="262"/>
      <c r="S16" s="260"/>
    </row>
    <row r="17" spans="1:20" s="235" customFormat="1" ht="30" customHeight="1" thickBot="1" x14ac:dyDescent="0.3">
      <c r="A17" s="1648"/>
      <c r="B17" s="252" t="e">
        <f>VLOOKUP(S17,'DATOS #'!$C$37:$R$49,3,FALSE)</f>
        <v>#N/A</v>
      </c>
      <c r="C17" s="253" t="e">
        <f>VLOOKUP(S17,'DATOS #'!$C$37:$R$49,4,FALSE)</f>
        <v>#N/A</v>
      </c>
      <c r="D17" s="254" t="s">
        <v>3</v>
      </c>
      <c r="E17" s="264" t="e">
        <f>VLOOKUP(S17,'DATOS #'!$C$37:$R$49,5,FALSE)</f>
        <v>#N/A</v>
      </c>
      <c r="F17" s="255" t="s">
        <v>3</v>
      </c>
      <c r="G17" s="253" t="e">
        <f>VLOOKUP(S17,'DATOS #'!$C$37:$R$49,6,FALSE)</f>
        <v>#N/A</v>
      </c>
      <c r="H17" s="255" t="s">
        <v>3</v>
      </c>
      <c r="I17" s="253" t="e">
        <f>VLOOKUP(S17,'DATOS #'!$C$37:$R$49,7,FALSE)</f>
        <v>#N/A</v>
      </c>
      <c r="J17" s="255" t="s">
        <v>3</v>
      </c>
      <c r="K17" s="572" t="e">
        <f>VLOOKUP(S17,'DATOS #'!$C$37:$R$49,16,FALSE)</f>
        <v>#N/A</v>
      </c>
      <c r="L17" s="255" t="s">
        <v>3</v>
      </c>
      <c r="M17" s="247" t="e">
        <f t="shared" si="0"/>
        <v>#N/A</v>
      </c>
      <c r="N17" s="255" t="s">
        <v>3</v>
      </c>
      <c r="O17" s="256" t="e">
        <f>VLOOKUP(S17,'DATOS #'!$C$37:$R$49,8,FALSE)</f>
        <v>#N/A</v>
      </c>
      <c r="P17" s="248" t="e">
        <f>VLOOKUP(S17,'DATOS #'!$C$37:$R$49,9,FALSE)</f>
        <v>#N/A</v>
      </c>
      <c r="Q17" s="258"/>
      <c r="R17" s="262"/>
      <c r="S17" s="263"/>
    </row>
    <row r="18" spans="1:20" s="235" customFormat="1" ht="81" customHeight="1" thickBot="1" x14ac:dyDescent="0.3">
      <c r="A18" s="1079" t="s">
        <v>153</v>
      </c>
      <c r="B18" s="266" t="e">
        <f>VLOOKUP(S18,'DATOS #'!$C$131:$W$152,3,FALSE)</f>
        <v>#N/A</v>
      </c>
      <c r="C18" s="264" t="e">
        <f>VLOOKUP(S18,'DATOS #'!$C$131:$W$152,4,FALSE)</f>
        <v>#N/A</v>
      </c>
      <c r="D18" s="254" t="s">
        <v>4</v>
      </c>
      <c r="E18" s="264" t="e">
        <f>VLOOKUP(S18,'DATOS #'!$C$131:$W$152,5,FALSE)</f>
        <v>#N/A</v>
      </c>
      <c r="F18" s="254" t="s">
        <v>4</v>
      </c>
      <c r="G18" s="264" t="e">
        <f>VLOOKUP(S18,'DATOS #'!$C$131:$W$152,6,FALSE)</f>
        <v>#N/A</v>
      </c>
      <c r="H18" s="254" t="s">
        <v>4</v>
      </c>
      <c r="I18" s="264" t="e">
        <f>VLOOKUP(S18,'DATOS #'!$C$131:$W$152,7,FALSE)</f>
        <v>#N/A</v>
      </c>
      <c r="J18" s="267" t="s">
        <v>4</v>
      </c>
      <c r="K18" s="573" t="e">
        <f>VLOOKUP(S18,'DATOS #'!$C$131:$W$152,21,FALSE)</f>
        <v>#N/A</v>
      </c>
      <c r="L18" s="254" t="s">
        <v>4</v>
      </c>
      <c r="M18" s="247" t="e">
        <f t="shared" si="0"/>
        <v>#N/A</v>
      </c>
      <c r="N18" s="254" t="s">
        <v>4</v>
      </c>
      <c r="O18" s="256" t="e">
        <f>VLOOKUP(S18,'DATOS #'!$C$131:$W$152,8,FALSE)</f>
        <v>#N/A</v>
      </c>
      <c r="P18" s="248" t="e">
        <f>VLOOKUP(S18,'DATOS #'!$C$131:$W$152,9,FALSE)</f>
        <v>#N/A</v>
      </c>
      <c r="Q18" s="268" t="s">
        <v>443</v>
      </c>
      <c r="R18" s="269" t="s">
        <v>444</v>
      </c>
      <c r="S18" s="270"/>
    </row>
    <row r="19" spans="1:20" s="273" customFormat="1" ht="30" customHeight="1" x14ac:dyDescent="0.25">
      <c r="A19" s="1639" t="s">
        <v>154</v>
      </c>
      <c r="B19" s="1672" t="e">
        <f>VLOOKUP(S19,'DATOS #'!$C$155:$AA$161,3,FALSE)</f>
        <v>#N/A</v>
      </c>
      <c r="C19" s="1674" t="e">
        <f>VLOOKUP(S19,'DATOS #'!$C$155:$AA$161,4,FALSE)</f>
        <v>#N/A</v>
      </c>
      <c r="D19" s="1670" t="s">
        <v>4</v>
      </c>
      <c r="E19" s="1662" t="e">
        <f>VLOOKUP(S19,'DATOS #'!$C$155:$AA$161,5,FALSE)</f>
        <v>#N/A</v>
      </c>
      <c r="F19" s="1670" t="s">
        <v>4</v>
      </c>
      <c r="G19" s="1674" t="e">
        <f>VLOOKUP(S19,'DATOS #'!$C$155:$AA$161,6,FALSE)</f>
        <v>#N/A</v>
      </c>
      <c r="H19" s="1670" t="s">
        <v>4</v>
      </c>
      <c r="I19" s="1662" t="e">
        <f>VLOOKUP(S19,'DATOS #'!$C$155:$AA$161,7,FALSE)</f>
        <v>#N/A</v>
      </c>
      <c r="J19" s="1670" t="s">
        <v>4</v>
      </c>
      <c r="K19" s="1683" t="e">
        <f>VLOOKUP(S19,'DATOS #'!$C$155:$AA$161,25,FALSE)</f>
        <v>#N/A</v>
      </c>
      <c r="L19" s="1632" t="s">
        <v>4</v>
      </c>
      <c r="M19" s="1634" t="e">
        <f t="shared" si="0"/>
        <v>#N/A</v>
      </c>
      <c r="N19" s="1632" t="s">
        <v>4</v>
      </c>
      <c r="O19" s="1662" t="e">
        <f>VLOOKUP(S19,'DATOS #'!$C$155:$AA$161,8,FALSE)</f>
        <v>#N/A</v>
      </c>
      <c r="P19" s="1664" t="e">
        <f>VLOOKUP(S19,'DATOS #'!$C$155:$AA$161,9,FALSE)</f>
        <v>#N/A</v>
      </c>
      <c r="Q19" s="271" t="e">
        <f>VLOOKUP(S19,'DATOS #'!$C$155:$AA$161,12,FALSE)</f>
        <v>#N/A</v>
      </c>
      <c r="R19" s="272" t="e">
        <f>VLOOKUP(S19,'DATOS #'!$C$155:$AA$161,14,FALSE)</f>
        <v>#N/A</v>
      </c>
      <c r="S19" s="1649"/>
    </row>
    <row r="20" spans="1:20" s="20" customFormat="1" ht="30" customHeight="1" thickBot="1" x14ac:dyDescent="0.3">
      <c r="A20" s="1640"/>
      <c r="B20" s="1673"/>
      <c r="C20" s="1675"/>
      <c r="D20" s="1671"/>
      <c r="E20" s="1663"/>
      <c r="F20" s="1671"/>
      <c r="G20" s="1675"/>
      <c r="H20" s="1671"/>
      <c r="I20" s="1663"/>
      <c r="J20" s="1671"/>
      <c r="K20" s="1683"/>
      <c r="L20" s="1633"/>
      <c r="M20" s="1635"/>
      <c r="N20" s="1633"/>
      <c r="O20" s="1663"/>
      <c r="P20" s="1665"/>
      <c r="Q20" s="274" t="e">
        <f>VLOOKUP(S19,'DATOS #'!$C$155:$AA$161,13,FALSE)</f>
        <v>#N/A</v>
      </c>
      <c r="R20" s="275" t="e">
        <f>VLOOKUP(S19,'DATOS #'!$C$155:$AA$161,15,FALSE)</f>
        <v>#N/A</v>
      </c>
      <c r="S20" s="1650"/>
    </row>
    <row r="21" spans="1:20" s="21" customFormat="1" ht="27.75" customHeight="1" thickBot="1" x14ac:dyDescent="0.3">
      <c r="A21" s="276" t="s">
        <v>324</v>
      </c>
      <c r="B21" s="266" t="e">
        <f>VLOOKUP(S21,'DATOS #'!$C$167:$K$168,3,FALSE)</f>
        <v>#N/A</v>
      </c>
      <c r="C21" s="256" t="e">
        <f>VLOOKUP(S21,'DATOS #'!$C$167:$K$168,4,FALSE)</f>
        <v>#N/A</v>
      </c>
      <c r="D21" s="254" t="s">
        <v>151</v>
      </c>
      <c r="E21" s="277" t="e">
        <f>VLOOKUP(S21,'DATOS #'!$C$167:$K$168,5,FALSE)</f>
        <v>#N/A</v>
      </c>
      <c r="F21" s="254" t="s">
        <v>151</v>
      </c>
      <c r="G21" s="278" t="e">
        <f>VLOOKUP(S21,'DATOS #'!$C$167:$K$168,6,FALSE)</f>
        <v>#N/A</v>
      </c>
      <c r="H21" s="254" t="s">
        <v>151</v>
      </c>
      <c r="I21" s="278" t="e">
        <f>VLOOKUP(S21,'DATOS #'!$C$167:$K$168,7,FALSE)</f>
        <v>#N/A</v>
      </c>
      <c r="J21" s="267" t="s">
        <v>151</v>
      </c>
      <c r="K21" s="377" t="e">
        <f>(I21/2)/SQRT(12)</f>
        <v>#N/A</v>
      </c>
      <c r="L21" s="254" t="s">
        <v>151</v>
      </c>
      <c r="M21" s="247" t="e">
        <f>SQRT((I21/2)^2+(K21)^2)</f>
        <v>#N/A</v>
      </c>
      <c r="N21" s="279" t="s">
        <v>151</v>
      </c>
      <c r="O21" s="9" t="e">
        <f>VLOOKUP(S21,'DATOS #'!$C$167:$K$168,8,FALSE)</f>
        <v>#N/A</v>
      </c>
      <c r="P21" s="248" t="e">
        <f>VLOOKUP(S21,'DATOS #'!$C$167:$K$168,9,FALSE)</f>
        <v>#N/A</v>
      </c>
      <c r="Q21" s="280"/>
      <c r="R21" s="281"/>
      <c r="S21" s="251"/>
    </row>
    <row r="22" spans="1:20" s="20" customFormat="1" ht="30" customHeight="1" thickBot="1" x14ac:dyDescent="0.3">
      <c r="A22" s="282" t="s">
        <v>57</v>
      </c>
      <c r="B22" s="283" t="e">
        <f>VLOOKUP(S22,'DATOS #'!$C$173:$K$188,3,FALSE)</f>
        <v>#N/A</v>
      </c>
      <c r="C22" s="284" t="e">
        <f>VLOOKUP(S22,'DATOS #'!$C$173:$K$188,4,FALSE)</f>
        <v>#N/A</v>
      </c>
      <c r="D22" s="285" t="s">
        <v>141</v>
      </c>
      <c r="E22" s="286" t="e">
        <f>VLOOKUP(S22,'DATOS #'!$C$173:$K$188,5,FALSE)</f>
        <v>#N/A</v>
      </c>
      <c r="F22" s="285" t="s">
        <v>141</v>
      </c>
      <c r="G22" s="287" t="e">
        <f>VLOOKUP(S22,'DATOS #'!$C$173:$K$188,6,FALSE)</f>
        <v>#N/A</v>
      </c>
      <c r="H22" s="285" t="s">
        <v>141</v>
      </c>
      <c r="I22" s="288" t="e">
        <f>VLOOKUP(S22,'DATOS #'!$C$173:$K$188,7,FALSE)</f>
        <v>#N/A</v>
      </c>
      <c r="J22" s="285" t="s">
        <v>141</v>
      </c>
      <c r="K22" s="289" t="e">
        <f>(I22/2)/SQRT(12)</f>
        <v>#N/A</v>
      </c>
      <c r="L22" s="285" t="s">
        <v>141</v>
      </c>
      <c r="M22" s="1067" t="e">
        <f>SQRT((I22/2)^2+(K22)^2)</f>
        <v>#N/A</v>
      </c>
      <c r="N22" s="285" t="s">
        <v>141</v>
      </c>
      <c r="O22" s="284" t="e">
        <f>VLOOKUP(S22,'DATOS #'!$C$173:$K$188,8,FALSE)</f>
        <v>#N/A</v>
      </c>
      <c r="P22" s="291" t="e">
        <f>VLOOKUP(S22,'DATOS #'!$C$173:$K$188,9,FALSE)</f>
        <v>#N/A</v>
      </c>
      <c r="Q22" s="292"/>
      <c r="R22" s="293"/>
      <c r="S22" s="263"/>
    </row>
    <row r="23" spans="1:20" s="20" customFormat="1" ht="30" customHeight="1" thickBot="1" x14ac:dyDescent="0.3"/>
    <row r="24" spans="1:20" s="20" customFormat="1" ht="30" customHeight="1" thickBot="1" x14ac:dyDescent="0.3">
      <c r="A24" s="23"/>
      <c r="B24" s="1651" t="s">
        <v>596</v>
      </c>
      <c r="C24" s="1652"/>
      <c r="D24" s="1652"/>
      <c r="E24" s="1652"/>
      <c r="F24" s="1652"/>
      <c r="G24" s="1653"/>
      <c r="H24" s="21"/>
      <c r="I24" s="1651" t="s">
        <v>597</v>
      </c>
      <c r="J24" s="1652"/>
      <c r="K24" s="1652"/>
      <c r="L24" s="1652"/>
      <c r="M24" s="1652"/>
      <c r="N24" s="1652"/>
      <c r="O24" s="1652"/>
      <c r="P24" s="1652"/>
      <c r="Q24" s="1652"/>
      <c r="R24" s="1653"/>
    </row>
    <row r="25" spans="1:20" s="20" customFormat="1" ht="30" customHeight="1" thickBot="1" x14ac:dyDescent="0.3">
      <c r="A25" s="23"/>
      <c r="B25" s="1065" t="s">
        <v>58</v>
      </c>
      <c r="C25" s="1075"/>
      <c r="D25" s="1676" t="s">
        <v>1</v>
      </c>
      <c r="E25" s="1677"/>
      <c r="F25" s="1644" t="s">
        <v>0</v>
      </c>
      <c r="G25" s="1645"/>
      <c r="H25" s="21"/>
      <c r="I25" s="1660" t="s">
        <v>53</v>
      </c>
      <c r="J25" s="1678" t="s">
        <v>40</v>
      </c>
      <c r="K25" s="1678" t="s">
        <v>41</v>
      </c>
      <c r="L25" s="1678" t="s">
        <v>398</v>
      </c>
      <c r="M25" s="1668" t="s">
        <v>59</v>
      </c>
      <c r="N25" s="21"/>
      <c r="O25" s="1660" t="s">
        <v>60</v>
      </c>
      <c r="P25" s="1660" t="s">
        <v>61</v>
      </c>
      <c r="Q25" s="1660" t="s">
        <v>62</v>
      </c>
      <c r="R25" s="1658" t="s">
        <v>274</v>
      </c>
    </row>
    <row r="26" spans="1:20" s="20" customFormat="1" ht="30" customHeight="1" thickBot="1" x14ac:dyDescent="0.3">
      <c r="A26" s="238"/>
      <c r="B26" s="1656" t="s">
        <v>35</v>
      </c>
      <c r="C26" s="1657"/>
      <c r="D26" s="1654" t="e">
        <f>VLOOKUP($A$26,'DATOS #'!$B$24:$O$26,2,FALSE)</f>
        <v>#N/A</v>
      </c>
      <c r="E26" s="1655"/>
      <c r="F26" s="1666" t="e">
        <f>VLOOKUP($H$26,'DATOS #'!$B$14:$N$16,2,FALSE)</f>
        <v>#N/A</v>
      </c>
      <c r="G26" s="1667"/>
      <c r="H26" s="238"/>
      <c r="I26" s="1661"/>
      <c r="J26" s="1679"/>
      <c r="K26" s="1679"/>
      <c r="L26" s="1679"/>
      <c r="M26" s="1669"/>
      <c r="N26" s="21"/>
      <c r="O26" s="1661"/>
      <c r="P26" s="1661"/>
      <c r="Q26" s="1661"/>
      <c r="R26" s="1659"/>
      <c r="T26" s="590"/>
    </row>
    <row r="27" spans="1:20" s="20" customFormat="1" ht="30" customHeight="1" thickBot="1" x14ac:dyDescent="0.3">
      <c r="A27" s="23"/>
      <c r="B27" s="1656" t="s">
        <v>36</v>
      </c>
      <c r="C27" s="1657"/>
      <c r="D27" s="1688" t="e">
        <f>VLOOKUP($A$26,'DATOS #'!$B$24:$O$26,3,FALSE)</f>
        <v>#N/A</v>
      </c>
      <c r="E27" s="1689"/>
      <c r="F27" s="1684" t="e">
        <f>VLOOKUP($H$26,'DATOS #'!$B$14:$N$16,3,FALSE)</f>
        <v>#N/A</v>
      </c>
      <c r="G27" s="1685"/>
      <c r="H27" s="21"/>
      <c r="I27" s="129" t="s">
        <v>65</v>
      </c>
      <c r="J27" s="333">
        <v>3.785412</v>
      </c>
      <c r="K27" s="333">
        <v>3785.4110000000001</v>
      </c>
      <c r="L27" s="333">
        <v>231.00006956708521</v>
      </c>
      <c r="M27" s="575">
        <v>5</v>
      </c>
      <c r="N27" s="297"/>
      <c r="O27" s="574" t="e">
        <f>O30/K27</f>
        <v>#N/A</v>
      </c>
      <c r="P27" s="181" t="e">
        <f>P30/K27</f>
        <v>#N/A</v>
      </c>
      <c r="Q27" s="578" t="e">
        <f>P27-O27</f>
        <v>#N/A</v>
      </c>
      <c r="R27" s="579" t="e">
        <f>ABS(Q27)</f>
        <v>#N/A</v>
      </c>
    </row>
    <row r="28" spans="1:20" s="20" customFormat="1" ht="30" customHeight="1" thickBot="1" x14ac:dyDescent="0.3">
      <c r="A28" s="23"/>
      <c r="B28" s="1656" t="s">
        <v>25</v>
      </c>
      <c r="C28" s="1657"/>
      <c r="D28" s="1688" t="e">
        <f>VLOOKUP($A$26,'DATOS #'!$B$24:$O$26,4,FALSE)</f>
        <v>#N/A</v>
      </c>
      <c r="E28" s="1689"/>
      <c r="F28" s="1686" t="e">
        <f>VLOOKUP($H$26,'DATOS #'!$B$14:$N$16,4,FALSE)</f>
        <v>#N/A</v>
      </c>
      <c r="G28" s="1687"/>
      <c r="H28" s="21"/>
      <c r="I28" s="1081" t="s">
        <v>189</v>
      </c>
      <c r="J28" s="295">
        <v>1.6387059999999998E-2</v>
      </c>
      <c r="K28" s="295">
        <v>16.387059999999998</v>
      </c>
      <c r="L28" s="295">
        <v>1</v>
      </c>
      <c r="M28" s="296">
        <v>1155.0000427166315</v>
      </c>
      <c r="N28" s="21"/>
      <c r="O28" s="298" t="e">
        <f>O30/K28</f>
        <v>#N/A</v>
      </c>
      <c r="P28" s="369" t="e">
        <f>(P30*L28)/K28</f>
        <v>#N/A</v>
      </c>
      <c r="Q28" s="580" t="e">
        <f>P28-O28</f>
        <v>#N/A</v>
      </c>
      <c r="R28" s="581" t="e">
        <f>ABS(Q28)</f>
        <v>#N/A</v>
      </c>
    </row>
    <row r="29" spans="1:20" s="20" customFormat="1" ht="30" customHeight="1" thickBot="1" x14ac:dyDescent="0.3">
      <c r="A29" s="23"/>
      <c r="B29" s="1656" t="s">
        <v>68</v>
      </c>
      <c r="C29" s="1657"/>
      <c r="D29" s="1076" t="e">
        <f>VLOOKUP($A$26,'DATOS #'!$B$24:$O$26,5,FALSE)</f>
        <v>#N/A</v>
      </c>
      <c r="E29" s="279" t="s">
        <v>3</v>
      </c>
      <c r="F29" s="279" t="e">
        <f>VLOOKUP($H$26,'DATOS #'!$B$14:$N$16,5,FALSE)</f>
        <v>#N/A</v>
      </c>
      <c r="G29" s="300" t="s">
        <v>3</v>
      </c>
      <c r="H29" s="21"/>
      <c r="I29" s="1081" t="s">
        <v>22</v>
      </c>
      <c r="J29" s="295">
        <v>1</v>
      </c>
      <c r="K29" s="295">
        <v>1000</v>
      </c>
      <c r="L29" s="295">
        <v>1.6387059999999998E-2</v>
      </c>
      <c r="M29" s="296">
        <v>18.927054999999999</v>
      </c>
      <c r="N29" s="21"/>
      <c r="O29" s="301" t="e">
        <f>O30/K29</f>
        <v>#N/A</v>
      </c>
      <c r="P29" s="369" t="e">
        <f>(P30*J29)/K29</f>
        <v>#N/A</v>
      </c>
      <c r="Q29" s="580" t="e">
        <f>P29-O29</f>
        <v>#N/A</v>
      </c>
      <c r="R29" s="581" t="e">
        <f>ABS(Q29)</f>
        <v>#N/A</v>
      </c>
    </row>
    <row r="30" spans="1:20" s="20" customFormat="1" ht="30" customHeight="1" thickBot="1" x14ac:dyDescent="0.3">
      <c r="A30" s="23"/>
      <c r="B30" s="1656" t="s">
        <v>39</v>
      </c>
      <c r="C30" s="1657"/>
      <c r="D30" s="645" t="e">
        <f>VLOOKUP($A$26,'DATOS #'!$B$24:$O$26,6,FALSE)</f>
        <v>#N/A</v>
      </c>
      <c r="E30" s="279" t="s">
        <v>9</v>
      </c>
      <c r="F30" s="279" t="e">
        <f>VLOOKUP($H$26,'DATOS #'!$B$14:$N$16,6,FALSE)</f>
        <v>#N/A</v>
      </c>
      <c r="G30" s="300" t="s">
        <v>9</v>
      </c>
      <c r="H30" s="21"/>
      <c r="I30" s="1081" t="s">
        <v>23</v>
      </c>
      <c r="J30" s="114">
        <v>1E-3</v>
      </c>
      <c r="K30" s="295">
        <v>1</v>
      </c>
      <c r="L30" s="295">
        <v>16.387059999999998</v>
      </c>
      <c r="M30" s="576">
        <v>18927.055</v>
      </c>
      <c r="N30" s="21"/>
      <c r="O30" s="582" t="e">
        <f>C7</f>
        <v>#N/A</v>
      </c>
      <c r="P30" s="114" t="e">
        <f>H58</f>
        <v>#N/A</v>
      </c>
      <c r="Q30" s="580" t="e">
        <f>P30-O30</f>
        <v>#N/A</v>
      </c>
      <c r="R30" s="581" t="e">
        <f>ABS(Q30)</f>
        <v>#N/A</v>
      </c>
    </row>
    <row r="31" spans="1:20" s="20" customFormat="1" ht="30" customHeight="1" thickBot="1" x14ac:dyDescent="0.3">
      <c r="A31" s="23"/>
      <c r="B31" s="1656" t="s">
        <v>70</v>
      </c>
      <c r="C31" s="1657"/>
      <c r="D31" s="1076" t="e">
        <f>VLOOKUP($A$26,'DATOS #'!$B$24:$O$26,7,FALSE)</f>
        <v>#N/A</v>
      </c>
      <c r="E31" s="279" t="s">
        <v>4</v>
      </c>
      <c r="F31" s="279" t="e">
        <f>VLOOKUP($H$26,'DATOS #'!$B$14:$N$16,7,FALSE)</f>
        <v>#N/A</v>
      </c>
      <c r="G31" s="300" t="s">
        <v>4</v>
      </c>
      <c r="H31" s="21"/>
      <c r="I31" s="1064" t="s">
        <v>399</v>
      </c>
      <c r="J31" s="144">
        <v>1E-3</v>
      </c>
      <c r="K31" s="302">
        <v>1</v>
      </c>
      <c r="L31" s="302">
        <v>16.387059999999998</v>
      </c>
      <c r="M31" s="577">
        <v>18927.055</v>
      </c>
      <c r="N31" s="21"/>
      <c r="O31" s="583" t="e">
        <f>O30</f>
        <v>#N/A</v>
      </c>
      <c r="P31" s="144" t="e">
        <f>P30</f>
        <v>#N/A</v>
      </c>
      <c r="Q31" s="584" t="e">
        <f>P31-O31</f>
        <v>#N/A</v>
      </c>
      <c r="R31" s="585" t="e">
        <f>ABS(Q31)</f>
        <v>#N/A</v>
      </c>
      <c r="T31" s="303"/>
    </row>
    <row r="32" spans="1:20" s="20" customFormat="1" ht="30" customHeight="1" thickBot="1" x14ac:dyDescent="0.3">
      <c r="A32" s="23"/>
      <c r="B32" s="1656" t="s">
        <v>34</v>
      </c>
      <c r="C32" s="1657"/>
      <c r="D32" s="1076" t="e">
        <f>VLOOKUP($A$26,'DATOS #'!$B$24:$O$26,8,FALSE)</f>
        <v>#N/A</v>
      </c>
      <c r="E32" s="279" t="s">
        <v>4</v>
      </c>
      <c r="F32" s="279" t="e">
        <f>VLOOKUP($H$26,'DATOS #'!$B$14:$N$16,8,FALSE)</f>
        <v>#N/A</v>
      </c>
      <c r="G32" s="300" t="s">
        <v>4</v>
      </c>
      <c r="H32" s="21"/>
      <c r="R32" s="23"/>
      <c r="T32" s="303"/>
    </row>
    <row r="33" spans="1:25" s="20" customFormat="1" ht="48" customHeight="1" thickBot="1" x14ac:dyDescent="0.3">
      <c r="A33" s="23"/>
      <c r="B33" s="1656" t="s">
        <v>328</v>
      </c>
      <c r="C33" s="1657"/>
      <c r="D33" s="1076" t="e">
        <f>VLOOKUP($A$26,'DATOS #'!$B$24:$O$26,9,FALSE)</f>
        <v>#N/A</v>
      </c>
      <c r="E33" s="279" t="s">
        <v>400</v>
      </c>
      <c r="F33" s="377" t="e">
        <f>VLOOKUP($H$26,'DATOS #'!$B$14:$N$16,9,FALSE)</f>
        <v>#N/A</v>
      </c>
      <c r="G33" s="300" t="s">
        <v>400</v>
      </c>
      <c r="H33" s="23"/>
      <c r="I33" s="1592" t="s">
        <v>66</v>
      </c>
      <c r="J33" s="1699"/>
      <c r="K33" s="704"/>
      <c r="L33" s="703"/>
      <c r="N33" s="1604" t="s">
        <v>67</v>
      </c>
      <c r="O33" s="1605"/>
      <c r="P33" s="808"/>
      <c r="Q33" s="703"/>
      <c r="R33" s="304"/>
      <c r="T33" s="303"/>
    </row>
    <row r="34" spans="1:25" s="20" customFormat="1" ht="30" customHeight="1" thickBot="1" x14ac:dyDescent="0.3">
      <c r="A34" s="23"/>
      <c r="B34" s="1656" t="s">
        <v>73</v>
      </c>
      <c r="C34" s="1657"/>
      <c r="D34" s="1076" t="e">
        <f>VLOOKUP($A$26,'DATOS #'!$B$24:$O$26,10,FALSE)</f>
        <v>#N/A</v>
      </c>
      <c r="E34" s="279" t="s">
        <v>13</v>
      </c>
      <c r="F34" s="810" t="e">
        <f>VLOOKUP($H$26,'DATOS #'!$B$14:$N$16,10,FALSE)</f>
        <v>#N/A</v>
      </c>
      <c r="G34" s="300" t="s">
        <v>13</v>
      </c>
      <c r="H34" s="21"/>
    </row>
    <row r="35" spans="1:25" s="20" customFormat="1" ht="54.75" customHeight="1" thickBot="1" x14ac:dyDescent="0.3">
      <c r="A35" s="23"/>
      <c r="B35" s="1656" t="s">
        <v>74</v>
      </c>
      <c r="C35" s="1657"/>
      <c r="D35" s="1076" t="e">
        <f>VLOOKUP($A$26,'DATOS #'!$B$24:$O$26,11,FALSE)</f>
        <v>#N/A</v>
      </c>
      <c r="E35" s="279" t="s">
        <v>13</v>
      </c>
      <c r="F35" s="279" t="e">
        <f>VLOOKUP($H$26,'DATOS #'!$B$14:$N$16,11,FALSE)</f>
        <v>#N/A</v>
      </c>
      <c r="G35" s="300" t="s">
        <v>13</v>
      </c>
      <c r="H35" s="21"/>
      <c r="I35" s="1711" t="s">
        <v>598</v>
      </c>
      <c r="J35" s="1712"/>
      <c r="K35" s="1712"/>
      <c r="L35" s="1712"/>
      <c r="M35" s="1712"/>
      <c r="N35" s="1712"/>
      <c r="O35" s="1712"/>
      <c r="P35" s="1713"/>
      <c r="Q35" s="150" t="s">
        <v>251</v>
      </c>
    </row>
    <row r="36" spans="1:25" s="20" customFormat="1" ht="48" customHeight="1" thickBot="1" x14ac:dyDescent="0.3">
      <c r="A36" s="23"/>
      <c r="B36" s="1656" t="s">
        <v>439</v>
      </c>
      <c r="C36" s="1657"/>
      <c r="D36" s="1076" t="e">
        <f>VLOOKUP($A$26,'DATOS #'!$B$24:$O$26,12,FALSE)</f>
        <v>#N/A</v>
      </c>
      <c r="E36" s="279" t="s">
        <v>400</v>
      </c>
      <c r="F36" s="377" t="e">
        <f>D36</f>
        <v>#N/A</v>
      </c>
      <c r="G36" s="300" t="s">
        <v>400</v>
      </c>
      <c r="H36" s="21"/>
      <c r="I36" s="1714" t="s">
        <v>69</v>
      </c>
      <c r="J36" s="1715"/>
      <c r="K36" s="1715"/>
      <c r="L36" s="1716" t="s">
        <v>19</v>
      </c>
      <c r="M36" s="1716"/>
      <c r="N36" s="1716"/>
      <c r="O36" s="592" t="s">
        <v>20</v>
      </c>
      <c r="P36" s="672" t="s">
        <v>506</v>
      </c>
      <c r="Q36" s="634"/>
    </row>
    <row r="37" spans="1:25" s="20" customFormat="1" ht="41.1" customHeight="1" thickBot="1" x14ac:dyDescent="0.3">
      <c r="A37" s="23"/>
      <c r="B37" s="1702" t="s">
        <v>71</v>
      </c>
      <c r="C37" s="1703"/>
      <c r="D37" s="305" t="e">
        <f>K58</f>
        <v>#N/A</v>
      </c>
      <c r="E37" s="306" t="s">
        <v>400</v>
      </c>
      <c r="F37" s="307" t="e">
        <f>D37</f>
        <v>#N/A</v>
      </c>
      <c r="G37" s="308" t="s">
        <v>400</v>
      </c>
      <c r="H37" s="21"/>
      <c r="I37" s="1717" t="s">
        <v>264</v>
      </c>
      <c r="J37" s="1718"/>
      <c r="K37" s="593"/>
      <c r="L37" s="1718" t="s">
        <v>264</v>
      </c>
      <c r="M37" s="1718"/>
      <c r="N37" s="593"/>
      <c r="O37" s="1071" t="e">
        <f>AVERAGE(K37,N37)</f>
        <v>#DIV/0!</v>
      </c>
      <c r="P37" s="676" t="e">
        <f>O37+((VLOOKUP($Q$36,'DATOS #'!$B$131:$O$137,9,FALSE))*O37+(VLOOKUP($Q$36,'DATOS #'!$B$131:$O$137,10,FALSE)))</f>
        <v>#DIV/0!</v>
      </c>
    </row>
    <row r="38" spans="1:25" s="20" customFormat="1" ht="41.1" customHeight="1" thickBot="1" x14ac:dyDescent="0.3">
      <c r="A38" s="23"/>
      <c r="B38" s="21"/>
      <c r="C38" s="21"/>
      <c r="D38" s="21"/>
      <c r="E38" s="21"/>
      <c r="F38" s="21"/>
      <c r="G38" s="21"/>
      <c r="H38" s="21"/>
      <c r="I38" s="1719" t="s">
        <v>396</v>
      </c>
      <c r="J38" s="1720"/>
      <c r="K38" s="11"/>
      <c r="L38" s="1720" t="s">
        <v>396</v>
      </c>
      <c r="M38" s="1720"/>
      <c r="N38" s="11"/>
      <c r="O38" s="1072" t="e">
        <f>AVERAGE(K38,N38)</f>
        <v>#DIV/0!</v>
      </c>
      <c r="P38" s="677" t="e">
        <f>O38+((VLOOKUP($Q$36,'DATOS #'!$B$131:$O$137,11,FALSE))*O38+(VLOOKUP($Q$36,'DATOS #'!$B$131:$O$137,12,FALSE)))</f>
        <v>#DIV/0!</v>
      </c>
    </row>
    <row r="39" spans="1:25" s="20" customFormat="1" ht="41.1" customHeight="1" thickBot="1" x14ac:dyDescent="0.3">
      <c r="A39" s="23"/>
      <c r="B39" s="1704" t="s">
        <v>166</v>
      </c>
      <c r="C39" s="1677"/>
      <c r="D39" s="1705" t="e">
        <f>VLOOKUP(H39,'DATOS #'!P9:R13,2,FALSE)</f>
        <v>#N/A</v>
      </c>
      <c r="E39" s="1706"/>
      <c r="F39" s="1706"/>
      <c r="G39" s="1707"/>
      <c r="H39" s="631"/>
      <c r="I39" s="1721" t="s">
        <v>265</v>
      </c>
      <c r="J39" s="1722"/>
      <c r="K39" s="12"/>
      <c r="L39" s="1722" t="s">
        <v>265</v>
      </c>
      <c r="M39" s="1722"/>
      <c r="N39" s="12"/>
      <c r="O39" s="1073" t="e">
        <f>AVERAGE(K39,N39)</f>
        <v>#DIV/0!</v>
      </c>
      <c r="P39" s="678" t="e">
        <f>O39+((VLOOKUP($Q$36,'DATOS #'!$B$131:$O$137,13,FALSE))*O39+(VLOOKUP($Q$36,'DATOS #'!$B$131:$O$137,14,FALSE)))</f>
        <v>#DIV/0!</v>
      </c>
    </row>
    <row r="40" spans="1:25" s="20" customFormat="1" ht="30" customHeight="1" thickBot="1" x14ac:dyDescent="0.3">
      <c r="A40" s="23"/>
      <c r="H40" s="21"/>
      <c r="I40" s="21"/>
    </row>
    <row r="41" spans="1:25" s="23" customFormat="1" ht="30" customHeight="1" thickBot="1" x14ac:dyDescent="0.3">
      <c r="B41" s="1641" t="s">
        <v>599</v>
      </c>
      <c r="C41" s="1642"/>
      <c r="D41" s="1642"/>
      <c r="E41" s="1642"/>
      <c r="F41" s="1642"/>
      <c r="G41" s="1642"/>
      <c r="H41" s="1569"/>
      <c r="I41" s="1642"/>
      <c r="J41" s="1642"/>
      <c r="K41" s="1642"/>
      <c r="L41" s="1642"/>
      <c r="M41" s="1642"/>
      <c r="N41" s="1643"/>
    </row>
    <row r="42" spans="1:25" s="21" customFormat="1" ht="27.75" customHeight="1" thickBot="1" x14ac:dyDescent="0.3">
      <c r="B42" s="1592" t="s">
        <v>381</v>
      </c>
      <c r="C42" s="1539"/>
      <c r="D42" s="1539"/>
      <c r="E42" s="1539"/>
      <c r="F42" s="1539"/>
      <c r="G42" s="1593"/>
      <c r="I42" s="1592" t="s">
        <v>382</v>
      </c>
      <c r="J42" s="1539"/>
      <c r="K42" s="1539"/>
      <c r="L42" s="1539"/>
      <c r="M42" s="1539"/>
      <c r="N42" s="1593"/>
      <c r="Q42" s="23"/>
      <c r="R42" s="23"/>
      <c r="S42" s="23"/>
      <c r="T42" s="23"/>
      <c r="U42" s="23"/>
      <c r="V42" s="23"/>
      <c r="W42" s="23"/>
      <c r="X42" s="23"/>
      <c r="Y42" s="23"/>
    </row>
    <row r="43" spans="1:25" s="20" customFormat="1" ht="59.25" customHeight="1" thickBot="1" x14ac:dyDescent="0.3">
      <c r="A43" s="631"/>
      <c r="B43" s="1062" t="s">
        <v>75</v>
      </c>
      <c r="C43" s="1061" t="s">
        <v>327</v>
      </c>
      <c r="D43" s="1061" t="s">
        <v>326</v>
      </c>
      <c r="E43" s="1061" t="s">
        <v>77</v>
      </c>
      <c r="F43" s="1061" t="s">
        <v>78</v>
      </c>
      <c r="G43" s="1063" t="s">
        <v>79</v>
      </c>
      <c r="H43" s="21"/>
      <c r="I43" s="1062" t="s">
        <v>76</v>
      </c>
      <c r="J43" s="1061" t="s">
        <v>325</v>
      </c>
      <c r="K43" s="1061" t="s">
        <v>77</v>
      </c>
      <c r="L43" s="1061" t="s">
        <v>78</v>
      </c>
      <c r="M43" s="1061" t="s">
        <v>79</v>
      </c>
      <c r="N43" s="1063" t="s">
        <v>357</v>
      </c>
      <c r="O43" s="634"/>
    </row>
    <row r="44" spans="1:25" s="20" customFormat="1" ht="30" customHeight="1" thickBot="1" x14ac:dyDescent="0.3">
      <c r="A44" s="23"/>
      <c r="B44" s="129">
        <v>1</v>
      </c>
      <c r="C44" s="635"/>
      <c r="D44" s="636" t="e">
        <f>C44+(VLOOKUP($A$43,'DATOS #'!$A$37:$N$49,13,FALSE))*C44+(VLOOKUP($A$43,'DATOS #'!$A$37:$N$49,14,FALSE))</f>
        <v>#N/A</v>
      </c>
      <c r="E44" s="637"/>
      <c r="F44" s="638"/>
      <c r="G44" s="639">
        <f>E44+F44</f>
        <v>0</v>
      </c>
      <c r="H44" s="21"/>
      <c r="I44" s="685"/>
      <c r="J44" s="636" t="e">
        <f>I44+(VLOOKUP($O$43,'DATOS #'!$A$37:$N$49,13,FALSE))*I44+(VLOOKUP($O$43,'DATOS #'!$A$37:$N$49,14,FALSE))</f>
        <v>#N/A</v>
      </c>
      <c r="K44" s="640"/>
      <c r="L44" s="641"/>
      <c r="M44" s="642">
        <f>K44+L44</f>
        <v>0</v>
      </c>
      <c r="N44" s="643"/>
      <c r="O44" s="21"/>
    </row>
    <row r="45" spans="1:25" s="20" customFormat="1" ht="30" customHeight="1" thickBot="1" x14ac:dyDescent="0.3">
      <c r="A45" s="23"/>
      <c r="B45" s="1081">
        <v>2</v>
      </c>
      <c r="C45" s="632"/>
      <c r="D45" s="310" t="e">
        <f>C45+(VLOOKUP($A$43,'DATOS #'!$A$37:$N$49,13,FALSE))*C45+(VLOOKUP($A$43,'DATOS #'!$A$37:$N$49,14,FALSE))</f>
        <v>#N/A</v>
      </c>
      <c r="E45" s="311"/>
      <c r="F45" s="312"/>
      <c r="G45" s="313">
        <f>E45+F45</f>
        <v>0</v>
      </c>
      <c r="H45" s="21"/>
      <c r="I45" s="314"/>
      <c r="J45" s="310" t="e">
        <f>I45+(VLOOKUP($O$43,'DATOS #'!$A$37:$N$49,13,FALSE))*I45+(VLOOKUP($O$43,'DATOS #'!$A$37:$N$49,14,FALSE))</f>
        <v>#N/A</v>
      </c>
      <c r="K45" s="315"/>
      <c r="L45" s="13"/>
      <c r="M45" s="1074">
        <f>K45+L45</f>
        <v>0</v>
      </c>
      <c r="N45" s="316"/>
      <c r="O45" s="21"/>
      <c r="Q45" s="1708" t="s">
        <v>217</v>
      </c>
      <c r="R45" s="1709"/>
      <c r="S45" s="1709"/>
      <c r="T45" s="1709"/>
      <c r="U45" s="1709"/>
      <c r="V45" s="1709"/>
      <c r="W45" s="1709"/>
      <c r="X45" s="1709"/>
      <c r="Y45" s="1710"/>
    </row>
    <row r="46" spans="1:25" s="20" customFormat="1" ht="30" customHeight="1" thickBot="1" x14ac:dyDescent="0.3">
      <c r="A46" s="1078" t="s">
        <v>80</v>
      </c>
      <c r="B46" s="1081">
        <v>3</v>
      </c>
      <c r="C46" s="632"/>
      <c r="D46" s="310" t="e">
        <f>C46+(VLOOKUP($A$43,'DATOS #'!$A$37:$N$49,13,FALSE))*C46+(VLOOKUP($A$43,'DATOS #'!$A$37:$N$49,14,FALSE))</f>
        <v>#N/A</v>
      </c>
      <c r="E46" s="311"/>
      <c r="F46" s="312"/>
      <c r="G46" s="313">
        <f>E46+F46</f>
        <v>0</v>
      </c>
      <c r="H46" s="21"/>
      <c r="I46" s="314"/>
      <c r="J46" s="310" t="e">
        <f>I46+(VLOOKUP($O$43,'DATOS #'!$A$37:$N$49,13,FALSE))*I46+(VLOOKUP($O$43,'DATOS #'!$A$37:$N$49,14,FALSE))</f>
        <v>#N/A</v>
      </c>
      <c r="K46" s="315"/>
      <c r="L46" s="13"/>
      <c r="M46" s="1074">
        <f>K46+L46</f>
        <v>0</v>
      </c>
      <c r="N46" s="316"/>
      <c r="O46" s="21"/>
      <c r="Q46" s="1690"/>
      <c r="R46" s="1691"/>
      <c r="S46" s="1691"/>
      <c r="T46" s="1691"/>
      <c r="U46" s="1691"/>
      <c r="V46" s="1691"/>
      <c r="W46" s="1691"/>
      <c r="X46" s="1691"/>
      <c r="Y46" s="1692"/>
    </row>
    <row r="47" spans="1:25" s="20" customFormat="1" ht="33.75" customHeight="1" thickBot="1" x14ac:dyDescent="0.3">
      <c r="A47" s="23"/>
      <c r="B47" s="1700" t="s">
        <v>372</v>
      </c>
      <c r="C47" s="1701"/>
      <c r="D47" s="1701"/>
      <c r="E47" s="1701"/>
      <c r="F47" s="1701"/>
      <c r="G47" s="633" t="e">
        <f>AVERAGE(D44:D46)</f>
        <v>#N/A</v>
      </c>
      <c r="H47" s="21"/>
      <c r="I47" s="1700" t="s">
        <v>372</v>
      </c>
      <c r="J47" s="1701"/>
      <c r="K47" s="1701"/>
      <c r="L47" s="1701"/>
      <c r="M47" s="1701"/>
      <c r="N47" s="633" t="e">
        <f>AVERAGE(J44:J46)</f>
        <v>#N/A</v>
      </c>
      <c r="O47" s="21"/>
      <c r="Q47" s="1693"/>
      <c r="R47" s="1694"/>
      <c r="S47" s="1694"/>
      <c r="T47" s="1694"/>
      <c r="U47" s="1694"/>
      <c r="V47" s="1694"/>
      <c r="W47" s="1694"/>
      <c r="X47" s="1694"/>
      <c r="Y47" s="1695"/>
    </row>
    <row r="48" spans="1:25" s="20" customFormat="1" ht="45" customHeight="1" thickBot="1" x14ac:dyDescent="0.3">
      <c r="A48" s="23"/>
      <c r="D48" s="319"/>
      <c r="J48" s="823"/>
      <c r="O48" s="21"/>
      <c r="Q48" s="1696"/>
      <c r="R48" s="1697"/>
      <c r="S48" s="1697"/>
      <c r="T48" s="1697"/>
      <c r="U48" s="1697"/>
      <c r="V48" s="1697"/>
      <c r="W48" s="1697"/>
      <c r="X48" s="1697"/>
      <c r="Y48" s="1698"/>
    </row>
    <row r="49" spans="1:22" s="20" customFormat="1" ht="45" customHeight="1" x14ac:dyDescent="0.25">
      <c r="A49" s="23"/>
      <c r="B49" s="21"/>
    </row>
    <row r="50" spans="1:22" s="20" customFormat="1" ht="30" customHeight="1" x14ac:dyDescent="0.25">
      <c r="A50" s="23"/>
      <c r="B50" s="23"/>
      <c r="C50" s="23"/>
      <c r="D50" s="23"/>
      <c r="E50" s="23"/>
      <c r="F50" s="23"/>
      <c r="G50" s="23"/>
      <c r="H50" s="23"/>
      <c r="I50" s="23"/>
      <c r="J50" s="23"/>
      <c r="K50" s="23"/>
      <c r="L50" s="23"/>
      <c r="M50" s="23"/>
      <c r="N50" s="23"/>
      <c r="O50" s="23"/>
      <c r="P50" s="23"/>
      <c r="Q50" s="23"/>
      <c r="R50" s="23"/>
    </row>
    <row r="51" spans="1:22" s="20" customFormat="1" ht="30" customHeight="1" x14ac:dyDescent="0.25">
      <c r="A51" s="23"/>
      <c r="B51" s="21"/>
      <c r="H51" s="21"/>
      <c r="N51" s="21"/>
      <c r="O51" s="21"/>
      <c r="P51" s="21"/>
      <c r="Q51" s="23"/>
      <c r="R51" s="23"/>
    </row>
    <row r="52" spans="1:22" s="21" customFormat="1" ht="25.5" customHeight="1" thickBot="1" x14ac:dyDescent="0.3"/>
    <row r="53" spans="1:22" s="20" customFormat="1" ht="30" customHeight="1" thickBot="1" x14ac:dyDescent="0.3">
      <c r="A53" s="23"/>
      <c r="B53" s="23"/>
      <c r="C53" s="23"/>
      <c r="D53" s="23"/>
      <c r="E53" s="1568" t="s">
        <v>646</v>
      </c>
      <c r="F53" s="1569"/>
      <c r="G53" s="1569"/>
      <c r="H53" s="1569"/>
      <c r="I53" s="1569"/>
      <c r="J53" s="1569"/>
      <c r="K53" s="1569"/>
      <c r="L53" s="1570"/>
      <c r="M53" s="23"/>
      <c r="N53" s="23"/>
      <c r="O53" s="23"/>
      <c r="P53" s="23"/>
      <c r="Q53" s="23"/>
    </row>
    <row r="54" spans="1:22" s="20" customFormat="1" ht="30" customHeight="1" x14ac:dyDescent="0.25">
      <c r="A54" s="23"/>
      <c r="E54" s="1623" t="s">
        <v>75</v>
      </c>
      <c r="F54" s="1624"/>
      <c r="G54" s="17" t="s">
        <v>145</v>
      </c>
      <c r="H54" s="18" t="s">
        <v>554</v>
      </c>
      <c r="I54" s="21"/>
      <c r="J54" s="320"/>
      <c r="K54" s="200"/>
      <c r="L54" s="201"/>
      <c r="M54" s="23"/>
      <c r="N54" s="23"/>
      <c r="O54" s="23"/>
      <c r="P54" s="23"/>
      <c r="Q54" s="23"/>
      <c r="U54" s="604"/>
      <c r="V54" s="235"/>
    </row>
    <row r="55" spans="1:22" s="20" customFormat="1" ht="30" customHeight="1" x14ac:dyDescent="0.25">
      <c r="A55" s="23"/>
      <c r="E55" s="1618">
        <v>1</v>
      </c>
      <c r="F55" s="1619"/>
      <c r="G55" s="321" t="e">
        <f>$C$7*((1-$D$33*($D$29-D44))+($K$55)*(J44-D44)+$F$33*($F$29-J44))</f>
        <v>#N/A</v>
      </c>
      <c r="H55" s="656" t="e">
        <f>G55+N44</f>
        <v>#N/A</v>
      </c>
      <c r="I55" s="21"/>
      <c r="J55" s="1081">
        <v>1</v>
      </c>
      <c r="K55" s="322" t="e">
        <f>(-0.1176*((D44+J44)/2)^2+(15.846*(D44+J44)/2)-62.677)*10^-6</f>
        <v>#N/A</v>
      </c>
      <c r="L55" s="89" t="s">
        <v>400</v>
      </c>
      <c r="M55" s="21"/>
      <c r="N55" s="23"/>
      <c r="O55" s="23"/>
      <c r="P55" s="23"/>
      <c r="Q55" s="23"/>
      <c r="U55" s="605"/>
      <c r="V55" s="606"/>
    </row>
    <row r="56" spans="1:22" s="20" customFormat="1" ht="30" customHeight="1" thickBot="1" x14ac:dyDescent="0.3">
      <c r="A56" s="23"/>
      <c r="E56" s="1618">
        <v>2</v>
      </c>
      <c r="F56" s="1619"/>
      <c r="G56" s="321" t="e">
        <f>$C$7*((1-$D$33*($D$29-D45))+($K$56)*(J45-D45)+$F$33*($F$29-J45))</f>
        <v>#N/A</v>
      </c>
      <c r="H56" s="656" t="e">
        <f>G56+N45</f>
        <v>#N/A</v>
      </c>
      <c r="I56" s="21"/>
      <c r="J56" s="1081">
        <v>2</v>
      </c>
      <c r="K56" s="322" t="e">
        <f>(-0.1176*((D45+J45)/2)^2+(15.846*(D45+J45)/2)-62.677)*10^-6</f>
        <v>#N/A</v>
      </c>
      <c r="L56" s="89" t="s">
        <v>400</v>
      </c>
      <c r="N56" s="23"/>
      <c r="O56" s="23"/>
      <c r="P56" s="23"/>
      <c r="Q56" s="23"/>
    </row>
    <row r="57" spans="1:22" s="20" customFormat="1" ht="30" customHeight="1" thickBot="1" x14ac:dyDescent="0.3">
      <c r="A57" s="23"/>
      <c r="E57" s="1618">
        <v>3</v>
      </c>
      <c r="F57" s="1619"/>
      <c r="G57" s="321" t="e">
        <f>$C$7*((1-$D$33*($D$29-D46))+($K$57)*(J46-D46)+$F$33*($F$29-J46))</f>
        <v>#N/A</v>
      </c>
      <c r="H57" s="656" t="e">
        <f>G57+N46</f>
        <v>#N/A</v>
      </c>
      <c r="I57" s="21"/>
      <c r="J57" s="1081">
        <v>3</v>
      </c>
      <c r="K57" s="322" t="e">
        <f>(-0.1176*((D46+J46)/2)^2+(15.846*(D46+J46)/2)-62.677)*10^-6</f>
        <v>#N/A</v>
      </c>
      <c r="L57" s="89" t="s">
        <v>400</v>
      </c>
      <c r="N57" s="23"/>
      <c r="O57" s="23"/>
      <c r="P57" s="23"/>
      <c r="Q57" s="23"/>
      <c r="T57" s="1565" t="e">
        <f>IF(AND('Pc #'!H11&gt;=97.5%,'Pc #'!I11&lt;=2.5%),"AJUSTADO","AJUSTAR")</f>
        <v>#N/A</v>
      </c>
      <c r="U57" s="1566"/>
      <c r="V57" s="1567"/>
    </row>
    <row r="58" spans="1:22" s="20" customFormat="1" ht="30" customHeight="1" thickBot="1" x14ac:dyDescent="0.3">
      <c r="A58" s="23"/>
      <c r="E58" s="1620" t="s">
        <v>401</v>
      </c>
      <c r="F58" s="1621"/>
      <c r="G58" s="1622"/>
      <c r="H58" s="656" t="e">
        <f>AVERAGE(H55:H57)</f>
        <v>#N/A</v>
      </c>
      <c r="J58" s="1" t="s">
        <v>2</v>
      </c>
      <c r="K58" s="323" t="e">
        <f>AVERAGE(K55:K57)</f>
        <v>#N/A</v>
      </c>
      <c r="L58" s="324" t="s">
        <v>400</v>
      </c>
      <c r="T58" s="303"/>
    </row>
    <row r="59" spans="1:22" s="20" customFormat="1" ht="30" customHeight="1" x14ac:dyDescent="0.25">
      <c r="A59" s="23"/>
      <c r="E59" s="1620" t="s">
        <v>402</v>
      </c>
      <c r="F59" s="1621"/>
      <c r="G59" s="1622"/>
      <c r="H59" s="656" t="e">
        <f>_xlfn.STDEV.S(H55:H57)</f>
        <v>#N/A</v>
      </c>
      <c r="I59" s="23"/>
    </row>
    <row r="60" spans="1:22" s="20" customFormat="1" ht="30" customHeight="1" thickBot="1" x14ac:dyDescent="0.3">
      <c r="A60" s="23"/>
      <c r="B60" s="21"/>
      <c r="E60" s="1680" t="s">
        <v>81</v>
      </c>
      <c r="F60" s="1681"/>
      <c r="G60" s="1682"/>
      <c r="H60" s="325" t="e">
        <f>H59/SQRT(3)</f>
        <v>#N/A</v>
      </c>
      <c r="I60" s="23"/>
      <c r="J60" s="21"/>
      <c r="K60" s="21"/>
      <c r="L60" s="21"/>
      <c r="M60" s="21"/>
      <c r="N60" s="21"/>
      <c r="O60" s="21"/>
      <c r="P60" s="21"/>
      <c r="Q60" s="23"/>
      <c r="R60" s="23"/>
    </row>
    <row r="61" spans="1:22" s="20" customFormat="1" ht="30" customHeight="1" x14ac:dyDescent="0.25">
      <c r="A61" s="23"/>
      <c r="B61" s="21"/>
      <c r="M61" s="21" t="s">
        <v>12</v>
      </c>
      <c r="N61" s="21"/>
      <c r="O61" s="21"/>
      <c r="P61" s="21"/>
      <c r="Q61" s="23"/>
      <c r="R61" s="23"/>
    </row>
    <row r="62" spans="1:22" s="21" customFormat="1" ht="22.5" customHeight="1" x14ac:dyDescent="0.25">
      <c r="A62" s="1084"/>
      <c r="J62" s="1082"/>
      <c r="K62" s="1082"/>
      <c r="L62" s="327"/>
      <c r="M62" s="327"/>
      <c r="N62" s="327"/>
      <c r="O62" s="327"/>
      <c r="Q62" s="23"/>
      <c r="R62" s="23"/>
    </row>
    <row r="63" spans="1:22" s="20" customFormat="1" ht="30" customHeight="1" thickBot="1" x14ac:dyDescent="0.3">
      <c r="M63" s="21"/>
      <c r="N63" s="21"/>
      <c r="O63" s="21"/>
      <c r="P63" s="21"/>
      <c r="Q63" s="23"/>
      <c r="R63" s="23"/>
    </row>
    <row r="64" spans="1:22" s="20" customFormat="1" ht="30" customHeight="1" thickBot="1" x14ac:dyDescent="0.3">
      <c r="A64" s="21"/>
      <c r="B64" s="1568" t="s">
        <v>600</v>
      </c>
      <c r="C64" s="1569"/>
      <c r="D64" s="1569"/>
      <c r="E64" s="1569"/>
      <c r="F64" s="1569"/>
      <c r="G64" s="1569"/>
      <c r="H64" s="1569"/>
      <c r="I64" s="1569"/>
      <c r="J64" s="1569"/>
      <c r="K64" s="1569"/>
      <c r="L64" s="1570"/>
      <c r="M64" s="21"/>
      <c r="Q64" s="23"/>
      <c r="R64" s="23"/>
    </row>
    <row r="65" spans="1:18" s="20" customFormat="1" ht="30" customHeight="1" thickBot="1" x14ac:dyDescent="0.3">
      <c r="A65" s="21"/>
      <c r="B65" s="328"/>
      <c r="C65" s="329"/>
      <c r="D65" s="329"/>
      <c r="E65" s="329"/>
      <c r="F65" s="329"/>
      <c r="G65" s="329"/>
      <c r="H65" s="329"/>
      <c r="I65" s="329"/>
      <c r="J65" s="329"/>
      <c r="K65" s="309" t="s">
        <v>83</v>
      </c>
      <c r="L65" s="309" t="s">
        <v>53</v>
      </c>
      <c r="M65" s="21"/>
      <c r="N65" s="1062" t="s">
        <v>53</v>
      </c>
      <c r="O65" s="1061" t="s">
        <v>1</v>
      </c>
      <c r="P65" s="1063" t="s">
        <v>0</v>
      </c>
      <c r="Q65" s="23"/>
      <c r="R65" s="23"/>
    </row>
    <row r="66" spans="1:18" s="21" customFormat="1" ht="30" customHeight="1" thickBot="1" x14ac:dyDescent="0.3">
      <c r="B66" s="1615" t="s">
        <v>167</v>
      </c>
      <c r="C66" s="1614"/>
      <c r="D66" s="1614"/>
      <c r="E66" s="1080"/>
      <c r="F66" s="1080"/>
      <c r="G66" s="331"/>
      <c r="H66" s="331"/>
      <c r="I66" s="331"/>
      <c r="J66" s="331"/>
      <c r="K66" s="194" t="e">
        <f>(1-$O$74*(O72-O68))+(O78)*(P70-O68)+P76*(P80-P70)</f>
        <v>#N/A</v>
      </c>
      <c r="L66" s="204" t="s">
        <v>248</v>
      </c>
      <c r="N66" s="332"/>
      <c r="O66" s="333" t="e">
        <f>C7</f>
        <v>#N/A</v>
      </c>
      <c r="P66" s="334"/>
    </row>
    <row r="67" spans="1:18" s="20" customFormat="1" ht="5.0999999999999996" customHeight="1" thickBot="1" x14ac:dyDescent="0.3">
      <c r="A67" s="21"/>
      <c r="B67" s="80"/>
      <c r="C67" s="273"/>
      <c r="D67" s="273"/>
      <c r="E67" s="273"/>
      <c r="F67" s="335"/>
      <c r="G67" s="336"/>
      <c r="H67" s="336"/>
      <c r="I67" s="336"/>
      <c r="J67" s="336"/>
      <c r="K67" s="273"/>
      <c r="L67" s="205"/>
      <c r="M67" s="21"/>
      <c r="N67" s="337"/>
      <c r="O67" s="338"/>
      <c r="P67" s="339"/>
      <c r="R67" s="23"/>
    </row>
    <row r="68" spans="1:18" s="23" customFormat="1" ht="30" customHeight="1" thickBot="1" x14ac:dyDescent="0.3">
      <c r="A68" s="21"/>
      <c r="B68" s="1615" t="s">
        <v>168</v>
      </c>
      <c r="C68" s="1614"/>
      <c r="D68" s="1614"/>
      <c r="E68" s="1614"/>
      <c r="F68" s="1080"/>
      <c r="G68" s="331"/>
      <c r="H68" s="331"/>
      <c r="I68" s="331"/>
      <c r="J68" s="331"/>
      <c r="K68" s="194" t="e">
        <f>$O$66*(O74-O78)</f>
        <v>#N/A</v>
      </c>
      <c r="L68" s="204" t="s">
        <v>266</v>
      </c>
      <c r="N68" s="340"/>
      <c r="O68" s="114" t="e">
        <f>G47</f>
        <v>#N/A</v>
      </c>
      <c r="P68" s="341"/>
    </row>
    <row r="69" spans="1:18" s="20" customFormat="1" ht="5.0999999999999996" customHeight="1" thickBot="1" x14ac:dyDescent="0.3">
      <c r="A69" s="21"/>
      <c r="B69" s="80"/>
      <c r="C69" s="273"/>
      <c r="D69" s="273"/>
      <c r="E69" s="273"/>
      <c r="F69" s="335"/>
      <c r="G69" s="336"/>
      <c r="H69" s="336"/>
      <c r="I69" s="336"/>
      <c r="J69" s="336"/>
      <c r="K69" s="273"/>
      <c r="L69" s="206"/>
      <c r="M69" s="23"/>
      <c r="N69" s="337"/>
      <c r="O69" s="338"/>
      <c r="P69" s="339"/>
      <c r="Q69" s="23"/>
      <c r="R69" s="23"/>
    </row>
    <row r="70" spans="1:18" s="23" customFormat="1" ht="30" customHeight="1" thickBot="1" x14ac:dyDescent="0.3">
      <c r="A70" s="21"/>
      <c r="B70" s="1615" t="s">
        <v>169</v>
      </c>
      <c r="C70" s="1614"/>
      <c r="D70" s="1614"/>
      <c r="E70" s="1614"/>
      <c r="F70" s="1080"/>
      <c r="G70" s="331"/>
      <c r="H70" s="331"/>
      <c r="I70" s="331"/>
      <c r="J70" s="331"/>
      <c r="K70" s="194" t="e">
        <f>$O$66*(O78-P76)</f>
        <v>#N/A</v>
      </c>
      <c r="L70" s="204" t="s">
        <v>266</v>
      </c>
      <c r="N70" s="340"/>
      <c r="O70" s="342"/>
      <c r="P70" s="343" t="e">
        <f>N47</f>
        <v>#N/A</v>
      </c>
    </row>
    <row r="71" spans="1:18" s="20" customFormat="1" ht="5.0999999999999996" customHeight="1" thickBot="1" x14ac:dyDescent="0.3">
      <c r="A71" s="21"/>
      <c r="B71" s="80"/>
      <c r="C71" s="273"/>
      <c r="D71" s="273"/>
      <c r="E71" s="273"/>
      <c r="F71" s="273"/>
      <c r="G71" s="336"/>
      <c r="H71" s="336"/>
      <c r="I71" s="336"/>
      <c r="J71" s="336"/>
      <c r="K71" s="273"/>
      <c r="L71" s="206"/>
      <c r="M71" s="23"/>
      <c r="N71" s="337"/>
      <c r="O71" s="338"/>
      <c r="P71" s="339"/>
      <c r="Q71" s="23"/>
      <c r="R71" s="23"/>
    </row>
    <row r="72" spans="1:18" s="23" customFormat="1" ht="30" customHeight="1" thickBot="1" x14ac:dyDescent="0.3">
      <c r="A72" s="21"/>
      <c r="B72" s="1615" t="s">
        <v>442</v>
      </c>
      <c r="C72" s="1614"/>
      <c r="D72" s="1614"/>
      <c r="E72" s="1614"/>
      <c r="F72" s="1614"/>
      <c r="G72" s="331"/>
      <c r="H72" s="331"/>
      <c r="I72" s="331"/>
      <c r="J72" s="331"/>
      <c r="K72" s="373" t="e">
        <f>-O$66*(O72-O68)</f>
        <v>#N/A</v>
      </c>
      <c r="L72" s="204" t="s">
        <v>509</v>
      </c>
      <c r="N72" s="344"/>
      <c r="O72" s="295" t="e">
        <f>D29</f>
        <v>#N/A</v>
      </c>
      <c r="P72" s="345"/>
    </row>
    <row r="73" spans="1:18" s="20" customFormat="1" ht="5.0999999999999996" customHeight="1" thickBot="1" x14ac:dyDescent="0.3">
      <c r="A73" s="21"/>
      <c r="B73" s="80"/>
      <c r="C73" s="273"/>
      <c r="D73" s="273"/>
      <c r="E73" s="273"/>
      <c r="F73" s="273"/>
      <c r="G73" s="336"/>
      <c r="H73" s="336"/>
      <c r="I73" s="336"/>
      <c r="J73" s="336"/>
      <c r="K73" s="374"/>
      <c r="L73" s="206"/>
      <c r="M73" s="23"/>
      <c r="N73" s="337"/>
      <c r="O73" s="338"/>
      <c r="P73" s="339"/>
      <c r="Q73" s="23"/>
      <c r="R73" s="23"/>
    </row>
    <row r="74" spans="1:18" s="23" customFormat="1" ht="30" customHeight="1" thickBot="1" x14ac:dyDescent="0.3">
      <c r="A74" s="21"/>
      <c r="B74" s="1615" t="s">
        <v>440</v>
      </c>
      <c r="C74" s="1614"/>
      <c r="D74" s="1614"/>
      <c r="E74" s="1614"/>
      <c r="F74" s="1614"/>
      <c r="G74" s="346"/>
      <c r="H74" s="346"/>
      <c r="I74" s="346"/>
      <c r="J74" s="331"/>
      <c r="K74" s="373" t="e">
        <f>$O$66*(P80-P70)</f>
        <v>#N/A</v>
      </c>
      <c r="L74" s="204" t="s">
        <v>509</v>
      </c>
      <c r="N74" s="340"/>
      <c r="O74" s="229" t="e">
        <f>D33</f>
        <v>#N/A</v>
      </c>
      <c r="P74" s="341"/>
    </row>
    <row r="75" spans="1:18" s="20" customFormat="1" ht="5.0999999999999996" customHeight="1" thickBot="1" x14ac:dyDescent="0.3">
      <c r="A75" s="21"/>
      <c r="B75" s="80"/>
      <c r="C75" s="273"/>
      <c r="D75" s="273"/>
      <c r="E75" s="273"/>
      <c r="F75" s="273"/>
      <c r="G75" s="336"/>
      <c r="H75" s="336"/>
      <c r="I75" s="336"/>
      <c r="J75" s="336"/>
      <c r="K75" s="273"/>
      <c r="L75" s="206"/>
      <c r="M75" s="23"/>
      <c r="N75" s="337"/>
      <c r="O75" s="338"/>
      <c r="P75" s="339"/>
      <c r="Q75" s="23"/>
      <c r="R75" s="23"/>
    </row>
    <row r="76" spans="1:18" s="23" customFormat="1" ht="30" customHeight="1" thickBot="1" x14ac:dyDescent="0.3">
      <c r="A76" s="21"/>
      <c r="B76" s="1615" t="s">
        <v>441</v>
      </c>
      <c r="C76" s="1614"/>
      <c r="D76" s="1614"/>
      <c r="E76" s="1614"/>
      <c r="F76" s="1614"/>
      <c r="G76" s="331"/>
      <c r="H76" s="331"/>
      <c r="I76" s="331"/>
      <c r="J76" s="331"/>
      <c r="K76" s="194" t="e">
        <f>$O$66*(P70-O68)</f>
        <v>#N/A</v>
      </c>
      <c r="L76" s="204" t="s">
        <v>509</v>
      </c>
      <c r="N76" s="340"/>
      <c r="O76" s="342"/>
      <c r="P76" s="375" t="e">
        <f>F33</f>
        <v>#N/A</v>
      </c>
    </row>
    <row r="77" spans="1:18" s="20" customFormat="1" ht="5.0999999999999996" customHeight="1" thickBot="1" x14ac:dyDescent="0.3">
      <c r="A77" s="21"/>
      <c r="B77" s="80"/>
      <c r="C77" s="273"/>
      <c r="D77" s="273"/>
      <c r="E77" s="335"/>
      <c r="F77" s="335"/>
      <c r="G77" s="336"/>
      <c r="H77" s="336"/>
      <c r="I77" s="336"/>
      <c r="J77" s="336"/>
      <c r="K77" s="273"/>
      <c r="L77" s="206"/>
      <c r="M77" s="327"/>
      <c r="N77" s="347"/>
      <c r="O77" s="338"/>
      <c r="P77" s="339"/>
      <c r="Q77" s="23"/>
      <c r="R77" s="23"/>
    </row>
    <row r="78" spans="1:18" s="23" customFormat="1" ht="30" customHeight="1" thickBot="1" x14ac:dyDescent="0.3">
      <c r="A78" s="21"/>
      <c r="B78" s="1615" t="s">
        <v>84</v>
      </c>
      <c r="C78" s="1614"/>
      <c r="D78" s="1614"/>
      <c r="E78" s="348"/>
      <c r="F78" s="348"/>
      <c r="G78" s="346"/>
      <c r="H78" s="346"/>
      <c r="I78" s="346"/>
      <c r="J78" s="331"/>
      <c r="K78" s="349">
        <v>1</v>
      </c>
      <c r="L78" s="204" t="s">
        <v>248</v>
      </c>
      <c r="M78" s="327"/>
      <c r="N78" s="340"/>
      <c r="O78" s="350" t="e">
        <f>D37</f>
        <v>#N/A</v>
      </c>
      <c r="P78" s="351" t="e">
        <f>F37</f>
        <v>#N/A</v>
      </c>
    </row>
    <row r="79" spans="1:18" s="20" customFormat="1" ht="5.0999999999999996" customHeight="1" thickBot="1" x14ac:dyDescent="0.3">
      <c r="A79" s="233"/>
      <c r="B79" s="80"/>
      <c r="C79" s="273"/>
      <c r="D79" s="273"/>
      <c r="E79" s="335"/>
      <c r="F79" s="335"/>
      <c r="G79" s="336"/>
      <c r="H79" s="336"/>
      <c r="I79" s="336"/>
      <c r="J79" s="336"/>
      <c r="K79" s="273"/>
      <c r="L79" s="206"/>
      <c r="M79" s="327"/>
      <c r="N79" s="347"/>
      <c r="O79" s="338"/>
      <c r="P79" s="339"/>
      <c r="Q79" s="23"/>
      <c r="R79" s="23"/>
    </row>
    <row r="80" spans="1:18" s="23" customFormat="1" ht="30" customHeight="1" thickBot="1" x14ac:dyDescent="0.3">
      <c r="A80" s="21"/>
      <c r="B80" s="1615" t="s">
        <v>85</v>
      </c>
      <c r="C80" s="1614"/>
      <c r="D80" s="1614"/>
      <c r="E80" s="348"/>
      <c r="F80" s="348"/>
      <c r="G80" s="346"/>
      <c r="H80" s="346"/>
      <c r="I80" s="346"/>
      <c r="J80" s="331"/>
      <c r="K80" s="349">
        <v>1</v>
      </c>
      <c r="L80" s="204" t="s">
        <v>248</v>
      </c>
      <c r="M80" s="327"/>
      <c r="N80" s="352"/>
      <c r="O80" s="353"/>
      <c r="P80" s="354" t="e">
        <f>F29</f>
        <v>#N/A</v>
      </c>
    </row>
    <row r="81" spans="1:20" s="20" customFormat="1" ht="5.0999999999999996" customHeight="1" thickBot="1" x14ac:dyDescent="0.3">
      <c r="A81" s="21"/>
      <c r="B81" s="80"/>
      <c r="C81" s="273"/>
      <c r="D81" s="273"/>
      <c r="E81" s="335"/>
      <c r="F81" s="335"/>
      <c r="G81" s="336"/>
      <c r="H81" s="336"/>
      <c r="I81" s="336"/>
      <c r="J81" s="336"/>
      <c r="K81" s="273"/>
      <c r="L81" s="206"/>
      <c r="M81" s="327"/>
      <c r="Q81" s="23"/>
      <c r="R81" s="23"/>
    </row>
    <row r="82" spans="1:20" s="23" customFormat="1" ht="30" customHeight="1" thickBot="1" x14ac:dyDescent="0.3">
      <c r="A82" s="21"/>
      <c r="B82" s="1615" t="s">
        <v>86</v>
      </c>
      <c r="C82" s="1614"/>
      <c r="D82" s="1614"/>
      <c r="E82" s="1080"/>
      <c r="F82" s="1080"/>
      <c r="G82" s="331"/>
      <c r="H82" s="331"/>
      <c r="I82" s="331"/>
      <c r="J82" s="331"/>
      <c r="K82" s="349">
        <v>1</v>
      </c>
      <c r="L82" s="204" t="s">
        <v>248</v>
      </c>
      <c r="M82" s="327"/>
    </row>
    <row r="83" spans="1:20" s="23" customFormat="1" ht="9.75" customHeight="1" thickBot="1" x14ac:dyDescent="0.3">
      <c r="A83" s="21"/>
      <c r="B83" s="317"/>
      <c r="C83" s="318"/>
      <c r="D83" s="318"/>
      <c r="E83" s="318"/>
      <c r="F83" s="318"/>
      <c r="G83" s="318"/>
      <c r="H83" s="318"/>
      <c r="I83" s="318"/>
      <c r="J83" s="318"/>
      <c r="K83" s="318"/>
      <c r="L83" s="355"/>
      <c r="M83" s="327"/>
      <c r="N83" s="327"/>
      <c r="O83" s="356"/>
      <c r="P83" s="21"/>
    </row>
    <row r="84" spans="1:20" s="23" customFormat="1" ht="39.75" customHeight="1" x14ac:dyDescent="0.25">
      <c r="A84" s="21"/>
      <c r="B84" s="327"/>
      <c r="C84" s="327"/>
      <c r="D84" s="327"/>
      <c r="E84" s="327"/>
      <c r="F84" s="327"/>
      <c r="G84" s="327"/>
      <c r="H84" s="327"/>
      <c r="I84" s="327"/>
      <c r="J84" s="327"/>
      <c r="K84" s="327"/>
      <c r="L84" s="327"/>
      <c r="M84" s="327"/>
    </row>
    <row r="85" spans="1:20" s="23" customFormat="1" ht="34.5" customHeight="1" thickBot="1" x14ac:dyDescent="0.3">
      <c r="A85" s="21"/>
      <c r="M85" s="327"/>
      <c r="N85" s="327"/>
      <c r="O85" s="356"/>
      <c r="P85" s="21"/>
    </row>
    <row r="86" spans="1:20" s="23" customFormat="1" ht="34.5" customHeight="1" thickBot="1" x14ac:dyDescent="0.3">
      <c r="A86" s="327"/>
      <c r="B86" s="1568" t="s">
        <v>594</v>
      </c>
      <c r="C86" s="1569"/>
      <c r="D86" s="1569"/>
      <c r="E86" s="1569"/>
      <c r="F86" s="1569"/>
      <c r="G86" s="1569"/>
      <c r="H86" s="1569"/>
      <c r="I86" s="1569"/>
      <c r="J86" s="1569"/>
      <c r="K86" s="1569"/>
      <c r="L86" s="1569"/>
      <c r="M86" s="1569"/>
      <c r="N86" s="1569"/>
      <c r="O86" s="1569"/>
      <c r="P86" s="1569"/>
      <c r="Q86" s="1569"/>
      <c r="R86" s="1570"/>
    </row>
    <row r="87" spans="1:20" s="20" customFormat="1" ht="57.75" customHeight="1" thickBot="1" x14ac:dyDescent="0.3">
      <c r="B87" s="1604" t="s">
        <v>87</v>
      </c>
      <c r="C87" s="1605"/>
      <c r="D87" s="1083" t="s">
        <v>593</v>
      </c>
      <c r="E87" s="1061" t="s">
        <v>88</v>
      </c>
      <c r="F87" s="1061"/>
      <c r="G87" s="1061" t="s">
        <v>386</v>
      </c>
      <c r="H87" s="1061" t="s">
        <v>90</v>
      </c>
      <c r="I87" s="1061"/>
      <c r="J87" s="1061" t="s">
        <v>91</v>
      </c>
      <c r="K87" s="1061"/>
      <c r="L87" s="1061" t="s">
        <v>92</v>
      </c>
      <c r="M87" s="1061"/>
      <c r="N87" s="1061" t="s">
        <v>403</v>
      </c>
      <c r="O87" s="1061" t="s">
        <v>93</v>
      </c>
      <c r="P87" s="1061" t="s">
        <v>94</v>
      </c>
      <c r="Q87" s="1063" t="s">
        <v>95</v>
      </c>
      <c r="R87" s="1063" t="s">
        <v>520</v>
      </c>
    </row>
    <row r="88" spans="1:20" s="20" customFormat="1" ht="39.950000000000003" customHeight="1" thickBot="1" x14ac:dyDescent="0.3">
      <c r="A88" s="23"/>
      <c r="B88" s="1606" t="s">
        <v>96</v>
      </c>
      <c r="C88" s="1607"/>
      <c r="D88" s="1012" t="e">
        <f>C7</f>
        <v>#N/A</v>
      </c>
    </row>
    <row r="89" spans="1:20" s="356" customFormat="1" ht="39.950000000000003" customHeight="1" x14ac:dyDescent="0.25">
      <c r="B89" s="1594" t="s">
        <v>97</v>
      </c>
      <c r="C89" s="1608"/>
      <c r="D89" s="1013"/>
      <c r="E89" s="1006" t="e">
        <f>I7</f>
        <v>#N/A</v>
      </c>
      <c r="F89" s="1007" t="s">
        <v>4</v>
      </c>
      <c r="G89" s="802" t="e">
        <f>O7</f>
        <v>#N/A</v>
      </c>
      <c r="H89" s="802" t="e">
        <f>E89/G89</f>
        <v>#N/A</v>
      </c>
      <c r="I89" s="1007" t="s">
        <v>4</v>
      </c>
      <c r="J89" s="804" t="e">
        <f>K66</f>
        <v>#N/A</v>
      </c>
      <c r="K89" s="803"/>
      <c r="L89" s="1008" t="e">
        <f>H89*J89</f>
        <v>#N/A</v>
      </c>
      <c r="M89" s="803" t="s">
        <v>4</v>
      </c>
      <c r="N89" s="804" t="e">
        <f>L89^2</f>
        <v>#N/A</v>
      </c>
      <c r="O89" s="803" t="s">
        <v>17</v>
      </c>
      <c r="P89" s="803" t="s">
        <v>98</v>
      </c>
      <c r="Q89" s="803">
        <v>50</v>
      </c>
      <c r="R89" s="1009" t="e">
        <f>(L89/$N$119)^2</f>
        <v>#N/A</v>
      </c>
      <c r="S89" s="1089" t="e">
        <f>IF(L89=MAX($L$89,$L$90,$L$93,$L$94,$L$95,$L$98,$L$99,$L$100,$L$101,$L$103,$L$104,$L$105,$L$106,$L$108,$L$109,$L$110,$L$111,$L$112,,$L$115,$L$116,$L$117,$L$118),"",L89)</f>
        <v>#N/A</v>
      </c>
    </row>
    <row r="90" spans="1:20" s="20" customFormat="1" ht="39.950000000000003" customHeight="1" thickBot="1" x14ac:dyDescent="0.3">
      <c r="A90" s="1609"/>
      <c r="B90" s="1596" t="s">
        <v>99</v>
      </c>
      <c r="C90" s="1610"/>
      <c r="D90" s="1002"/>
      <c r="E90" s="806" t="e">
        <f>K7</f>
        <v>#N/A</v>
      </c>
      <c r="F90" s="1003" t="s">
        <v>4</v>
      </c>
      <c r="G90" s="806">
        <f>SQRT(12)</f>
        <v>3.4641016151377544</v>
      </c>
      <c r="H90" s="784" t="e">
        <f>E90/G90</f>
        <v>#N/A</v>
      </c>
      <c r="I90" s="1003" t="str">
        <f>F90</f>
        <v>mL</v>
      </c>
      <c r="J90" s="787" t="e">
        <f>K66</f>
        <v>#N/A</v>
      </c>
      <c r="K90" s="783"/>
      <c r="L90" s="1004" t="e">
        <f>H90*J90</f>
        <v>#N/A</v>
      </c>
      <c r="M90" s="783" t="s">
        <v>4</v>
      </c>
      <c r="N90" s="787" t="e">
        <f>L90^2</f>
        <v>#N/A</v>
      </c>
      <c r="O90" s="783" t="s">
        <v>17</v>
      </c>
      <c r="P90" s="783" t="s">
        <v>5</v>
      </c>
      <c r="Q90" s="783" t="s">
        <v>11</v>
      </c>
      <c r="R90" s="1011" t="e">
        <f>(L90/$N$119)^2</f>
        <v>#N/A</v>
      </c>
      <c r="S90" s="1089" t="e">
        <f t="shared" ref="S90:S118" si="1">IF(L90=MAX($L$89,$L$90,$L$93,$L$94,$L$95,$L$98,$L$99,$L$100,$L$101,$L$103,$L$104,$L$105,$L$106,$L$108,$L$109,$L$110,$L$111,$L$112,,$L$115,$L$116,$L$117,$L$118),"",L90)</f>
        <v>#N/A</v>
      </c>
    </row>
    <row r="91" spans="1:20" s="20" customFormat="1" ht="5.0999999999999996" customHeight="1" thickBot="1" x14ac:dyDescent="0.3">
      <c r="A91" s="1609"/>
      <c r="B91" s="1611"/>
      <c r="C91" s="1612"/>
      <c r="D91" s="1016"/>
      <c r="S91" s="1089"/>
      <c r="T91" s="1086"/>
    </row>
    <row r="92" spans="1:20" s="356" customFormat="1" ht="39.950000000000003" customHeight="1" thickBot="1" x14ac:dyDescent="0.3">
      <c r="B92" s="1579" t="s">
        <v>170</v>
      </c>
      <c r="C92" s="1581"/>
      <c r="D92" s="1017" t="e">
        <f>C18</f>
        <v>#N/A</v>
      </c>
      <c r="L92" s="1057"/>
      <c r="S92" s="1089"/>
      <c r="T92" s="1086"/>
    </row>
    <row r="93" spans="1:20" s="20" customFormat="1" ht="39.950000000000003" customHeight="1" x14ac:dyDescent="0.25">
      <c r="A93" s="21"/>
      <c r="B93" s="1579" t="s">
        <v>171</v>
      </c>
      <c r="C93" s="1581"/>
      <c r="D93" s="1018"/>
      <c r="E93" s="1032" t="e">
        <f>I18</f>
        <v>#N/A</v>
      </c>
      <c r="F93" s="1033" t="str">
        <f>F19</f>
        <v>mL</v>
      </c>
      <c r="G93" s="1034" t="e">
        <f>O18</f>
        <v>#N/A</v>
      </c>
      <c r="H93" s="1008" t="e">
        <f>E93/G93</f>
        <v>#N/A</v>
      </c>
      <c r="I93" s="1033" t="str">
        <f>F93</f>
        <v>mL</v>
      </c>
      <c r="J93" s="1034">
        <f>K82</f>
        <v>1</v>
      </c>
      <c r="K93" s="1033"/>
      <c r="L93" s="1035" t="e">
        <f>H93*J93</f>
        <v>#N/A</v>
      </c>
      <c r="M93" s="1033" t="s">
        <v>4</v>
      </c>
      <c r="N93" s="804" t="e">
        <f>L93^2</f>
        <v>#N/A</v>
      </c>
      <c r="O93" s="803" t="s">
        <v>17</v>
      </c>
      <c r="P93" s="803" t="s">
        <v>98</v>
      </c>
      <c r="Q93" s="803">
        <v>50</v>
      </c>
      <c r="R93" s="1009" t="e">
        <f t="shared" ref="R93:R95" si="2">(L93/$N$119)^2</f>
        <v>#N/A</v>
      </c>
      <c r="S93" s="1089" t="e">
        <f t="shared" si="1"/>
        <v>#N/A</v>
      </c>
    </row>
    <row r="94" spans="1:20" s="356" customFormat="1" ht="39.950000000000003" customHeight="1" x14ac:dyDescent="0.25">
      <c r="B94" s="1579" t="s">
        <v>172</v>
      </c>
      <c r="C94" s="1581"/>
      <c r="D94" s="1018"/>
      <c r="E94" s="1036" t="e">
        <f>E18</f>
        <v>#N/A</v>
      </c>
      <c r="F94" s="795" t="str">
        <f>F19</f>
        <v>mL</v>
      </c>
      <c r="G94" s="792">
        <f>SQRT(12)</f>
        <v>3.4641016151377544</v>
      </c>
      <c r="H94" s="792" t="e">
        <f>E94/G94</f>
        <v>#N/A</v>
      </c>
      <c r="I94" s="795" t="str">
        <f>F94</f>
        <v>mL</v>
      </c>
      <c r="J94" s="796">
        <f>K82</f>
        <v>1</v>
      </c>
      <c r="K94" s="795"/>
      <c r="L94" s="791" t="e">
        <f>H94*J94</f>
        <v>#N/A</v>
      </c>
      <c r="M94" s="795" t="s">
        <v>4</v>
      </c>
      <c r="N94" s="791" t="e">
        <f>L94^2</f>
        <v>#N/A</v>
      </c>
      <c r="O94" s="788" t="s">
        <v>17</v>
      </c>
      <c r="P94" s="788" t="s">
        <v>5</v>
      </c>
      <c r="Q94" s="788" t="s">
        <v>11</v>
      </c>
      <c r="R94" s="1024" t="e">
        <f t="shared" si="2"/>
        <v>#N/A</v>
      </c>
      <c r="S94" s="1089" t="e">
        <f t="shared" si="1"/>
        <v>#N/A</v>
      </c>
    </row>
    <row r="95" spans="1:20" s="20" customFormat="1" ht="39.950000000000003" customHeight="1" thickBot="1" x14ac:dyDescent="0.3">
      <c r="A95" s="21"/>
      <c r="B95" s="1579" t="s">
        <v>173</v>
      </c>
      <c r="C95" s="1581"/>
      <c r="D95" s="1019"/>
      <c r="E95" s="1037" t="e">
        <f>K18</f>
        <v>#N/A</v>
      </c>
      <c r="F95" s="1038" t="str">
        <f>F19</f>
        <v>mL</v>
      </c>
      <c r="G95" s="806">
        <f>SQRT(12)</f>
        <v>3.4641016151377544</v>
      </c>
      <c r="H95" s="1039" t="e">
        <f>E95/G95</f>
        <v>#N/A</v>
      </c>
      <c r="I95" s="1038" t="str">
        <f>F95</f>
        <v>mL</v>
      </c>
      <c r="J95" s="786">
        <f>K82</f>
        <v>1</v>
      </c>
      <c r="K95" s="1038"/>
      <c r="L95" s="785" t="e">
        <f>H95*J95</f>
        <v>#N/A</v>
      </c>
      <c r="M95" s="1038" t="s">
        <v>4</v>
      </c>
      <c r="N95" s="787" t="e">
        <f>L95^2</f>
        <v>#N/A</v>
      </c>
      <c r="O95" s="783" t="s">
        <v>17</v>
      </c>
      <c r="P95" s="783" t="s">
        <v>5</v>
      </c>
      <c r="Q95" s="783" t="s">
        <v>11</v>
      </c>
      <c r="R95" s="1011" t="e">
        <f t="shared" si="2"/>
        <v>#N/A</v>
      </c>
      <c r="S95" s="1089" t="e">
        <f t="shared" si="1"/>
        <v>#N/A</v>
      </c>
    </row>
    <row r="96" spans="1:20" s="20" customFormat="1" ht="5.0999999999999996" customHeight="1" thickBot="1" x14ac:dyDescent="0.3">
      <c r="A96" s="21"/>
      <c r="B96" s="1014"/>
      <c r="C96" s="1015"/>
      <c r="D96" s="1027"/>
      <c r="E96" s="1031"/>
      <c r="F96" s="1031"/>
      <c r="S96" s="1089"/>
      <c r="T96" s="303"/>
    </row>
    <row r="97" spans="1:90" s="20" customFormat="1" ht="39.950000000000003" customHeight="1" thickBot="1" x14ac:dyDescent="0.3">
      <c r="A97" s="21"/>
      <c r="B97" s="1579" t="s">
        <v>100</v>
      </c>
      <c r="C97" s="1581"/>
      <c r="D97" s="1028" t="e">
        <f>G47</f>
        <v>#N/A</v>
      </c>
      <c r="E97" s="1029" t="e">
        <f>G47</f>
        <v>#N/A</v>
      </c>
      <c r="F97" s="1030" t="s">
        <v>3</v>
      </c>
      <c r="S97" s="1089"/>
      <c r="T97" s="1086"/>
      <c r="U97" s="1058"/>
    </row>
    <row r="98" spans="1:90" s="20" customFormat="1" ht="39.950000000000003" customHeight="1" x14ac:dyDescent="0.25">
      <c r="A98" s="21"/>
      <c r="B98" s="1579" t="s">
        <v>101</v>
      </c>
      <c r="C98" s="1581"/>
      <c r="D98" s="1020" t="e">
        <f>E11</f>
        <v>#N/A</v>
      </c>
      <c r="E98" s="802" t="e">
        <f>E9</f>
        <v>#N/A</v>
      </c>
      <c r="F98" s="1129" t="s">
        <v>3</v>
      </c>
      <c r="G98" s="1125">
        <f>SQRT(12)</f>
        <v>3.4641016151377544</v>
      </c>
      <c r="H98" s="802" t="e">
        <f>E98/G98</f>
        <v>#N/A</v>
      </c>
      <c r="I98" s="1021" t="s">
        <v>3</v>
      </c>
      <c r="J98" s="1022" t="e">
        <f>K68</f>
        <v>#N/A</v>
      </c>
      <c r="K98" s="803" t="s">
        <v>547</v>
      </c>
      <c r="L98" s="802" t="e">
        <f t="shared" ref="L98:L110" si="3">H98*J98</f>
        <v>#N/A</v>
      </c>
      <c r="M98" s="803" t="s">
        <v>4</v>
      </c>
      <c r="N98" s="804" t="e">
        <f t="shared" ref="N98:N110" si="4">L98^2</f>
        <v>#N/A</v>
      </c>
      <c r="O98" s="803" t="s">
        <v>18</v>
      </c>
      <c r="P98" s="803" t="s">
        <v>5</v>
      </c>
      <c r="Q98" s="803" t="s">
        <v>11</v>
      </c>
      <c r="R98" s="1009" t="e">
        <f>IFERROR(L98/$N$119,"--")^2</f>
        <v>#VALUE!</v>
      </c>
      <c r="S98" s="1089" t="e">
        <f t="shared" si="1"/>
        <v>#N/A</v>
      </c>
    </row>
    <row r="99" spans="1:90" s="356" customFormat="1" ht="39.950000000000003" customHeight="1" x14ac:dyDescent="0.25">
      <c r="B99" s="1579" t="s">
        <v>102</v>
      </c>
      <c r="C99" s="1581"/>
      <c r="D99" s="1023"/>
      <c r="E99" s="799" t="e">
        <f>MAX(I8:I12)</f>
        <v>#N/A</v>
      </c>
      <c r="F99" s="1123" t="str">
        <f>F14</f>
        <v>°C</v>
      </c>
      <c r="G99" s="1130" t="e">
        <f>O9</f>
        <v>#N/A</v>
      </c>
      <c r="H99" s="790" t="e">
        <f t="shared" ref="H99:H111" si="5">E99/G99</f>
        <v>#N/A</v>
      </c>
      <c r="I99" s="794" t="s">
        <v>3</v>
      </c>
      <c r="J99" s="798" t="e">
        <f>K68</f>
        <v>#N/A</v>
      </c>
      <c r="K99" s="788" t="s">
        <v>547</v>
      </c>
      <c r="L99" s="790" t="e">
        <f t="shared" si="3"/>
        <v>#N/A</v>
      </c>
      <c r="M99" s="788" t="s">
        <v>4</v>
      </c>
      <c r="N99" s="791" t="e">
        <f t="shared" si="4"/>
        <v>#N/A</v>
      </c>
      <c r="O99" s="788" t="s">
        <v>17</v>
      </c>
      <c r="P99" s="788" t="s">
        <v>98</v>
      </c>
      <c r="Q99" s="788">
        <v>50</v>
      </c>
      <c r="R99" s="1024" t="e">
        <f t="shared" ref="R99:R112" si="6">IFERROR(L99/$N$119,"--")^2</f>
        <v>#VALUE!</v>
      </c>
      <c r="S99" s="1089" t="e">
        <f t="shared" si="1"/>
        <v>#N/A</v>
      </c>
    </row>
    <row r="100" spans="1:90" s="20" customFormat="1" ht="39.950000000000003" customHeight="1" x14ac:dyDescent="0.25">
      <c r="A100" s="21"/>
      <c r="B100" s="1579" t="s">
        <v>99</v>
      </c>
      <c r="C100" s="1581"/>
      <c r="D100" s="1023"/>
      <c r="E100" s="796" t="e">
        <f>VLOOKUP(D97,C8:K12,9,TRUE)</f>
        <v>#N/A</v>
      </c>
      <c r="F100" s="1123" t="str">
        <f>F14</f>
        <v>°C</v>
      </c>
      <c r="G100" s="1127">
        <f>SQRT(12)</f>
        <v>3.4641016151377544</v>
      </c>
      <c r="H100" s="790" t="e">
        <f>E100/G100</f>
        <v>#N/A</v>
      </c>
      <c r="I100" s="794" t="s">
        <v>3</v>
      </c>
      <c r="J100" s="798" t="e">
        <f>K68</f>
        <v>#N/A</v>
      </c>
      <c r="K100" s="788" t="s">
        <v>547</v>
      </c>
      <c r="L100" s="790" t="e">
        <f t="shared" si="3"/>
        <v>#N/A</v>
      </c>
      <c r="M100" s="788" t="s">
        <v>4</v>
      </c>
      <c r="N100" s="791" t="e">
        <f t="shared" si="4"/>
        <v>#N/A</v>
      </c>
      <c r="O100" s="788" t="s">
        <v>17</v>
      </c>
      <c r="P100" s="788" t="s">
        <v>5</v>
      </c>
      <c r="Q100" s="788" t="s">
        <v>11</v>
      </c>
      <c r="R100" s="1024" t="e">
        <f t="shared" si="6"/>
        <v>#VALUE!</v>
      </c>
      <c r="S100" s="1089" t="e">
        <f t="shared" si="1"/>
        <v>#N/A</v>
      </c>
    </row>
    <row r="101" spans="1:90" s="20" customFormat="1" ht="39.950000000000003" customHeight="1" thickBot="1" x14ac:dyDescent="0.3">
      <c r="A101" s="21"/>
      <c r="B101" s="1579" t="s">
        <v>103</v>
      </c>
      <c r="C101" s="1581"/>
      <c r="D101" s="1025"/>
      <c r="E101" s="1026" t="e">
        <f>(MAX(D44:D46)-(MIN(D44:D46)))</f>
        <v>#N/A</v>
      </c>
      <c r="F101" s="1124" t="str">
        <f>F14</f>
        <v>°C</v>
      </c>
      <c r="G101" s="1128">
        <f>SQRT(12)</f>
        <v>3.4641016151377544</v>
      </c>
      <c r="H101" s="784" t="e">
        <f t="shared" si="5"/>
        <v>#N/A</v>
      </c>
      <c r="I101" s="1003" t="s">
        <v>3</v>
      </c>
      <c r="J101" s="785" t="e">
        <f>K68</f>
        <v>#N/A</v>
      </c>
      <c r="K101" s="783" t="s">
        <v>547</v>
      </c>
      <c r="L101" s="784" t="e">
        <f t="shared" si="3"/>
        <v>#N/A</v>
      </c>
      <c r="M101" s="783" t="s">
        <v>4</v>
      </c>
      <c r="N101" s="787" t="e">
        <f t="shared" si="4"/>
        <v>#N/A</v>
      </c>
      <c r="O101" s="783" t="s">
        <v>18</v>
      </c>
      <c r="P101" s="783" t="s">
        <v>5</v>
      </c>
      <c r="Q101" s="783" t="s">
        <v>11</v>
      </c>
      <c r="R101" s="1011" t="e">
        <f t="shared" si="6"/>
        <v>#VALUE!</v>
      </c>
      <c r="S101" s="1089" t="e">
        <f t="shared" si="1"/>
        <v>#N/A</v>
      </c>
    </row>
    <row r="102" spans="1:90" s="20" customFormat="1" ht="39.950000000000003" customHeight="1" thickBot="1" x14ac:dyDescent="0.3">
      <c r="A102" s="21"/>
      <c r="B102" s="1579" t="s">
        <v>104</v>
      </c>
      <c r="C102" s="1581"/>
      <c r="D102" s="1028" t="e">
        <f>N47</f>
        <v>#N/A</v>
      </c>
      <c r="E102" s="1029">
        <f>M50</f>
        <v>0</v>
      </c>
      <c r="F102" s="1030" t="str">
        <f>F14</f>
        <v>°C</v>
      </c>
      <c r="R102" s="1059"/>
      <c r="S102" s="1089"/>
      <c r="T102" s="1086"/>
    </row>
    <row r="103" spans="1:90" s="20" customFormat="1" ht="39.950000000000003" customHeight="1" x14ac:dyDescent="0.25">
      <c r="A103" s="21"/>
      <c r="B103" s="1579" t="s">
        <v>101</v>
      </c>
      <c r="C103" s="1581"/>
      <c r="D103" s="866" t="e">
        <f>E14</f>
        <v>#N/A</v>
      </c>
      <c r="E103" s="802" t="e">
        <f>E14</f>
        <v>#N/A</v>
      </c>
      <c r="F103" s="805" t="str">
        <f>F14</f>
        <v>°C</v>
      </c>
      <c r="G103" s="1125">
        <f>SQRT(12)</f>
        <v>3.4641016151377544</v>
      </c>
      <c r="H103" s="802" t="e">
        <f t="shared" si="5"/>
        <v>#N/A</v>
      </c>
      <c r="I103" s="1021" t="s">
        <v>3</v>
      </c>
      <c r="J103" s="804" t="e">
        <f>K70</f>
        <v>#N/A</v>
      </c>
      <c r="K103" s="803" t="s">
        <v>547</v>
      </c>
      <c r="L103" s="802" t="e">
        <f t="shared" si="3"/>
        <v>#N/A</v>
      </c>
      <c r="M103" s="803" t="s">
        <v>4</v>
      </c>
      <c r="N103" s="804" t="e">
        <f t="shared" si="4"/>
        <v>#N/A</v>
      </c>
      <c r="O103" s="803" t="s">
        <v>18</v>
      </c>
      <c r="P103" s="803" t="s">
        <v>5</v>
      </c>
      <c r="Q103" s="803" t="s">
        <v>11</v>
      </c>
      <c r="R103" s="1009" t="e">
        <f t="shared" si="6"/>
        <v>#VALUE!</v>
      </c>
      <c r="S103" s="1089" t="e">
        <f t="shared" si="1"/>
        <v>#N/A</v>
      </c>
    </row>
    <row r="104" spans="1:90" s="356" customFormat="1" ht="39.950000000000003" customHeight="1" x14ac:dyDescent="0.25">
      <c r="B104" s="1576" t="s">
        <v>102</v>
      </c>
      <c r="C104" s="1578"/>
      <c r="D104" s="1023"/>
      <c r="E104" s="799" t="e">
        <f>MAX(I13:I17)</f>
        <v>#N/A</v>
      </c>
      <c r="F104" s="1123" t="str">
        <f>F14</f>
        <v>°C</v>
      </c>
      <c r="G104" s="1126" t="e">
        <f>O14</f>
        <v>#N/A</v>
      </c>
      <c r="H104" s="790" t="e">
        <f t="shared" si="5"/>
        <v>#N/A</v>
      </c>
      <c r="I104" s="794" t="s">
        <v>3</v>
      </c>
      <c r="J104" s="791" t="e">
        <f>K70</f>
        <v>#N/A</v>
      </c>
      <c r="K104" s="788" t="s">
        <v>547</v>
      </c>
      <c r="L104" s="790" t="e">
        <f>H104*J104</f>
        <v>#N/A</v>
      </c>
      <c r="M104" s="788" t="s">
        <v>4</v>
      </c>
      <c r="N104" s="791" t="e">
        <f>L104^2</f>
        <v>#N/A</v>
      </c>
      <c r="O104" s="788" t="s">
        <v>17</v>
      </c>
      <c r="P104" s="788" t="s">
        <v>98</v>
      </c>
      <c r="Q104" s="788">
        <v>50</v>
      </c>
      <c r="R104" s="1024" t="e">
        <f t="shared" si="6"/>
        <v>#VALUE!</v>
      </c>
      <c r="S104" s="1089" t="e">
        <f t="shared" si="1"/>
        <v>#N/A</v>
      </c>
    </row>
    <row r="105" spans="1:90" s="20" customFormat="1" ht="39.950000000000003" customHeight="1" x14ac:dyDescent="0.25">
      <c r="A105" s="21"/>
      <c r="B105" s="1576" t="s">
        <v>99</v>
      </c>
      <c r="C105" s="1578"/>
      <c r="D105" s="1040"/>
      <c r="E105" s="797" t="e">
        <f>VLOOKUP(D102,C13:K17,9,TRUE)</f>
        <v>#N/A</v>
      </c>
      <c r="F105" s="1123" t="str">
        <f>F14</f>
        <v>°C</v>
      </c>
      <c r="G105" s="1127">
        <f>SQRT(12)</f>
        <v>3.4641016151377544</v>
      </c>
      <c r="H105" s="790" t="e">
        <f t="shared" si="5"/>
        <v>#N/A</v>
      </c>
      <c r="I105" s="794" t="s">
        <v>3</v>
      </c>
      <c r="J105" s="791" t="e">
        <f>K70</f>
        <v>#N/A</v>
      </c>
      <c r="K105" s="788" t="s">
        <v>547</v>
      </c>
      <c r="L105" s="790" t="e">
        <f t="shared" si="3"/>
        <v>#N/A</v>
      </c>
      <c r="M105" s="788" t="s">
        <v>4</v>
      </c>
      <c r="N105" s="791" t="e">
        <f t="shared" si="4"/>
        <v>#N/A</v>
      </c>
      <c r="O105" s="788" t="s">
        <v>17</v>
      </c>
      <c r="P105" s="788" t="s">
        <v>5</v>
      </c>
      <c r="Q105" s="788" t="s">
        <v>11</v>
      </c>
      <c r="R105" s="1024" t="e">
        <f t="shared" si="6"/>
        <v>#VALUE!</v>
      </c>
      <c r="S105" s="1089" t="e">
        <f t="shared" si="1"/>
        <v>#N/A</v>
      </c>
    </row>
    <row r="106" spans="1:90" s="20" customFormat="1" ht="39.950000000000003" customHeight="1" thickBot="1" x14ac:dyDescent="0.3">
      <c r="A106" s="21"/>
      <c r="B106" s="1576" t="s">
        <v>103</v>
      </c>
      <c r="C106" s="1578"/>
      <c r="D106" s="1010"/>
      <c r="E106" s="806" t="e">
        <f>(MAX(J44:J46)-(MIN(J44:J46)))</f>
        <v>#N/A</v>
      </c>
      <c r="F106" s="1124" t="str">
        <f>F14</f>
        <v>°C</v>
      </c>
      <c r="G106" s="1128">
        <f>SQRT(12)</f>
        <v>3.4641016151377544</v>
      </c>
      <c r="H106" s="784" t="e">
        <f t="shared" si="5"/>
        <v>#N/A</v>
      </c>
      <c r="I106" s="1003" t="s">
        <v>3</v>
      </c>
      <c r="J106" s="787" t="e">
        <f>K70</f>
        <v>#N/A</v>
      </c>
      <c r="K106" s="783" t="s">
        <v>547</v>
      </c>
      <c r="L106" s="784" t="e">
        <f t="shared" si="3"/>
        <v>#N/A</v>
      </c>
      <c r="M106" s="783" t="s">
        <v>4</v>
      </c>
      <c r="N106" s="787" t="e">
        <f t="shared" si="4"/>
        <v>#N/A</v>
      </c>
      <c r="O106" s="783" t="s">
        <v>18</v>
      </c>
      <c r="P106" s="783" t="s">
        <v>5</v>
      </c>
      <c r="Q106" s="783" t="s">
        <v>11</v>
      </c>
      <c r="R106" s="1011" t="e">
        <f t="shared" si="6"/>
        <v>#VALUE!</v>
      </c>
      <c r="S106" s="1089" t="e">
        <f t="shared" si="1"/>
        <v>#N/A</v>
      </c>
    </row>
    <row r="107" spans="1:90" s="20" customFormat="1" ht="45.95" customHeight="1" thickBot="1" x14ac:dyDescent="0.3">
      <c r="A107" s="21"/>
      <c r="B107" s="1576" t="s">
        <v>152</v>
      </c>
      <c r="C107" s="1578"/>
      <c r="D107" s="1041" t="e">
        <f>D37</f>
        <v>#N/A</v>
      </c>
      <c r="E107" s="1042" t="e">
        <f>D37</f>
        <v>#N/A</v>
      </c>
      <c r="F107" s="1043" t="s">
        <v>10</v>
      </c>
      <c r="R107" s="1086"/>
      <c r="S107" s="1089"/>
      <c r="T107" s="1086"/>
    </row>
    <row r="108" spans="1:90" s="356" customFormat="1" ht="45.95" customHeight="1" x14ac:dyDescent="0.25">
      <c r="A108" s="21"/>
      <c r="B108" s="1576" t="s">
        <v>329</v>
      </c>
      <c r="C108" s="1577"/>
      <c r="D108" s="1005"/>
      <c r="E108" s="1044" t="e">
        <f>(D37*5%)</f>
        <v>#N/A</v>
      </c>
      <c r="F108" s="803" t="s">
        <v>10</v>
      </c>
      <c r="G108" s="802">
        <f>SQRT(3)</f>
        <v>1.7320508075688772</v>
      </c>
      <c r="H108" s="802" t="e">
        <f>E108/G108</f>
        <v>#N/A</v>
      </c>
      <c r="I108" s="803" t="s">
        <v>10</v>
      </c>
      <c r="J108" s="1035" t="e">
        <f>K76</f>
        <v>#N/A</v>
      </c>
      <c r="K108" s="803" t="s">
        <v>509</v>
      </c>
      <c r="L108" s="802" t="e">
        <f t="shared" si="3"/>
        <v>#N/A</v>
      </c>
      <c r="M108" s="803" t="s">
        <v>4</v>
      </c>
      <c r="N108" s="804" t="e">
        <f t="shared" si="4"/>
        <v>#N/A</v>
      </c>
      <c r="O108" s="803" t="s">
        <v>105</v>
      </c>
      <c r="P108" s="803" t="s">
        <v>5</v>
      </c>
      <c r="Q108" s="803" t="s">
        <v>11</v>
      </c>
      <c r="R108" s="1009" t="e">
        <f t="shared" si="6"/>
        <v>#VALUE!</v>
      </c>
      <c r="S108" s="1089" t="e">
        <f t="shared" si="1"/>
        <v>#N/A</v>
      </c>
    </row>
    <row r="109" spans="1:90" s="358" customFormat="1" ht="45.95" customHeight="1" x14ac:dyDescent="0.25">
      <c r="A109" s="21"/>
      <c r="B109" s="1576" t="s">
        <v>328</v>
      </c>
      <c r="C109" s="1577"/>
      <c r="D109" s="1081" t="s">
        <v>1</v>
      </c>
      <c r="E109" s="800" t="e">
        <f>(D33*5%)</f>
        <v>#N/A</v>
      </c>
      <c r="F109" s="788" t="s">
        <v>10</v>
      </c>
      <c r="G109" s="790">
        <f>SQRT(3)</f>
        <v>1.7320508075688772</v>
      </c>
      <c r="H109" s="790" t="e">
        <f t="shared" si="5"/>
        <v>#N/A</v>
      </c>
      <c r="I109" s="788" t="s">
        <v>10</v>
      </c>
      <c r="J109" s="799" t="e">
        <f>K72</f>
        <v>#N/A</v>
      </c>
      <c r="K109" s="788" t="s">
        <v>509</v>
      </c>
      <c r="L109" s="790" t="e">
        <f t="shared" si="3"/>
        <v>#N/A</v>
      </c>
      <c r="M109" s="788" t="s">
        <v>4</v>
      </c>
      <c r="N109" s="791" t="e">
        <f t="shared" si="4"/>
        <v>#N/A</v>
      </c>
      <c r="O109" s="788" t="s">
        <v>106</v>
      </c>
      <c r="P109" s="788" t="s">
        <v>5</v>
      </c>
      <c r="Q109" s="788" t="s">
        <v>11</v>
      </c>
      <c r="R109" s="1024" t="e">
        <f t="shared" si="6"/>
        <v>#VALUE!</v>
      </c>
      <c r="S109" s="1089" t="e">
        <f t="shared" si="1"/>
        <v>#N/A</v>
      </c>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c r="BV109" s="20"/>
      <c r="BW109" s="20"/>
      <c r="BX109" s="20"/>
      <c r="BY109" s="20"/>
      <c r="BZ109" s="20"/>
      <c r="CA109" s="20"/>
      <c r="CB109" s="20"/>
      <c r="CC109" s="20"/>
      <c r="CD109" s="20"/>
      <c r="CE109" s="20"/>
      <c r="CF109" s="20"/>
      <c r="CG109" s="20"/>
      <c r="CH109" s="20"/>
      <c r="CI109" s="20"/>
      <c r="CJ109" s="20"/>
      <c r="CK109" s="20"/>
      <c r="CL109" s="20"/>
    </row>
    <row r="110" spans="1:90" s="356" customFormat="1" ht="45.95" customHeight="1" x14ac:dyDescent="0.25">
      <c r="B110" s="1576" t="s">
        <v>328</v>
      </c>
      <c r="C110" s="1577"/>
      <c r="D110" s="1081" t="s">
        <v>0</v>
      </c>
      <c r="E110" s="800" t="e">
        <f>(F33*5%)</f>
        <v>#N/A</v>
      </c>
      <c r="F110" s="788" t="s">
        <v>10</v>
      </c>
      <c r="G110" s="790">
        <f>SQRT(3)</f>
        <v>1.7320508075688772</v>
      </c>
      <c r="H110" s="790" t="e">
        <f t="shared" si="5"/>
        <v>#N/A</v>
      </c>
      <c r="I110" s="788" t="s">
        <v>10</v>
      </c>
      <c r="J110" s="799" t="e">
        <f>K74</f>
        <v>#N/A</v>
      </c>
      <c r="K110" s="788" t="s">
        <v>509</v>
      </c>
      <c r="L110" s="790" t="e">
        <f t="shared" si="3"/>
        <v>#N/A</v>
      </c>
      <c r="M110" s="788" t="s">
        <v>4</v>
      </c>
      <c r="N110" s="791" t="e">
        <f t="shared" si="4"/>
        <v>#N/A</v>
      </c>
      <c r="O110" s="788" t="s">
        <v>107</v>
      </c>
      <c r="P110" s="788" t="s">
        <v>5</v>
      </c>
      <c r="Q110" s="788" t="s">
        <v>11</v>
      </c>
      <c r="R110" s="1024" t="e">
        <f t="shared" si="6"/>
        <v>#VALUE!</v>
      </c>
      <c r="S110" s="1089" t="e">
        <f t="shared" si="1"/>
        <v>#N/A</v>
      </c>
    </row>
    <row r="111" spans="1:90" s="20" customFormat="1" ht="45.95" customHeight="1" x14ac:dyDescent="0.25">
      <c r="A111" s="23"/>
      <c r="B111" s="1576" t="s">
        <v>328</v>
      </c>
      <c r="C111" s="1577"/>
      <c r="D111" s="1081" t="s">
        <v>28</v>
      </c>
      <c r="E111" s="800" t="e">
        <f>(D36*7.5%)</f>
        <v>#N/A</v>
      </c>
      <c r="F111" s="788" t="s">
        <v>10</v>
      </c>
      <c r="G111" s="790">
        <f>SQRT(12)</f>
        <v>3.4641016151377544</v>
      </c>
      <c r="H111" s="798" t="e">
        <f t="shared" si="5"/>
        <v>#N/A</v>
      </c>
      <c r="I111" s="788" t="s">
        <v>10</v>
      </c>
      <c r="J111" s="796">
        <f>K82</f>
        <v>1</v>
      </c>
      <c r="K111" s="788" t="s">
        <v>509</v>
      </c>
      <c r="L111" s="798" t="e">
        <f>H111*J111</f>
        <v>#N/A</v>
      </c>
      <c r="M111" s="788" t="s">
        <v>4</v>
      </c>
      <c r="N111" s="791" t="e">
        <f>L111^2</f>
        <v>#N/A</v>
      </c>
      <c r="O111" s="788" t="s">
        <v>107</v>
      </c>
      <c r="P111" s="788" t="s">
        <v>5</v>
      </c>
      <c r="Q111" s="788" t="s">
        <v>11</v>
      </c>
      <c r="R111" s="1024" t="e">
        <f t="shared" si="6"/>
        <v>#VALUE!</v>
      </c>
      <c r="S111" s="1089" t="e">
        <f t="shared" si="1"/>
        <v>#N/A</v>
      </c>
    </row>
    <row r="112" spans="1:90" s="20" customFormat="1" ht="45.95" customHeight="1" thickBot="1" x14ac:dyDescent="0.3">
      <c r="A112" s="23"/>
      <c r="B112" s="1574" t="s">
        <v>527</v>
      </c>
      <c r="C112" s="1575"/>
      <c r="D112" s="1064"/>
      <c r="E112" s="782">
        <v>0.25703300000000001</v>
      </c>
      <c r="F112" s="783" t="s">
        <v>4</v>
      </c>
      <c r="G112" s="784">
        <f>SQRT(9)</f>
        <v>3</v>
      </c>
      <c r="H112" s="785">
        <f>E112/G112</f>
        <v>8.5677666666666666E-2</v>
      </c>
      <c r="I112" s="783" t="s">
        <v>4</v>
      </c>
      <c r="J112" s="786">
        <v>1</v>
      </c>
      <c r="K112" s="783" t="s">
        <v>4</v>
      </c>
      <c r="L112" s="785">
        <f>H112*J112</f>
        <v>8.5677666666666666E-2</v>
      </c>
      <c r="M112" s="783" t="s">
        <v>4</v>
      </c>
      <c r="N112" s="787">
        <f>L112^2</f>
        <v>7.3406625654444443E-3</v>
      </c>
      <c r="O112" s="783" t="s">
        <v>522</v>
      </c>
      <c r="P112" s="783" t="s">
        <v>513</v>
      </c>
      <c r="Q112" s="783">
        <v>6</v>
      </c>
      <c r="R112" s="1011" t="e">
        <f t="shared" si="6"/>
        <v>#VALUE!</v>
      </c>
      <c r="S112" s="1089" t="e">
        <f t="shared" si="1"/>
        <v>#N/A</v>
      </c>
    </row>
    <row r="113" spans="1:31" s="20" customFormat="1" ht="30" customHeight="1" x14ac:dyDescent="0.25">
      <c r="A113" s="327"/>
      <c r="B113" s="789"/>
      <c r="C113" s="789"/>
      <c r="D113" s="789"/>
      <c r="E113" s="801"/>
      <c r="F113" s="789"/>
      <c r="G113" s="789"/>
      <c r="H113" s="789"/>
      <c r="I113" s="789"/>
      <c r="J113" s="789"/>
      <c r="K113" s="789"/>
      <c r="L113" s="789"/>
      <c r="M113" s="789"/>
      <c r="N113" s="789"/>
      <c r="O113" s="789"/>
      <c r="P113" s="789"/>
      <c r="Q113" s="789"/>
      <c r="R113" s="1060"/>
      <c r="S113" s="1089"/>
    </row>
    <row r="114" spans="1:31" s="20" customFormat="1" ht="30" customHeight="1" thickBot="1" x14ac:dyDescent="0.3">
      <c r="A114" s="327"/>
      <c r="B114" s="1582" t="s">
        <v>108</v>
      </c>
      <c r="C114" s="1583"/>
      <c r="D114" s="1584"/>
      <c r="E114" s="1584"/>
      <c r="F114" s="1584"/>
      <c r="G114" s="1584"/>
      <c r="H114" s="1584"/>
      <c r="I114" s="1584"/>
      <c r="J114" s="1584"/>
      <c r="K114" s="1584"/>
      <c r="L114" s="1584"/>
      <c r="M114" s="1584"/>
      <c r="N114" s="1584"/>
      <c r="O114" s="1584"/>
      <c r="P114" s="1584"/>
      <c r="Q114" s="1584"/>
      <c r="R114" s="1585"/>
      <c r="S114" s="1089"/>
    </row>
    <row r="115" spans="1:31" s="20" customFormat="1" ht="30" customHeight="1" x14ac:dyDescent="0.25">
      <c r="A115" s="21"/>
      <c r="B115" s="1594" t="s">
        <v>109</v>
      </c>
      <c r="C115" s="1595"/>
      <c r="D115" s="1068"/>
      <c r="E115" s="802" t="e">
        <f>(PI()*(D34)^2/4)*D35</f>
        <v>#N/A</v>
      </c>
      <c r="F115" s="803" t="s">
        <v>4</v>
      </c>
      <c r="G115" s="802">
        <f>SQRT(3)</f>
        <v>1.7320508075688772</v>
      </c>
      <c r="H115" s="802" t="e">
        <f>E115/G115</f>
        <v>#N/A</v>
      </c>
      <c r="I115" s="803" t="s">
        <v>4</v>
      </c>
      <c r="J115" s="802">
        <v>1</v>
      </c>
      <c r="K115" s="803"/>
      <c r="L115" s="802" t="e">
        <f>H115*J115</f>
        <v>#N/A</v>
      </c>
      <c r="M115" s="803" t="s">
        <v>4</v>
      </c>
      <c r="N115" s="804" t="e">
        <f>L115^2</f>
        <v>#N/A</v>
      </c>
      <c r="O115" s="803" t="s">
        <v>16</v>
      </c>
      <c r="P115" s="803" t="s">
        <v>5</v>
      </c>
      <c r="Q115" s="803" t="s">
        <v>11</v>
      </c>
      <c r="R115" s="1009" t="e">
        <f t="shared" ref="R115:R118" si="7">IFERROR(L115/$N$119,"--")^2</f>
        <v>#VALUE!</v>
      </c>
      <c r="S115" s="1089" t="e">
        <f t="shared" si="1"/>
        <v>#N/A</v>
      </c>
    </row>
    <row r="116" spans="1:31" s="20" customFormat="1" ht="30" customHeight="1" x14ac:dyDescent="0.25">
      <c r="B116" s="1579" t="s">
        <v>110</v>
      </c>
      <c r="C116" s="1580"/>
      <c r="D116" s="1069"/>
      <c r="E116" s="793" t="e">
        <f>(PI()*(1.5/2)^2*F35)+(PI()*(F34/2)^2*F35)</f>
        <v>#N/A</v>
      </c>
      <c r="F116" s="788" t="s">
        <v>4</v>
      </c>
      <c r="G116" s="790">
        <f>SQRT(3)</f>
        <v>1.7320508075688772</v>
      </c>
      <c r="H116" s="790" t="e">
        <f>E116/G116</f>
        <v>#N/A</v>
      </c>
      <c r="I116" s="788" t="s">
        <v>4</v>
      </c>
      <c r="J116" s="790">
        <v>1</v>
      </c>
      <c r="K116" s="788"/>
      <c r="L116" s="790" t="e">
        <f>H116*J116</f>
        <v>#N/A</v>
      </c>
      <c r="M116" s="788" t="s">
        <v>4</v>
      </c>
      <c r="N116" s="791" t="e">
        <f>L116^2</f>
        <v>#N/A</v>
      </c>
      <c r="O116" s="788" t="s">
        <v>16</v>
      </c>
      <c r="P116" s="788" t="s">
        <v>5</v>
      </c>
      <c r="Q116" s="788" t="s">
        <v>11</v>
      </c>
      <c r="R116" s="1024" t="e">
        <f t="shared" si="7"/>
        <v>#VALUE!</v>
      </c>
      <c r="S116" s="1089" t="e">
        <f t="shared" si="1"/>
        <v>#N/A</v>
      </c>
    </row>
    <row r="117" spans="1:31" s="235" customFormat="1" ht="39.950000000000003" customHeight="1" x14ac:dyDescent="0.25">
      <c r="A117" s="233"/>
      <c r="B117" s="1579" t="s">
        <v>111</v>
      </c>
      <c r="C117" s="1580"/>
      <c r="D117" s="1069"/>
      <c r="E117" s="791" t="e">
        <f>H59</f>
        <v>#N/A</v>
      </c>
      <c r="F117" s="788" t="s">
        <v>4</v>
      </c>
      <c r="G117" s="793">
        <f>SQRT(B46)</f>
        <v>1.7320508075688772</v>
      </c>
      <c r="H117" s="791" t="e">
        <f>E117/G117</f>
        <v>#N/A</v>
      </c>
      <c r="I117" s="788" t="s">
        <v>4</v>
      </c>
      <c r="J117" s="790">
        <v>1</v>
      </c>
      <c r="K117" s="788"/>
      <c r="L117" s="790" t="e">
        <f>H117*J117</f>
        <v>#N/A</v>
      </c>
      <c r="M117" s="788" t="s">
        <v>4</v>
      </c>
      <c r="N117" s="791" t="e">
        <f>L117^2</f>
        <v>#N/A</v>
      </c>
      <c r="O117" s="788" t="s">
        <v>6</v>
      </c>
      <c r="P117" s="788" t="s">
        <v>98</v>
      </c>
      <c r="Q117" s="788">
        <f>B46-1</f>
        <v>2</v>
      </c>
      <c r="R117" s="1024" t="e">
        <f t="shared" si="7"/>
        <v>#VALUE!</v>
      </c>
      <c r="S117" s="1089" t="e">
        <f t="shared" si="1"/>
        <v>#N/A</v>
      </c>
    </row>
    <row r="118" spans="1:31" s="273" customFormat="1" ht="30" customHeight="1" thickBot="1" x14ac:dyDescent="0.3">
      <c r="A118" s="359" t="s">
        <v>112</v>
      </c>
      <c r="B118" s="1596" t="s">
        <v>113</v>
      </c>
      <c r="C118" s="1597"/>
      <c r="D118" s="1070"/>
      <c r="E118" s="806" t="e">
        <f>C122*0.01%</f>
        <v>#N/A</v>
      </c>
      <c r="F118" s="783" t="s">
        <v>4</v>
      </c>
      <c r="G118" s="784">
        <v>1</v>
      </c>
      <c r="H118" s="784" t="e">
        <f>E118/G118</f>
        <v>#N/A</v>
      </c>
      <c r="I118" s="783" t="s">
        <v>4</v>
      </c>
      <c r="J118" s="784">
        <v>1</v>
      </c>
      <c r="K118" s="783"/>
      <c r="L118" s="784" t="e">
        <f>H118*J118</f>
        <v>#N/A</v>
      </c>
      <c r="M118" s="783" t="s">
        <v>4</v>
      </c>
      <c r="N118" s="787" t="e">
        <f>L118^2</f>
        <v>#N/A</v>
      </c>
      <c r="O118" s="783" t="s">
        <v>114</v>
      </c>
      <c r="P118" s="783" t="s">
        <v>98</v>
      </c>
      <c r="Q118" s="783" t="s">
        <v>11</v>
      </c>
      <c r="R118" s="1011" t="e">
        <f t="shared" si="7"/>
        <v>#VALUE!</v>
      </c>
      <c r="S118" s="1086" t="e">
        <f t="shared" si="1"/>
        <v>#N/A</v>
      </c>
    </row>
    <row r="119" spans="1:31" s="273" customFormat="1" ht="45.75" customHeight="1" thickBot="1" x14ac:dyDescent="0.3">
      <c r="A119" s="21"/>
      <c r="B119" s="807"/>
      <c r="C119" s="807"/>
      <c r="D119" s="807"/>
      <c r="E119" s="807"/>
      <c r="F119" s="807"/>
      <c r="G119" s="807"/>
      <c r="H119" s="807"/>
      <c r="I119" s="807"/>
      <c r="J119" s="807"/>
      <c r="K119" s="807"/>
      <c r="L119" s="360"/>
      <c r="M119" s="361"/>
      <c r="N119" s="119" t="e">
        <f>SQRT(SUM(N89:N90,N93:N95,N98:N101,N103:N106,N108:N111,N112,N115,N116,N117,N118))</f>
        <v>#N/A</v>
      </c>
      <c r="O119" s="807"/>
      <c r="P119" s="807"/>
      <c r="Q119" s="807"/>
      <c r="R119" s="1121" t="e">
        <f>SUM(R89:R90,R93:R95,R98:R101,R103:R106,R108:R112,R114:R118)</f>
        <v>#N/A</v>
      </c>
      <c r="S119" s="20"/>
    </row>
    <row r="120" spans="1:31" s="273" customFormat="1" ht="41.25" customHeight="1" thickBot="1" x14ac:dyDescent="0.3">
      <c r="A120" s="21"/>
      <c r="B120" s="1568" t="s">
        <v>116</v>
      </c>
      <c r="C120" s="1569"/>
      <c r="D120" s="1569"/>
      <c r="E120" s="1569"/>
      <c r="F120" s="1569"/>
      <c r="G120" s="1569"/>
      <c r="H120" s="1569"/>
      <c r="I120" s="1570"/>
      <c r="J120" s="807"/>
      <c r="K120" s="21"/>
      <c r="L120" s="1588" t="s">
        <v>115</v>
      </c>
      <c r="M120" s="1589"/>
      <c r="N120" s="209" t="e">
        <f>E122*N119</f>
        <v>#N/A</v>
      </c>
      <c r="O120" s="21"/>
      <c r="P120" s="21"/>
      <c r="R120" s="77"/>
      <c r="S120" s="20"/>
      <c r="T120" s="20"/>
      <c r="U120" s="20"/>
      <c r="V120" s="357"/>
      <c r="W120" s="357"/>
    </row>
    <row r="121" spans="1:31" s="20" customFormat="1" ht="34.5" customHeight="1" thickBot="1" x14ac:dyDescent="0.3">
      <c r="A121" s="23"/>
      <c r="B121" s="362"/>
      <c r="C121" s="363" t="s">
        <v>404</v>
      </c>
      <c r="D121" s="364" t="s">
        <v>405</v>
      </c>
      <c r="E121" s="364" t="s">
        <v>89</v>
      </c>
      <c r="F121" s="364" t="s">
        <v>7</v>
      </c>
      <c r="G121" s="364" t="s">
        <v>406</v>
      </c>
      <c r="H121" s="364" t="s">
        <v>8</v>
      </c>
      <c r="I121" s="365" t="s">
        <v>117</v>
      </c>
      <c r="J121" s="807"/>
      <c r="K121" s="366"/>
      <c r="L121" s="1590" t="s">
        <v>339</v>
      </c>
      <c r="M121" s="1591"/>
      <c r="N121" s="118" t="e">
        <f>(N119^4)/((L89^4/Q89)+(L99^4/Q99)+(L104^4/Q104)+(L93^4/Q93)+(L112^4/Q112)+(L117^4/Q117))</f>
        <v>#N/A</v>
      </c>
      <c r="O121" s="21"/>
    </row>
    <row r="122" spans="1:31" s="20" customFormat="1" ht="30" customHeight="1" thickBot="1" x14ac:dyDescent="0.3">
      <c r="A122" s="23"/>
      <c r="B122" s="587" t="s">
        <v>4</v>
      </c>
      <c r="C122" s="655" t="e">
        <f>H58</f>
        <v>#N/A</v>
      </c>
      <c r="D122" s="1143" t="e">
        <f>N119</f>
        <v>#N/A</v>
      </c>
      <c r="E122" s="1598" t="str">
        <f>N125</f>
        <v>2</v>
      </c>
      <c r="F122" s="1143" t="e">
        <f>(D122*E122)</f>
        <v>#N/A</v>
      </c>
      <c r="G122" s="1601">
        <v>95</v>
      </c>
      <c r="H122" s="1143" t="e">
        <f>C122-C7</f>
        <v>#N/A</v>
      </c>
      <c r="I122" s="1160" t="e">
        <f>ABS(H122)</f>
        <v>#N/A</v>
      </c>
      <c r="J122" s="807"/>
      <c r="K122" s="367"/>
      <c r="O122" s="23"/>
    </row>
    <row r="123" spans="1:31" s="20" customFormat="1" ht="30" customHeight="1" thickBot="1" x14ac:dyDescent="0.3">
      <c r="A123" s="23"/>
      <c r="B123" s="588" t="s">
        <v>407</v>
      </c>
      <c r="C123" s="230" t="e">
        <f>C122/L30</f>
        <v>#N/A</v>
      </c>
      <c r="D123" s="295" t="e">
        <f>D122/K28</f>
        <v>#N/A</v>
      </c>
      <c r="E123" s="1599"/>
      <c r="F123" s="295" t="e">
        <f>D123*E122</f>
        <v>#N/A</v>
      </c>
      <c r="G123" s="1602"/>
      <c r="H123" s="295" t="e">
        <f>H122/L30</f>
        <v>#N/A</v>
      </c>
      <c r="I123" s="296" t="e">
        <f>ABS(H123)</f>
        <v>#N/A</v>
      </c>
      <c r="J123" s="807"/>
      <c r="K123" s="23"/>
      <c r="L123" s="1725" t="s">
        <v>89</v>
      </c>
      <c r="M123" s="1726"/>
      <c r="N123" s="23"/>
      <c r="O123" s="1107">
        <v>0.3</v>
      </c>
      <c r="P123" s="368">
        <v>1.65</v>
      </c>
    </row>
    <row r="124" spans="1:31" s="21" customFormat="1" ht="36.75" customHeight="1" thickBot="1" x14ac:dyDescent="0.3">
      <c r="B124" s="588" t="s">
        <v>9</v>
      </c>
      <c r="C124" s="369" t="e">
        <f>C123/L27</f>
        <v>#N/A</v>
      </c>
      <c r="D124" s="586" t="e">
        <f>D123/L27</f>
        <v>#N/A</v>
      </c>
      <c r="E124" s="1599"/>
      <c r="F124" s="369" t="e">
        <f>D124*E122</f>
        <v>#N/A</v>
      </c>
      <c r="G124" s="1602"/>
      <c r="H124" s="369" t="e">
        <f>H123/L27</f>
        <v>#N/A</v>
      </c>
      <c r="I124" s="580" t="e">
        <f>ABS(H124)</f>
        <v>#N/A</v>
      </c>
      <c r="J124" s="807"/>
      <c r="L124" s="1108" t="e">
        <f>_xlfn.T.INV.2T(0.05,N121)</f>
        <v>#N/A</v>
      </c>
      <c r="M124" s="1109" t="e">
        <f>TINV(0.05,N121)</f>
        <v>#N/A</v>
      </c>
      <c r="N124" s="154" t="s">
        <v>89</v>
      </c>
      <c r="O124" s="1571" t="s">
        <v>297</v>
      </c>
      <c r="P124" s="1572"/>
      <c r="Q124" s="1573"/>
      <c r="S124" s="20"/>
      <c r="T124" s="20"/>
      <c r="U124" s="20"/>
      <c r="V124" s="370"/>
      <c r="W124" s="370"/>
      <c r="X124" s="370"/>
      <c r="Y124" s="370"/>
      <c r="Z124" s="370"/>
      <c r="AA124" s="370"/>
    </row>
    <row r="125" spans="1:31" s="20" customFormat="1" ht="42" customHeight="1" thickBot="1" x14ac:dyDescent="0.3">
      <c r="A125" s="23"/>
      <c r="B125" s="1144" t="s">
        <v>246</v>
      </c>
      <c r="C125" s="302" t="e">
        <f>(C122*100)/C7</f>
        <v>#N/A</v>
      </c>
      <c r="D125" s="589" t="e">
        <f>(D124/C124)*100</f>
        <v>#N/A</v>
      </c>
      <c r="E125" s="1600"/>
      <c r="F125" s="144" t="e">
        <f>(D125*E122)</f>
        <v>#N/A</v>
      </c>
      <c r="G125" s="1603"/>
      <c r="H125" s="589" t="e">
        <f>(H124*100)/C124</f>
        <v>#N/A</v>
      </c>
      <c r="I125" s="584" t="e">
        <f>(I124*100)/M27</f>
        <v>#N/A</v>
      </c>
      <c r="J125" s="807"/>
      <c r="K125" s="23"/>
      <c r="L125" s="1586" t="s">
        <v>289</v>
      </c>
      <c r="M125" s="1587"/>
      <c r="N125" s="154" t="str">
        <f>IF((M126)&lt;=(O123),"1,65","2")</f>
        <v>2</v>
      </c>
      <c r="O125" s="155" t="s">
        <v>292</v>
      </c>
      <c r="P125" s="156" t="s">
        <v>293</v>
      </c>
      <c r="Q125" s="157" t="s">
        <v>294</v>
      </c>
      <c r="V125" s="1723"/>
      <c r="W125" s="1723"/>
      <c r="X125" s="1723"/>
      <c r="Y125" s="273"/>
      <c r="Z125" s="273"/>
      <c r="AA125" s="273"/>
      <c r="AB125" s="273"/>
      <c r="AC125" s="273"/>
      <c r="AD125" s="273"/>
      <c r="AE125" s="273"/>
    </row>
    <row r="126" spans="1:31" s="20" customFormat="1" ht="30" customHeight="1" thickBot="1" x14ac:dyDescent="0.3">
      <c r="C126" s="371"/>
      <c r="D126" s="319"/>
      <c r="E126" s="372"/>
      <c r="G126" s="596"/>
      <c r="H126" s="597"/>
      <c r="K126" s="21"/>
      <c r="L126" s="679" t="s">
        <v>296</v>
      </c>
      <c r="M126" s="175" t="str">
        <f>IFERROR(SQRT(SUMSQ(S89:S90,S93:S95,S98:S101,S103:S106,S108:S112,S115:S118))/MAX(L89:L90,L93:L95,L98:L101,L103:L106,L108:L112,L115:L118),"--")</f>
        <v>--</v>
      </c>
      <c r="N126" s="318"/>
      <c r="O126" s="158" t="s">
        <v>292</v>
      </c>
      <c r="P126" s="159" t="s">
        <v>298</v>
      </c>
      <c r="Q126" s="160" t="s">
        <v>295</v>
      </c>
      <c r="V126" s="1724"/>
      <c r="W126" s="1724"/>
      <c r="X126" s="1724"/>
    </row>
    <row r="127" spans="1:31" x14ac:dyDescent="0.2">
      <c r="G127" s="598"/>
      <c r="H127" s="599"/>
    </row>
  </sheetData>
  <sheetProtection algorithmName="SHA-512" hashValue="YFIIaqPr+2eZ+NLB3di55KA6OgprVHEH5PC5rZ1As+2M4yuCfCNp7c119ZyaNIri2z0QsRRI/6f/5Rg9N5sdmQ==" saltValue="sVASksTSTzRKP85uKQJsdw==" spinCount="100000" sheet="1" objects="1" scenarios="1"/>
  <mergeCells count="140">
    <mergeCell ref="V125:X125"/>
    <mergeCell ref="V126:X126"/>
    <mergeCell ref="L125:M125"/>
    <mergeCell ref="B116:C116"/>
    <mergeCell ref="B117:C117"/>
    <mergeCell ref="B118:C118"/>
    <mergeCell ref="L120:M120"/>
    <mergeCell ref="L121:M121"/>
    <mergeCell ref="B111:C111"/>
    <mergeCell ref="L123:M123"/>
    <mergeCell ref="B112:C112"/>
    <mergeCell ref="O124:Q124"/>
    <mergeCell ref="B114:R114"/>
    <mergeCell ref="B115:C115"/>
    <mergeCell ref="B105:C105"/>
    <mergeCell ref="B106:C106"/>
    <mergeCell ref="B107:C107"/>
    <mergeCell ref="B108:C108"/>
    <mergeCell ref="B109:C109"/>
    <mergeCell ref="B110:C110"/>
    <mergeCell ref="E122:E125"/>
    <mergeCell ref="G122:G125"/>
    <mergeCell ref="B99:C99"/>
    <mergeCell ref="B100:C100"/>
    <mergeCell ref="B101:C101"/>
    <mergeCell ref="B102:C102"/>
    <mergeCell ref="B103:C103"/>
    <mergeCell ref="B104:C104"/>
    <mergeCell ref="B92:C92"/>
    <mergeCell ref="B93:C93"/>
    <mergeCell ref="B94:C94"/>
    <mergeCell ref="B95:C95"/>
    <mergeCell ref="B97:C97"/>
    <mergeCell ref="B98:C98"/>
    <mergeCell ref="B82:D82"/>
    <mergeCell ref="B86:R86"/>
    <mergeCell ref="B87:C87"/>
    <mergeCell ref="B88:C88"/>
    <mergeCell ref="B89:C89"/>
    <mergeCell ref="A90:A91"/>
    <mergeCell ref="B90:C90"/>
    <mergeCell ref="B91:C91"/>
    <mergeCell ref="B70:E70"/>
    <mergeCell ref="B72:F72"/>
    <mergeCell ref="B74:F74"/>
    <mergeCell ref="B76:F76"/>
    <mergeCell ref="B78:D78"/>
    <mergeCell ref="B80:D80"/>
    <mergeCell ref="E58:G58"/>
    <mergeCell ref="E59:G59"/>
    <mergeCell ref="E60:G60"/>
    <mergeCell ref="B64:L64"/>
    <mergeCell ref="B66:D66"/>
    <mergeCell ref="B68:E68"/>
    <mergeCell ref="E53:L53"/>
    <mergeCell ref="E54:F54"/>
    <mergeCell ref="E55:F55"/>
    <mergeCell ref="E56:F56"/>
    <mergeCell ref="E57:F57"/>
    <mergeCell ref="B41:N41"/>
    <mergeCell ref="B42:G42"/>
    <mergeCell ref="I42:N42"/>
    <mergeCell ref="Q45:Y45"/>
    <mergeCell ref="Q46:Y48"/>
    <mergeCell ref="B47:F47"/>
    <mergeCell ref="I47:M47"/>
    <mergeCell ref="B37:C37"/>
    <mergeCell ref="I37:J37"/>
    <mergeCell ref="L37:M37"/>
    <mergeCell ref="I38:J38"/>
    <mergeCell ref="L38:M38"/>
    <mergeCell ref="B39:C39"/>
    <mergeCell ref="D39:G39"/>
    <mergeCell ref="I39:J39"/>
    <mergeCell ref="L39:M39"/>
    <mergeCell ref="N33:O33"/>
    <mergeCell ref="B34:C34"/>
    <mergeCell ref="B35:C35"/>
    <mergeCell ref="I35:P35"/>
    <mergeCell ref="B36:C36"/>
    <mergeCell ref="I36:K36"/>
    <mergeCell ref="L36:N36"/>
    <mergeCell ref="B29:C29"/>
    <mergeCell ref="B30:C30"/>
    <mergeCell ref="B31:C31"/>
    <mergeCell ref="B32:C32"/>
    <mergeCell ref="B33:C33"/>
    <mergeCell ref="I33:J33"/>
    <mergeCell ref="B27:C27"/>
    <mergeCell ref="D27:E27"/>
    <mergeCell ref="F27:G27"/>
    <mergeCell ref="B28:C28"/>
    <mergeCell ref="D28:E28"/>
    <mergeCell ref="F28:G28"/>
    <mergeCell ref="M25:M26"/>
    <mergeCell ref="O25:O26"/>
    <mergeCell ref="P25:P26"/>
    <mergeCell ref="B24:G24"/>
    <mergeCell ref="I24:R24"/>
    <mergeCell ref="G19:G20"/>
    <mergeCell ref="H19:H20"/>
    <mergeCell ref="I19:I20"/>
    <mergeCell ref="J19:J20"/>
    <mergeCell ref="K19:K20"/>
    <mergeCell ref="L19:L20"/>
    <mergeCell ref="Q25:Q26"/>
    <mergeCell ref="R25:R26"/>
    <mergeCell ref="B26:C26"/>
    <mergeCell ref="D26:E26"/>
    <mergeCell ref="F26:G26"/>
    <mergeCell ref="D25:E25"/>
    <mergeCell ref="F25:G25"/>
    <mergeCell ref="I25:I26"/>
    <mergeCell ref="J25:J26"/>
    <mergeCell ref="K25:K26"/>
    <mergeCell ref="L25:L26"/>
    <mergeCell ref="T57:V57"/>
    <mergeCell ref="B120:I120"/>
    <mergeCell ref="A1:C1"/>
    <mergeCell ref="D1:R1"/>
    <mergeCell ref="D3:E3"/>
    <mergeCell ref="G3:H3"/>
    <mergeCell ref="J3:K3"/>
    <mergeCell ref="M3:N3"/>
    <mergeCell ref="P3:R3"/>
    <mergeCell ref="A5:R5"/>
    <mergeCell ref="Q6:R6"/>
    <mergeCell ref="A8:A12"/>
    <mergeCell ref="A13:A17"/>
    <mergeCell ref="A19:A20"/>
    <mergeCell ref="B19:B20"/>
    <mergeCell ref="C19:C20"/>
    <mergeCell ref="D19:D20"/>
    <mergeCell ref="E19:E20"/>
    <mergeCell ref="F19:F20"/>
    <mergeCell ref="M19:M20"/>
    <mergeCell ref="N19:N20"/>
    <mergeCell ref="O19:O20"/>
    <mergeCell ref="P19:P20"/>
    <mergeCell ref="S19:S20"/>
  </mergeCells>
  <conditionalFormatting sqref="Q36">
    <cfRule type="colorScale" priority="10">
      <colorScale>
        <cfvo type="min"/>
        <cfvo type="percentile" val="50"/>
        <cfvo type="max"/>
        <color rgb="FFF8696B"/>
        <color rgb="FFFFEB84"/>
        <color rgb="FF63BE7B"/>
      </colorScale>
    </cfRule>
  </conditionalFormatting>
  <conditionalFormatting sqref="R89:R90 R93:R95 R98:R101 R103:R106 R108:R112 R115:R118">
    <cfRule type="cellIs" dxfId="6" priority="5" operator="equal">
      <formula>MAX($R$89:$R$90,$R$93:$R$95,$R$98:$R$101,$R$103:$R$106,$R$108:$R$112,$R$115:$R$118)</formula>
    </cfRule>
  </conditionalFormatting>
  <conditionalFormatting sqref="T57:V57">
    <cfRule type="containsText" dxfId="5" priority="1" operator="containsText" text="AJUSTADO">
      <formula>NOT(ISERROR(SEARCH("AJUSTADO",T57)))</formula>
    </cfRule>
    <cfRule type="containsText" dxfId="4" priority="2" operator="containsText" text="AJUSTAR">
      <formula>NOT(ISERROR(SEARCH("AJUSTAR",T57)))</formula>
    </cfRule>
  </conditionalFormatting>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Vr.12 (2022-02-18)</oddFooter>
  </headerFooter>
  <rowBreaks count="1" manualBreakCount="1">
    <brk id="60" max="24" man="1"/>
  </rowBreaks>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200-000000000000}">
          <x14:formula1>
            <xm:f>'DATOS #'!$C$43:$C$48</xm:f>
          </x14:formula1>
          <xm:sqref>S13:S17</xm:sqref>
        </x14:dataValidation>
        <x14:dataValidation type="list" allowBlank="1" showInputMessage="1" showErrorMessage="1" xr:uid="{00000000-0002-0000-0200-000001000000}">
          <x14:formula1>
            <xm:f>'DATOS #'!$A$39:$A$40</xm:f>
          </x14:formula1>
          <xm:sqref>A43</xm:sqref>
        </x14:dataValidation>
        <x14:dataValidation type="list" allowBlank="1" showInputMessage="1" showErrorMessage="1" xr:uid="{00000000-0002-0000-0200-000002000000}">
          <x14:formula1>
            <xm:f>'DATOS #'!$C$37:$C$42</xm:f>
          </x14:formula1>
          <xm:sqref>S8:S12</xm:sqref>
        </x14:dataValidation>
        <x14:dataValidation type="list" allowBlank="1" showInputMessage="1" showErrorMessage="1" xr:uid="{00000000-0002-0000-0200-000003000000}">
          <x14:formula1>
            <xm:f>'DATOS #'!$A$45:$A$46</xm:f>
          </x14:formula1>
          <xm:sqref>O43</xm:sqref>
        </x14:dataValidation>
        <x14:dataValidation type="list" allowBlank="1" showInputMessage="1" showErrorMessage="1" xr:uid="{00000000-0002-0000-0200-000004000000}">
          <x14:formula1>
            <xm:f>'DATOS #'!$C$167:$C$168</xm:f>
          </x14:formula1>
          <xm:sqref>S21</xm:sqref>
        </x14:dataValidation>
        <x14:dataValidation type="list" allowBlank="1" showInputMessage="1" showErrorMessage="1" xr:uid="{00000000-0002-0000-0200-000005000000}">
          <x14:formula1>
            <xm:f>'DATOS #'!$C$173:$C$188</xm:f>
          </x14:formula1>
          <xm:sqref>S22</xm:sqref>
        </x14:dataValidation>
        <x14:dataValidation type="list" allowBlank="1" showInputMessage="1" showErrorMessage="1" xr:uid="{00000000-0002-0000-0200-000006000000}">
          <x14:formula1>
            <xm:f>'DATOS #'!$C$155:$C$161</xm:f>
          </x14:formula1>
          <xm:sqref>S19:S20</xm:sqref>
        </x14:dataValidation>
        <x14:dataValidation type="list" allowBlank="1" showInputMessage="1" showErrorMessage="1" xr:uid="{00000000-0002-0000-0200-000007000000}">
          <x14:formula1>
            <xm:f>'DATOS #'!$C$143:$C$148</xm:f>
          </x14:formula1>
          <xm:sqref>S18</xm:sqref>
        </x14:dataValidation>
        <x14:dataValidation type="list" allowBlank="1" showInputMessage="1" showErrorMessage="1" xr:uid="{00000000-0002-0000-0200-000008000000}">
          <x14:formula1>
            <xm:f>'DATOS #'!$B$131:$B$136</xm:f>
          </x14:formula1>
          <xm:sqref>Q36</xm:sqref>
        </x14:dataValidation>
        <x14:dataValidation type="list" allowBlank="1" showInputMessage="1" showErrorMessage="1" xr:uid="{00000000-0002-0000-0200-000009000000}">
          <x14:formula1>
            <xm:f>'DATOS #'!$C$30:$C$32</xm:f>
          </x14:formula1>
          <xm:sqref>S7</xm:sqref>
        </x14:dataValidation>
        <x14:dataValidation type="list" allowBlank="1" showInputMessage="1" showErrorMessage="1" xr:uid="{00000000-0002-0000-0200-00000A000000}">
          <x14:formula1>
            <xm:f>'DATOS #'!$B$24:$B$26</xm:f>
          </x14:formula1>
          <xm:sqref>A26</xm:sqref>
        </x14:dataValidation>
        <x14:dataValidation type="list" allowBlank="1" showInputMessage="1" showErrorMessage="1" xr:uid="{00000000-0002-0000-0200-00000B000000}">
          <x14:formula1>
            <xm:f>'DATOS #'!$D$7:$D$9</xm:f>
          </x14:formula1>
          <xm:sqref>S3</xm:sqref>
        </x14:dataValidation>
        <x14:dataValidation type="list" allowBlank="1" showInputMessage="1" showErrorMessage="1" xr:uid="{00000000-0002-0000-0200-00000C000000}">
          <x14:formula1>
            <xm:f>'DATOS #'!$B$14:$B$16</xm:f>
          </x14:formula1>
          <xm:sqref>H26</xm:sqref>
        </x14:dataValidation>
        <x14:dataValidation type="list" allowBlank="1" showInputMessage="1" showErrorMessage="1" xr:uid="{00000000-0002-0000-0200-00000D000000}">
          <x14:formula1>
            <xm:f>'DATOS #'!$P$9:$P$13</xm:f>
          </x14:formula1>
          <xm:sqref>H39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66CC"/>
  </sheetPr>
  <dimension ref="A1:AC61"/>
  <sheetViews>
    <sheetView showGridLines="0" view="pageBreakPreview" zoomScale="60" zoomScaleNormal="25" zoomScalePageLayoutView="10" workbookViewId="0">
      <selection activeCell="I179" sqref="I179"/>
    </sheetView>
  </sheetViews>
  <sheetFormatPr baseColWidth="10" defaultColWidth="15.7109375" defaultRowHeight="15" x14ac:dyDescent="0.2"/>
  <cols>
    <col min="1" max="4" width="15.7109375" style="5"/>
    <col min="5" max="5" width="16.85546875" style="5" customWidth="1"/>
    <col min="6" max="7" width="15.7109375" style="5"/>
    <col min="8" max="8" width="17" style="5" customWidth="1"/>
    <col min="9" max="10" width="15.85546875" style="5" bestFit="1" customWidth="1"/>
    <col min="11" max="11" width="16" style="5" bestFit="1" customWidth="1"/>
    <col min="12" max="16384" width="15.7109375" style="5"/>
  </cols>
  <sheetData>
    <row r="1" spans="1:29" s="20" customFormat="1" ht="75" customHeight="1" thickBot="1" x14ac:dyDescent="0.3">
      <c r="A1" s="1636"/>
      <c r="B1" s="1637"/>
      <c r="C1" s="1638"/>
      <c r="D1" s="1772" t="s">
        <v>247</v>
      </c>
      <c r="E1" s="1773"/>
      <c r="F1" s="1773"/>
      <c r="G1" s="1773"/>
      <c r="H1" s="1773"/>
      <c r="I1" s="1773"/>
      <c r="J1" s="1773"/>
      <c r="K1" s="1773"/>
      <c r="L1" s="1773"/>
      <c r="M1" s="1773"/>
      <c r="N1" s="1773"/>
      <c r="O1" s="1773"/>
      <c r="P1" s="1773"/>
      <c r="Q1" s="1773"/>
      <c r="R1" s="1773"/>
      <c r="S1" s="1773"/>
      <c r="T1" s="1773"/>
      <c r="U1" s="1773"/>
      <c r="V1" s="1773"/>
      <c r="W1" s="1774"/>
    </row>
    <row r="2" spans="1:29" s="23" customFormat="1" ht="5.0999999999999996" customHeight="1" thickBot="1" x14ac:dyDescent="0.3">
      <c r="A2" s="148"/>
      <c r="B2" s="148"/>
      <c r="C2" s="21"/>
      <c r="D2" s="22"/>
      <c r="E2" s="22"/>
      <c r="F2" s="22"/>
      <c r="G2" s="22"/>
      <c r="H2" s="22"/>
      <c r="I2" s="22"/>
      <c r="J2" s="22"/>
      <c r="K2" s="22"/>
      <c r="L2" s="22"/>
      <c r="M2" s="22"/>
      <c r="N2" s="22"/>
      <c r="O2" s="22"/>
      <c r="P2" s="22"/>
      <c r="Q2" s="22"/>
      <c r="R2" s="22"/>
    </row>
    <row r="3" spans="1:29" s="23" customFormat="1" ht="39.950000000000003" customHeight="1" thickBot="1" x14ac:dyDescent="0.3">
      <c r="A3" s="2" t="s">
        <v>44</v>
      </c>
      <c r="B3" s="15" t="e">
        <f>VLOOKUP(S3,'DATOS #'!D7:N19,2,FALSE)</f>
        <v>#N/A</v>
      </c>
      <c r="C3" s="3" t="s">
        <v>157</v>
      </c>
      <c r="D3" s="1795" t="e">
        <f>VLOOKUP(S3,'DATOS #'!D7:N19,3,FALSE)</f>
        <v>#N/A</v>
      </c>
      <c r="E3" s="1795"/>
      <c r="F3" s="4" t="s">
        <v>275</v>
      </c>
      <c r="G3" s="1796" t="e">
        <f>VLOOKUP(S3,'DATOS #'!D7:N19,7,FALSE)</f>
        <v>#N/A</v>
      </c>
      <c r="H3" s="1796"/>
      <c r="I3" s="4" t="s">
        <v>538</v>
      </c>
      <c r="J3" s="1796" t="e">
        <f>VLOOKUP(S3,'DATOS #'!D7:N19,4,FALSE)</f>
        <v>#N/A</v>
      </c>
      <c r="K3" s="1796"/>
      <c r="L3" s="4" t="s">
        <v>539</v>
      </c>
      <c r="M3" s="1775"/>
      <c r="N3" s="1776"/>
      <c r="O3" s="4" t="s">
        <v>159</v>
      </c>
      <c r="P3" s="1796" t="e">
        <f>VLOOKUP(S3,'DATOS #'!D7:N19,11,FALSE)</f>
        <v>#N/A</v>
      </c>
      <c r="Q3" s="1796"/>
      <c r="R3" s="1797"/>
      <c r="S3" s="14"/>
    </row>
    <row r="4" spans="1:29" s="21" customFormat="1" ht="9.9499999999999993" customHeight="1" x14ac:dyDescent="0.25">
      <c r="C4" s="151"/>
    </row>
    <row r="5" spans="1:29" ht="9.9499999999999993" customHeight="1" thickBot="1" x14ac:dyDescent="0.25">
      <c r="A5" s="24"/>
      <c r="H5" s="21"/>
      <c r="J5" s="21"/>
      <c r="P5" s="19"/>
      <c r="Q5" s="19"/>
      <c r="R5" s="19"/>
      <c r="S5" s="19"/>
      <c r="T5" s="19"/>
      <c r="U5" s="19"/>
      <c r="V5" s="19"/>
      <c r="X5" s="19"/>
      <c r="Y5" s="19"/>
      <c r="Z5" s="19"/>
      <c r="AA5" s="19"/>
      <c r="AB5" s="25"/>
      <c r="AC5" s="19"/>
    </row>
    <row r="6" spans="1:29" ht="39.950000000000003" customHeight="1" thickBot="1" x14ac:dyDescent="0.25">
      <c r="A6" s="1804" t="s">
        <v>660</v>
      </c>
      <c r="B6" s="1805"/>
      <c r="C6" s="1805"/>
      <c r="D6" s="1805"/>
      <c r="E6" s="1805"/>
      <c r="F6" s="1805"/>
      <c r="G6" s="1805"/>
      <c r="I6" s="1592" t="s">
        <v>66</v>
      </c>
      <c r="J6" s="1699"/>
      <c r="K6" s="1729"/>
      <c r="L6" s="1730"/>
      <c r="M6" s="1789" t="s">
        <v>537</v>
      </c>
      <c r="N6" s="1790"/>
      <c r="O6" s="1790"/>
      <c r="P6" s="1790"/>
      <c r="Q6" s="1791"/>
      <c r="R6" s="1798" t="s">
        <v>536</v>
      </c>
      <c r="S6" s="1799"/>
      <c r="T6" s="1799"/>
      <c r="U6" s="1799"/>
      <c r="V6" s="1799"/>
      <c r="W6" s="1800"/>
    </row>
    <row r="7" spans="1:29" ht="50.25" customHeight="1" thickBot="1" x14ac:dyDescent="0.25">
      <c r="A7" s="10" t="s">
        <v>149</v>
      </c>
      <c r="B7" s="26" t="s">
        <v>225</v>
      </c>
      <c r="C7" s="26" t="s">
        <v>226</v>
      </c>
      <c r="D7" s="16" t="s">
        <v>227</v>
      </c>
      <c r="E7" s="16" t="s">
        <v>445</v>
      </c>
      <c r="F7" s="26" t="s">
        <v>228</v>
      </c>
      <c r="G7" s="1052" t="s">
        <v>89</v>
      </c>
      <c r="I7" s="1704" t="s">
        <v>166</v>
      </c>
      <c r="J7" s="1677"/>
      <c r="K7" s="687" t="e">
        <f>VLOOKUP(L7,'DATOS #'!$P$9:$Q$13,2,FALSE)</f>
        <v>#N/A</v>
      </c>
      <c r="L7" s="688"/>
      <c r="M7" s="1792"/>
      <c r="N7" s="1793"/>
      <c r="O7" s="1793"/>
      <c r="P7" s="1793"/>
      <c r="Q7" s="1794"/>
      <c r="R7" s="1801"/>
      <c r="S7" s="1802"/>
      <c r="T7" s="1802"/>
      <c r="U7" s="1802"/>
      <c r="V7" s="1802"/>
      <c r="W7" s="1803"/>
    </row>
    <row r="8" spans="1:29" ht="39.950000000000003" customHeight="1" thickBot="1" x14ac:dyDescent="0.25">
      <c r="A8" s="1045" t="e">
        <f>'RT03-F11 #'!B19:B19</f>
        <v>#N/A</v>
      </c>
      <c r="B8" s="1046" t="e">
        <f>'RT03-F11 #'!Q20</f>
        <v>#N/A</v>
      </c>
      <c r="C8" s="1047" t="e">
        <f>'RT03-F11 #'!C19</f>
        <v>#N/A</v>
      </c>
      <c r="D8" s="1048" t="e">
        <f>'RT03-F11 #'!E19</f>
        <v>#N/A</v>
      </c>
      <c r="E8" s="1049" t="e">
        <f>'RT03-F11 #'!G19</f>
        <v>#N/A</v>
      </c>
      <c r="F8" s="1050" t="e">
        <f>'RT03-F11 #'!I19</f>
        <v>#N/A</v>
      </c>
      <c r="G8" s="1051" t="e">
        <f>'RT03-F11 #'!O19</f>
        <v>#N/A</v>
      </c>
      <c r="I8" s="1604" t="s">
        <v>67</v>
      </c>
      <c r="J8" s="1605"/>
      <c r="K8" s="1727"/>
      <c r="L8" s="1728"/>
      <c r="M8" s="29"/>
      <c r="N8" s="30"/>
      <c r="O8" s="30"/>
      <c r="P8" s="30"/>
      <c r="Q8" s="30"/>
      <c r="R8" s="1739" t="s">
        <v>342</v>
      </c>
      <c r="S8" s="1783" t="s">
        <v>221</v>
      </c>
      <c r="T8" s="1783" t="s">
        <v>343</v>
      </c>
      <c r="U8" s="1783" t="s">
        <v>344</v>
      </c>
      <c r="V8" s="1783" t="s">
        <v>222</v>
      </c>
      <c r="W8" s="1786" t="s">
        <v>223</v>
      </c>
    </row>
    <row r="9" spans="1:29" ht="39.950000000000003" customHeight="1" thickBot="1" x14ac:dyDescent="0.25">
      <c r="A9" s="24"/>
      <c r="D9" s="24"/>
      <c r="E9" s="139"/>
      <c r="F9" s="24"/>
      <c r="M9" s="31"/>
      <c r="N9" s="32"/>
      <c r="O9" s="32"/>
      <c r="P9" s="32"/>
      <c r="Q9" s="6"/>
      <c r="R9" s="1740"/>
      <c r="S9" s="1784"/>
      <c r="T9" s="1784"/>
      <c r="U9" s="1784"/>
      <c r="V9" s="1784"/>
      <c r="W9" s="1787"/>
    </row>
    <row r="10" spans="1:29" ht="39.950000000000003" customHeight="1" thickBot="1" x14ac:dyDescent="0.25">
      <c r="A10" s="24"/>
      <c r="B10" s="1748" t="s">
        <v>198</v>
      </c>
      <c r="C10" s="1749"/>
      <c r="D10" s="1749"/>
      <c r="E10" s="1750"/>
      <c r="F10" s="32"/>
      <c r="H10" s="1748" t="s">
        <v>224</v>
      </c>
      <c r="I10" s="1750"/>
      <c r="M10" s="31"/>
      <c r="N10" s="32"/>
      <c r="O10" s="32"/>
      <c r="P10" s="32"/>
      <c r="Q10" s="32"/>
      <c r="R10" s="1740"/>
      <c r="S10" s="1784"/>
      <c r="T10" s="1785"/>
      <c r="U10" s="1785"/>
      <c r="V10" s="1785"/>
      <c r="W10" s="1788"/>
    </row>
    <row r="11" spans="1:29" ht="39.950000000000003" customHeight="1" thickBot="1" x14ac:dyDescent="0.4">
      <c r="A11" s="24"/>
      <c r="B11" s="1744" t="s">
        <v>193</v>
      </c>
      <c r="C11" s="1745"/>
      <c r="D11" s="1746" t="s">
        <v>118</v>
      </c>
      <c r="E11" s="1747"/>
      <c r="F11" s="24"/>
      <c r="H11" s="33" t="s">
        <v>191</v>
      </c>
      <c r="I11" s="34" t="s">
        <v>4</v>
      </c>
      <c r="M11" s="35" t="s">
        <v>143</v>
      </c>
      <c r="N11" s="32"/>
      <c r="O11" s="32"/>
      <c r="P11" s="36" t="s">
        <v>119</v>
      </c>
      <c r="Q11" s="32"/>
      <c r="R11" s="1751" t="e">
        <f>B8</f>
        <v>#N/A</v>
      </c>
      <c r="S11" s="1737" t="e">
        <f>C8</f>
        <v>#N/A</v>
      </c>
      <c r="T11" s="104"/>
      <c r="U11" s="37" t="e">
        <f>M19</f>
        <v>#N/A</v>
      </c>
      <c r="V11" s="37" t="e">
        <f>($S$11-U11)</f>
        <v>#N/A</v>
      </c>
      <c r="W11" s="38" t="e">
        <f>V11/$D$12</f>
        <v>#N/A</v>
      </c>
    </row>
    <row r="12" spans="1:29" ht="39.950000000000003" customHeight="1" thickBot="1" x14ac:dyDescent="0.3">
      <c r="A12" s="24"/>
      <c r="B12" s="39" t="e">
        <f>VLOOKUP(F12,'DATOS #'!$Y$58:$AB$63,2,FALSE)</f>
        <v>#N/A</v>
      </c>
      <c r="C12" s="40"/>
      <c r="D12" s="41" t="e">
        <f>VLOOKUP(F12,'DATOS #'!$Y$58:$AA$62,3,FALSE)</f>
        <v>#N/A</v>
      </c>
      <c r="E12" s="42"/>
      <c r="F12" s="108"/>
      <c r="H12" s="1163" t="e">
        <f>B12</f>
        <v>#N/A</v>
      </c>
      <c r="I12" s="1106" t="e">
        <f>H12*I13</f>
        <v>#N/A</v>
      </c>
      <c r="M12" s="35" t="s">
        <v>120</v>
      </c>
      <c r="N12" s="36"/>
      <c r="O12" s="36" t="s">
        <v>119</v>
      </c>
      <c r="P12" s="36"/>
      <c r="Q12" s="32"/>
      <c r="R12" s="1751"/>
      <c r="S12" s="1737"/>
      <c r="T12" s="104"/>
      <c r="U12" s="37" t="e">
        <f>M20</f>
        <v>#N/A</v>
      </c>
      <c r="V12" s="37" t="e">
        <f>($S$11-U12)</f>
        <v>#N/A</v>
      </c>
      <c r="W12" s="38" t="e">
        <f>V12/$D$12</f>
        <v>#N/A</v>
      </c>
    </row>
    <row r="13" spans="1:29" ht="39.950000000000003" customHeight="1" thickBot="1" x14ac:dyDescent="0.4">
      <c r="A13" s="24"/>
      <c r="F13" s="32"/>
      <c r="H13" s="43" t="s">
        <v>194</v>
      </c>
      <c r="I13" s="1106">
        <v>16.387060000000002</v>
      </c>
      <c r="M13" s="44" t="s">
        <v>144</v>
      </c>
      <c r="N13" s="45" t="s">
        <v>119</v>
      </c>
      <c r="O13" s="46"/>
      <c r="P13" s="46"/>
      <c r="Q13" s="47" t="s">
        <v>121</v>
      </c>
      <c r="R13" s="1752"/>
      <c r="S13" s="1738"/>
      <c r="T13" s="105"/>
      <c r="U13" s="48" t="e">
        <f>M21</f>
        <v>#N/A</v>
      </c>
      <c r="V13" s="48" t="e">
        <f>($S$11-U13)</f>
        <v>#N/A</v>
      </c>
      <c r="W13" s="49" t="e">
        <f>V13/$D$12</f>
        <v>#N/A</v>
      </c>
    </row>
    <row r="14" spans="1:29" s="32" customFormat="1" ht="39.950000000000003" customHeight="1" thickBot="1" x14ac:dyDescent="0.4">
      <c r="M14" s="7"/>
      <c r="N14" s="50" t="s">
        <v>187</v>
      </c>
      <c r="O14" s="50" t="s">
        <v>121</v>
      </c>
      <c r="P14" s="50" t="s">
        <v>188</v>
      </c>
      <c r="Q14" s="8"/>
      <c r="U14" s="51" t="s">
        <v>197</v>
      </c>
      <c r="V14" s="52" t="e">
        <f>AVERAGE(V11:V13)</f>
        <v>#N/A</v>
      </c>
      <c r="W14" s="53" t="e">
        <f>AVERAGE(W11:W13)</f>
        <v>#N/A</v>
      </c>
    </row>
    <row r="15" spans="1:29" ht="39.950000000000003" customHeight="1" thickBot="1" x14ac:dyDescent="0.25">
      <c r="A15" s="24"/>
      <c r="D15" s="24"/>
      <c r="E15" s="24"/>
      <c r="F15" s="24"/>
      <c r="S15" s="24"/>
      <c r="T15" s="24"/>
      <c r="U15" s="54"/>
      <c r="V15" s="48" t="e">
        <f>STDEVA(V11:V13)</f>
        <v>#N/A</v>
      </c>
      <c r="W15" s="55" t="e">
        <f>_xlfn.STDEV.S(W11:W13)</f>
        <v>#N/A</v>
      </c>
    </row>
    <row r="16" spans="1:29" ht="39.950000000000003" customHeight="1" thickBot="1" x14ac:dyDescent="0.25">
      <c r="A16" s="24"/>
      <c r="U16" s="56"/>
      <c r="V16" s="48" t="e">
        <f>V15/SQRT(3)</f>
        <v>#N/A</v>
      </c>
      <c r="W16" s="57" t="e">
        <f>W15/SQRT(3)</f>
        <v>#N/A</v>
      </c>
    </row>
    <row r="17" spans="1:29" ht="49.5" customHeight="1" thickBot="1" x14ac:dyDescent="0.25">
      <c r="A17" s="24"/>
      <c r="B17" s="1764" t="s">
        <v>290</v>
      </c>
      <c r="C17" s="1765"/>
      <c r="D17" s="1765"/>
      <c r="E17" s="1765"/>
      <c r="F17" s="1766"/>
      <c r="G17" s="1769" t="s">
        <v>661</v>
      </c>
      <c r="H17" s="1770"/>
      <c r="I17" s="1770"/>
      <c r="J17" s="1770"/>
      <c r="K17" s="1771"/>
      <c r="T17" s="24"/>
      <c r="U17" s="24"/>
      <c r="V17" s="24"/>
      <c r="AC17" s="58"/>
    </row>
    <row r="18" spans="1:29" ht="39.950000000000003" customHeight="1" thickBot="1" x14ac:dyDescent="0.25">
      <c r="A18" s="24"/>
      <c r="B18" s="59" t="s">
        <v>58</v>
      </c>
      <c r="C18" s="60" t="s">
        <v>128</v>
      </c>
      <c r="D18" s="60" t="s">
        <v>129</v>
      </c>
      <c r="E18" s="60" t="s">
        <v>130</v>
      </c>
      <c r="F18" s="115" t="s">
        <v>131</v>
      </c>
      <c r="G18" s="146" t="s">
        <v>53</v>
      </c>
      <c r="H18" s="81" t="s">
        <v>40</v>
      </c>
      <c r="I18" s="81" t="s">
        <v>41</v>
      </c>
      <c r="J18" s="81" t="s">
        <v>189</v>
      </c>
      <c r="K18" s="132" t="s">
        <v>59</v>
      </c>
      <c r="L18" s="149" t="s">
        <v>220</v>
      </c>
      <c r="M18" s="81" t="s">
        <v>122</v>
      </c>
      <c r="N18" s="133" t="s">
        <v>123</v>
      </c>
      <c r="O18" s="61" t="e">
        <f>(O21-O20)/(N21-N20)</f>
        <v>#N/A</v>
      </c>
      <c r="P18" s="32"/>
      <c r="Q18" s="62"/>
      <c r="R18" s="46"/>
      <c r="V18" s="134"/>
      <c r="W18" s="135" t="e">
        <f>AVERAGE(T11:T13)</f>
        <v>#DIV/0!</v>
      </c>
      <c r="AC18" s="58"/>
    </row>
    <row r="19" spans="1:29" s="32" customFormat="1" ht="49.5" customHeight="1" x14ac:dyDescent="0.2">
      <c r="B19" s="63" t="s">
        <v>345</v>
      </c>
      <c r="C19" s="106"/>
      <c r="D19" s="106"/>
      <c r="E19" s="106"/>
      <c r="F19" s="116" t="e">
        <f>AVERAGE(C19:E19)</f>
        <v>#DIV/0!</v>
      </c>
      <c r="G19" s="129" t="s">
        <v>65</v>
      </c>
      <c r="H19" s="141">
        <v>3.7854100000000002</v>
      </c>
      <c r="I19" s="141">
        <f>(H19/H21)*1000</f>
        <v>3785.4100000000003</v>
      </c>
      <c r="J19" s="141">
        <f>(I19*I22)/I20</f>
        <v>230.99994751956731</v>
      </c>
      <c r="K19" s="142">
        <v>5</v>
      </c>
      <c r="L19" s="130">
        <f>T11</f>
        <v>0</v>
      </c>
      <c r="M19" s="131" t="e">
        <f>($O$21+$O$18*(L19-$N$21))</f>
        <v>#N/A</v>
      </c>
      <c r="N19" s="140" t="s">
        <v>124</v>
      </c>
      <c r="O19" s="140" t="s">
        <v>125</v>
      </c>
      <c r="P19" s="123" t="s">
        <v>126</v>
      </c>
      <c r="Q19" s="1758" t="s">
        <v>127</v>
      </c>
      <c r="R19" s="1758"/>
      <c r="S19" s="1759"/>
      <c r="V19" s="136"/>
      <c r="W19" s="137" t="e">
        <f>(I12/D12)/SQRT(3)</f>
        <v>#N/A</v>
      </c>
    </row>
    <row r="20" spans="1:29" s="32" customFormat="1" ht="39.950000000000003" customHeight="1" thickBot="1" x14ac:dyDescent="0.25">
      <c r="B20" s="43" t="s">
        <v>132</v>
      </c>
      <c r="C20" s="120"/>
      <c r="D20" s="107"/>
      <c r="E20" s="107"/>
      <c r="F20" s="117" t="e">
        <f>AVERAGE(C20:E20)</f>
        <v>#DIV/0!</v>
      </c>
      <c r="G20" s="64" t="s">
        <v>189</v>
      </c>
      <c r="H20" s="114">
        <v>1.6387059999999998E-2</v>
      </c>
      <c r="I20" s="114">
        <f>(H20/H21)*I21</f>
        <v>16.387059999999998</v>
      </c>
      <c r="J20" s="114">
        <v>1</v>
      </c>
      <c r="K20" s="143">
        <f>J19*K19</f>
        <v>1154.9997375978367</v>
      </c>
      <c r="L20" s="124">
        <f>T12</f>
        <v>0</v>
      </c>
      <c r="M20" s="37" t="e">
        <f>($O$21+$O$18*(L20-$N$21))</f>
        <v>#N/A</v>
      </c>
      <c r="N20" s="122" t="e">
        <f>'RT03-F11 #'!Q19</f>
        <v>#N/A</v>
      </c>
      <c r="O20" s="122" t="e">
        <f>'RT03-F11 #'!R19</f>
        <v>#N/A</v>
      </c>
      <c r="P20" s="125" t="e">
        <f>(O20-N20)</f>
        <v>#N/A</v>
      </c>
      <c r="Q20" s="1760"/>
      <c r="R20" s="1760"/>
      <c r="S20" s="1761"/>
      <c r="V20" s="138"/>
      <c r="W20" s="57" t="e">
        <f>(I12/D12)/SQRT(3)</f>
        <v>#N/A</v>
      </c>
    </row>
    <row r="21" spans="1:29" s="32" customFormat="1" ht="49.5" customHeight="1" thickBot="1" x14ac:dyDescent="0.25">
      <c r="B21" s="66" t="s">
        <v>346</v>
      </c>
      <c r="C21" s="67" t="e">
        <f>F19-F20</f>
        <v>#DIV/0!</v>
      </c>
      <c r="D21" s="68"/>
      <c r="E21" s="69"/>
      <c r="F21" s="69"/>
      <c r="G21" s="64" t="s">
        <v>133</v>
      </c>
      <c r="H21" s="114">
        <v>1</v>
      </c>
      <c r="I21" s="114">
        <v>1000</v>
      </c>
      <c r="J21" s="114">
        <f>H20</f>
        <v>1.6387059999999998E-2</v>
      </c>
      <c r="K21" s="143">
        <f>K19*H19</f>
        <v>18.927050000000001</v>
      </c>
      <c r="L21" s="126">
        <f>T13</f>
        <v>0</v>
      </c>
      <c r="M21" s="48" t="e">
        <f>($O$21+$O$18*(L21-$N$21))</f>
        <v>#N/A</v>
      </c>
      <c r="N21" s="127" t="e">
        <f>'RT03-F11 #'!Q20</f>
        <v>#N/A</v>
      </c>
      <c r="O21" s="127" t="e">
        <f>'RT03-F11 #'!R20</f>
        <v>#N/A</v>
      </c>
      <c r="P21" s="128" t="e">
        <f>(O21-N21)</f>
        <v>#N/A</v>
      </c>
      <c r="Q21" s="1762" t="e">
        <f>ABS(P21-P20)/12^0.5</f>
        <v>#N/A</v>
      </c>
      <c r="R21" s="1762"/>
      <c r="S21" s="1763"/>
    </row>
    <row r="22" spans="1:29" s="32" customFormat="1" ht="39.950000000000003" customHeight="1" thickBot="1" x14ac:dyDescent="0.25">
      <c r="B22" s="70" t="s">
        <v>190</v>
      </c>
      <c r="C22" s="71" t="e">
        <f>I13*((F19-F20)/((SQRT(12)*F19)))</f>
        <v>#DIV/0!</v>
      </c>
      <c r="D22" s="72"/>
      <c r="E22" s="73"/>
      <c r="F22" s="73"/>
      <c r="G22" s="65" t="s">
        <v>134</v>
      </c>
      <c r="H22" s="144">
        <v>1E-3</v>
      </c>
      <c r="I22" s="144">
        <v>1</v>
      </c>
      <c r="J22" s="144">
        <f>I20</f>
        <v>16.387059999999998</v>
      </c>
      <c r="K22" s="145">
        <f>K19*I19</f>
        <v>18927.050000000003</v>
      </c>
    </row>
    <row r="23" spans="1:29" s="32" customFormat="1" ht="39.950000000000003" customHeight="1" thickBot="1" x14ac:dyDescent="0.25">
      <c r="B23" s="74"/>
      <c r="D23" s="22"/>
      <c r="E23" s="22"/>
      <c r="F23" s="75"/>
    </row>
    <row r="24" spans="1:29" s="32" customFormat="1" ht="39.950000000000003" customHeight="1" thickBot="1" x14ac:dyDescent="0.25">
      <c r="B24" s="1748" t="s">
        <v>82</v>
      </c>
      <c r="C24" s="1749"/>
      <c r="D24" s="1749"/>
      <c r="E24" s="1749"/>
      <c r="F24" s="1749"/>
      <c r="G24" s="1749"/>
      <c r="H24" s="1749"/>
      <c r="I24" s="1749"/>
      <c r="J24" s="1749"/>
      <c r="K24" s="1749"/>
      <c r="L24" s="1750"/>
    </row>
    <row r="25" spans="1:29" s="20" customFormat="1" ht="39.950000000000003" customHeight="1" thickBot="1" x14ac:dyDescent="0.3">
      <c r="A25" s="23"/>
      <c r="B25" s="185"/>
      <c r="C25" s="186"/>
      <c r="D25" s="186"/>
      <c r="E25" s="186"/>
      <c r="F25" s="186"/>
      <c r="G25" s="186"/>
      <c r="H25" s="186"/>
      <c r="I25" s="186"/>
      <c r="J25" s="186"/>
      <c r="K25" s="187" t="s">
        <v>83</v>
      </c>
      <c r="L25" s="188" t="s">
        <v>53</v>
      </c>
    </row>
    <row r="26" spans="1:29" s="21" customFormat="1" ht="39.950000000000003" customHeight="1" thickBot="1" x14ac:dyDescent="0.3">
      <c r="B26" s="196" t="s">
        <v>135</v>
      </c>
      <c r="C26" s="197"/>
      <c r="D26" s="197"/>
      <c r="E26" s="197"/>
      <c r="F26" s="197"/>
      <c r="G26" s="198"/>
      <c r="H26" s="198"/>
      <c r="I26" s="198"/>
      <c r="J26" s="199"/>
      <c r="K26" s="194" t="e">
        <f>1/(D12)</f>
        <v>#N/A</v>
      </c>
      <c r="L26" s="195" t="s">
        <v>4</v>
      </c>
    </row>
    <row r="27" spans="1:29" s="20" customFormat="1" ht="5.0999999999999996" customHeight="1" thickBot="1" x14ac:dyDescent="0.3">
      <c r="A27" s="21"/>
      <c r="B27" s="78"/>
      <c r="C27" s="79"/>
      <c r="D27" s="79"/>
      <c r="E27" s="79"/>
      <c r="F27" s="79"/>
      <c r="G27" s="21"/>
      <c r="H27" s="21"/>
      <c r="I27" s="21"/>
      <c r="J27" s="21"/>
      <c r="K27" s="189"/>
      <c r="L27" s="192"/>
    </row>
    <row r="28" spans="1:29" s="21" customFormat="1" ht="39.950000000000003" customHeight="1" thickBot="1" x14ac:dyDescent="0.3">
      <c r="B28" s="196" t="s">
        <v>136</v>
      </c>
      <c r="C28" s="197"/>
      <c r="D28" s="197"/>
      <c r="E28" s="197"/>
      <c r="F28" s="197"/>
      <c r="G28" s="198"/>
      <c r="H28" s="198"/>
      <c r="I28" s="198"/>
      <c r="J28" s="199"/>
      <c r="K28" s="194" t="e">
        <f>-1/(D12)</f>
        <v>#N/A</v>
      </c>
      <c r="L28" s="195" t="s">
        <v>4</v>
      </c>
    </row>
    <row r="29" spans="1:29" s="20" customFormat="1" ht="5.0999999999999996" customHeight="1" thickBot="1" x14ac:dyDescent="0.3">
      <c r="A29" s="21"/>
      <c r="B29" s="78"/>
      <c r="C29" s="79"/>
      <c r="D29" s="79"/>
      <c r="E29" s="79"/>
      <c r="F29" s="79"/>
      <c r="G29" s="21"/>
      <c r="H29" s="21"/>
      <c r="I29" s="21"/>
      <c r="J29" s="21"/>
      <c r="K29" s="189"/>
      <c r="L29" s="193"/>
    </row>
    <row r="30" spans="1:29" s="21" customFormat="1" ht="39.950000000000003" customHeight="1" thickBot="1" x14ac:dyDescent="0.3">
      <c r="B30" s="196" t="s">
        <v>136</v>
      </c>
      <c r="C30" s="197"/>
      <c r="D30" s="197"/>
      <c r="E30" s="197"/>
      <c r="F30" s="197"/>
      <c r="G30" s="198"/>
      <c r="H30" s="198"/>
      <c r="I30" s="198"/>
      <c r="J30" s="199"/>
      <c r="K30" s="194" t="e">
        <f>1/(D12)</f>
        <v>#N/A</v>
      </c>
      <c r="L30" s="195" t="s">
        <v>4</v>
      </c>
    </row>
    <row r="31" spans="1:29" s="20" customFormat="1" ht="5.0999999999999996" customHeight="1" thickBot="1" x14ac:dyDescent="0.3">
      <c r="A31" s="21"/>
      <c r="B31" s="80"/>
      <c r="C31" s="79"/>
      <c r="D31" s="79"/>
      <c r="E31" s="79"/>
      <c r="F31" s="79"/>
      <c r="G31" s="21"/>
      <c r="H31" s="21"/>
      <c r="I31" s="21"/>
      <c r="J31" s="21"/>
      <c r="K31" s="190"/>
      <c r="L31" s="193"/>
      <c r="M31" s="148"/>
      <c r="N31" s="21"/>
      <c r="O31" s="21"/>
      <c r="P31" s="21"/>
      <c r="Q31" s="21"/>
      <c r="R31" s="23"/>
    </row>
    <row r="32" spans="1:29" s="21" customFormat="1" ht="39.950000000000003" customHeight="1" thickBot="1" x14ac:dyDescent="0.3">
      <c r="B32" s="196" t="s">
        <v>136</v>
      </c>
      <c r="C32" s="197"/>
      <c r="D32" s="197"/>
      <c r="E32" s="197"/>
      <c r="F32" s="197"/>
      <c r="G32" s="198"/>
      <c r="H32" s="198"/>
      <c r="I32" s="198"/>
      <c r="J32" s="199"/>
      <c r="K32" s="194" t="e">
        <f>K30</f>
        <v>#N/A</v>
      </c>
      <c r="L32" s="195" t="s">
        <v>4</v>
      </c>
    </row>
    <row r="33" spans="1:18" s="20" customFormat="1" ht="5.0999999999999996" customHeight="1" thickBot="1" x14ac:dyDescent="0.3">
      <c r="A33" s="21"/>
      <c r="B33" s="78"/>
      <c r="C33" s="79"/>
      <c r="D33" s="79"/>
      <c r="E33" s="79"/>
      <c r="F33" s="79"/>
      <c r="G33" s="21"/>
      <c r="H33" s="21"/>
      <c r="I33" s="21"/>
      <c r="J33" s="21"/>
      <c r="K33" s="190"/>
      <c r="L33" s="193"/>
      <c r="M33" s="148"/>
      <c r="N33" s="21"/>
      <c r="O33" s="21"/>
      <c r="P33" s="21"/>
      <c r="Q33" s="21"/>
      <c r="R33" s="23"/>
    </row>
    <row r="34" spans="1:18" s="21" customFormat="1" ht="39.950000000000003" customHeight="1" thickBot="1" x14ac:dyDescent="0.3">
      <c r="B34" s="196" t="s">
        <v>136</v>
      </c>
      <c r="C34" s="197"/>
      <c r="D34" s="197"/>
      <c r="E34" s="197"/>
      <c r="F34" s="197"/>
      <c r="G34" s="198"/>
      <c r="H34" s="198"/>
      <c r="I34" s="198"/>
      <c r="J34" s="199"/>
      <c r="K34" s="194">
        <v>1</v>
      </c>
      <c r="L34" s="195" t="s">
        <v>4</v>
      </c>
    </row>
    <row r="35" spans="1:18" s="20" customFormat="1" ht="5.0999999999999996" customHeight="1" thickBot="1" x14ac:dyDescent="0.3">
      <c r="A35" s="21"/>
      <c r="B35" s="76"/>
      <c r="C35" s="21"/>
      <c r="D35" s="21"/>
      <c r="E35" s="21"/>
      <c r="F35" s="21"/>
      <c r="G35" s="21"/>
      <c r="H35" s="21"/>
      <c r="I35" s="21"/>
      <c r="J35" s="21"/>
      <c r="K35" s="191"/>
      <c r="L35" s="173"/>
      <c r="M35" s="148"/>
      <c r="N35" s="21"/>
      <c r="O35" s="21"/>
      <c r="P35" s="21"/>
      <c r="Q35" s="21"/>
      <c r="R35" s="23"/>
    </row>
    <row r="36" spans="1:18" s="21" customFormat="1" ht="39.950000000000003" customHeight="1" thickBot="1" x14ac:dyDescent="0.3">
      <c r="B36" s="196" t="s">
        <v>136</v>
      </c>
      <c r="C36" s="197"/>
      <c r="D36" s="197"/>
      <c r="E36" s="197"/>
      <c r="F36" s="197"/>
      <c r="G36" s="198"/>
      <c r="H36" s="198"/>
      <c r="I36" s="198"/>
      <c r="J36" s="199"/>
      <c r="K36" s="194">
        <v>1</v>
      </c>
      <c r="L36" s="195" t="s">
        <v>4</v>
      </c>
    </row>
    <row r="37" spans="1:18" s="23" customFormat="1" ht="39.950000000000003" customHeight="1" x14ac:dyDescent="0.25">
      <c r="A37" s="21"/>
      <c r="M37" s="148"/>
    </row>
    <row r="38" spans="1:18" s="21" customFormat="1" ht="39.950000000000003" customHeight="1" thickBot="1" x14ac:dyDescent="0.3">
      <c r="R38" s="77"/>
    </row>
    <row r="39" spans="1:18" s="20" customFormat="1" ht="39.950000000000003" customHeight="1" thickBot="1" x14ac:dyDescent="0.3">
      <c r="B39" s="1748" t="s">
        <v>662</v>
      </c>
      <c r="C39" s="1749"/>
      <c r="D39" s="1749"/>
      <c r="E39" s="1749"/>
      <c r="F39" s="1749"/>
      <c r="G39" s="1749"/>
      <c r="H39" s="1749"/>
      <c r="I39" s="1749"/>
      <c r="J39" s="1749"/>
      <c r="K39" s="1749"/>
      <c r="L39" s="1749"/>
      <c r="M39" s="1749"/>
      <c r="N39" s="1749"/>
      <c r="O39" s="1749"/>
      <c r="P39" s="1749"/>
      <c r="Q39" s="1750"/>
    </row>
    <row r="40" spans="1:18" s="20" customFormat="1" ht="48" customHeight="1" thickBot="1" x14ac:dyDescent="0.3">
      <c r="A40" s="23"/>
      <c r="B40" s="1604" t="s">
        <v>199</v>
      </c>
      <c r="C40" s="1757"/>
      <c r="D40" s="81" t="s">
        <v>200</v>
      </c>
      <c r="E40" s="81" t="s">
        <v>201</v>
      </c>
      <c r="F40" s="81" t="s">
        <v>53</v>
      </c>
      <c r="G40" s="81" t="s">
        <v>89</v>
      </c>
      <c r="H40" s="81" t="s">
        <v>330</v>
      </c>
      <c r="I40" s="81"/>
      <c r="J40" s="81" t="s">
        <v>331</v>
      </c>
      <c r="K40" s="81"/>
      <c r="L40" s="147" t="s">
        <v>202</v>
      </c>
      <c r="M40" s="81" t="s">
        <v>53</v>
      </c>
      <c r="N40" s="147" t="s">
        <v>137</v>
      </c>
      <c r="O40" s="81" t="s">
        <v>93</v>
      </c>
      <c r="P40" s="81" t="s">
        <v>203</v>
      </c>
      <c r="Q40" s="82" t="s">
        <v>332</v>
      </c>
    </row>
    <row r="41" spans="1:18" s="21" customFormat="1" ht="39.950000000000003" customHeight="1" thickBot="1" x14ac:dyDescent="0.3">
      <c r="B41" s="83"/>
      <c r="C41" s="22"/>
      <c r="D41" s="22"/>
      <c r="E41" s="22"/>
      <c r="F41" s="22"/>
    </row>
    <row r="42" spans="1:18" s="20" customFormat="1" ht="39.950000000000003" customHeight="1" thickBot="1" x14ac:dyDescent="0.3">
      <c r="A42" s="1777"/>
      <c r="B42" s="1782" t="s">
        <v>333</v>
      </c>
      <c r="C42" s="1759"/>
      <c r="D42" s="207" t="e">
        <f>V14</f>
        <v>#N/A</v>
      </c>
      <c r="E42" s="1094"/>
      <c r="F42" s="1095" t="s">
        <v>4</v>
      </c>
      <c r="G42" s="23"/>
      <c r="H42" s="23"/>
      <c r="I42" s="23"/>
      <c r="J42" s="23"/>
      <c r="K42" s="23"/>
      <c r="L42" s="23"/>
      <c r="M42" s="23"/>
      <c r="N42" s="23"/>
      <c r="O42" s="23"/>
      <c r="P42" s="23"/>
      <c r="Q42" s="23"/>
      <c r="R42" s="23"/>
    </row>
    <row r="43" spans="1:18" s="20" customFormat="1" ht="39.950000000000003" customHeight="1" x14ac:dyDescent="0.25">
      <c r="A43" s="1777"/>
      <c r="B43" s="1780" t="s">
        <v>334</v>
      </c>
      <c r="C43" s="1781"/>
      <c r="D43" s="1096" t="e">
        <f>S11</f>
        <v>#N/A</v>
      </c>
      <c r="E43" s="1097" t="e">
        <f>F8</f>
        <v>#N/A</v>
      </c>
      <c r="F43" s="161" t="s">
        <v>4</v>
      </c>
      <c r="G43" s="1098" t="e">
        <f>G8</f>
        <v>#N/A</v>
      </c>
      <c r="H43" s="1099" t="e">
        <f>E43/G43</f>
        <v>#N/A</v>
      </c>
      <c r="I43" s="161" t="str">
        <f>F42</f>
        <v>mL</v>
      </c>
      <c r="J43" s="169">
        <v>0.05</v>
      </c>
      <c r="K43" s="161" t="s">
        <v>4</v>
      </c>
      <c r="L43" s="1099" t="e">
        <f>J43*H43</f>
        <v>#N/A</v>
      </c>
      <c r="M43" s="161" t="s">
        <v>4</v>
      </c>
      <c r="N43" s="171" t="e">
        <f t="shared" ref="N43:N48" si="0">L43^2</f>
        <v>#N/A</v>
      </c>
      <c r="O43" s="110" t="s">
        <v>17</v>
      </c>
      <c r="P43" s="110" t="s">
        <v>98</v>
      </c>
      <c r="Q43" s="172">
        <v>50</v>
      </c>
      <c r="R43" s="23"/>
    </row>
    <row r="44" spans="1:18" s="20" customFormat="1" ht="39.950000000000003" customHeight="1" x14ac:dyDescent="0.25">
      <c r="A44" s="1777"/>
      <c r="B44" s="1778" t="s">
        <v>335</v>
      </c>
      <c r="C44" s="1779"/>
      <c r="D44" s="208" t="e">
        <f>W18</f>
        <v>#DIV/0!</v>
      </c>
      <c r="E44" s="86" t="e">
        <f>D8</f>
        <v>#N/A</v>
      </c>
      <c r="F44" s="84" t="s">
        <v>4</v>
      </c>
      <c r="G44" s="85">
        <f>SQRT(3)</f>
        <v>1.7320508075688772</v>
      </c>
      <c r="H44" s="90" t="e">
        <f>SQRT((H43)^2+(Q21)^2)</f>
        <v>#N/A</v>
      </c>
      <c r="I44" s="84" t="str">
        <f>F43</f>
        <v>mL</v>
      </c>
      <c r="J44" s="88" t="e">
        <f>K28</f>
        <v>#N/A</v>
      </c>
      <c r="K44" s="84" t="s">
        <v>4</v>
      </c>
      <c r="L44" s="87" t="e">
        <f>J44*H44</f>
        <v>#N/A</v>
      </c>
      <c r="M44" s="84" t="s">
        <v>4</v>
      </c>
      <c r="N44" s="91" t="e">
        <f t="shared" si="0"/>
        <v>#N/A</v>
      </c>
      <c r="O44" s="85" t="s">
        <v>17</v>
      </c>
      <c r="P44" s="85" t="s">
        <v>5</v>
      </c>
      <c r="Q44" s="89">
        <v>50</v>
      </c>
      <c r="R44" s="23"/>
    </row>
    <row r="45" spans="1:18" s="20" customFormat="1" ht="39.950000000000003" customHeight="1" thickBot="1" x14ac:dyDescent="0.3">
      <c r="A45" s="21"/>
      <c r="B45" s="1753" t="s">
        <v>336</v>
      </c>
      <c r="C45" s="1754"/>
      <c r="D45" s="93"/>
      <c r="E45" s="94" t="e">
        <f>I12/D12</f>
        <v>#N/A</v>
      </c>
      <c r="F45" s="95" t="s">
        <v>4</v>
      </c>
      <c r="G45" s="94">
        <f>SQRT(3)</f>
        <v>1.7320508075688772</v>
      </c>
      <c r="H45" s="96" t="e">
        <f>E45/G45</f>
        <v>#N/A</v>
      </c>
      <c r="I45" s="95" t="str">
        <f>F44</f>
        <v>mL</v>
      </c>
      <c r="J45" s="96">
        <f>J43</f>
        <v>0.05</v>
      </c>
      <c r="K45" s="95" t="s">
        <v>4</v>
      </c>
      <c r="L45" s="98" t="e">
        <f>J45*H45</f>
        <v>#N/A</v>
      </c>
      <c r="M45" s="95" t="s">
        <v>4</v>
      </c>
      <c r="N45" s="98" t="e">
        <f t="shared" si="0"/>
        <v>#N/A</v>
      </c>
      <c r="O45" s="94" t="s">
        <v>138</v>
      </c>
      <c r="P45" s="94" t="s">
        <v>5</v>
      </c>
      <c r="Q45" s="99" t="s">
        <v>11</v>
      </c>
      <c r="R45" s="23"/>
    </row>
    <row r="46" spans="1:18" s="21" customFormat="1" ht="39.950000000000003" customHeight="1" x14ac:dyDescent="0.25">
      <c r="B46" s="1767" t="s">
        <v>337</v>
      </c>
      <c r="C46" s="1768"/>
      <c r="D46" s="202"/>
      <c r="E46" s="110" t="e">
        <f>I12/D12</f>
        <v>#N/A</v>
      </c>
      <c r="F46" s="161" t="s">
        <v>4</v>
      </c>
      <c r="G46" s="110">
        <f>SQRT(3)</f>
        <v>1.7320508075688772</v>
      </c>
      <c r="H46" s="169" t="e">
        <f>E46/G46</f>
        <v>#N/A</v>
      </c>
      <c r="I46" s="161" t="str">
        <f>$I$45</f>
        <v>mL</v>
      </c>
      <c r="J46" s="170">
        <f>J43</f>
        <v>0.05</v>
      </c>
      <c r="K46" s="161" t="s">
        <v>4</v>
      </c>
      <c r="L46" s="171" t="e">
        <f>H46*J46</f>
        <v>#N/A</v>
      </c>
      <c r="M46" s="161" t="s">
        <v>4</v>
      </c>
      <c r="N46" s="171" t="e">
        <f t="shared" si="0"/>
        <v>#N/A</v>
      </c>
      <c r="O46" s="110" t="s">
        <v>138</v>
      </c>
      <c r="P46" s="110" t="s">
        <v>5</v>
      </c>
      <c r="Q46" s="172" t="s">
        <v>11</v>
      </c>
    </row>
    <row r="47" spans="1:18" s="20" customFormat="1" ht="39.950000000000003" customHeight="1" thickBot="1" x14ac:dyDescent="0.3">
      <c r="A47" s="21"/>
      <c r="B47" s="1753" t="s">
        <v>139</v>
      </c>
      <c r="C47" s="1754"/>
      <c r="D47" s="93"/>
      <c r="E47" s="96" t="e">
        <f>I12*((C21)/(2*F19))</f>
        <v>#N/A</v>
      </c>
      <c r="F47" s="95" t="s">
        <v>4</v>
      </c>
      <c r="G47" s="94">
        <f>SQRT(12)</f>
        <v>3.4641016151377544</v>
      </c>
      <c r="H47" s="96" t="e">
        <f>E47/G47</f>
        <v>#N/A</v>
      </c>
      <c r="I47" s="95" t="str">
        <f>$I$45</f>
        <v>mL</v>
      </c>
      <c r="J47" s="97">
        <v>1</v>
      </c>
      <c r="K47" s="95" t="s">
        <v>4</v>
      </c>
      <c r="L47" s="98" t="e">
        <f>H47*J47</f>
        <v>#N/A</v>
      </c>
      <c r="M47" s="95" t="s">
        <v>4</v>
      </c>
      <c r="N47" s="98" t="e">
        <f t="shared" si="0"/>
        <v>#N/A</v>
      </c>
      <c r="O47" s="94"/>
      <c r="P47" s="94" t="s">
        <v>5</v>
      </c>
      <c r="Q47" s="99" t="s">
        <v>11</v>
      </c>
      <c r="R47" s="23"/>
    </row>
    <row r="48" spans="1:18" s="20" customFormat="1" ht="39.950000000000003" customHeight="1" thickBot="1" x14ac:dyDescent="0.3">
      <c r="A48" s="21"/>
      <c r="B48" s="1755" t="s">
        <v>338</v>
      </c>
      <c r="C48" s="1756"/>
      <c r="D48" s="162"/>
      <c r="E48" s="163"/>
      <c r="F48" s="95"/>
      <c r="G48" s="163"/>
      <c r="H48" s="165" t="e">
        <f>W16</f>
        <v>#N/A</v>
      </c>
      <c r="I48" s="164" t="str">
        <f>$I$45</f>
        <v>mL</v>
      </c>
      <c r="J48" s="166">
        <v>1</v>
      </c>
      <c r="K48" s="164" t="s">
        <v>4</v>
      </c>
      <c r="L48" s="167" t="e">
        <f>H48*J48</f>
        <v>#N/A</v>
      </c>
      <c r="M48" s="164" t="s">
        <v>4</v>
      </c>
      <c r="N48" s="167" t="e">
        <f t="shared" si="0"/>
        <v>#N/A</v>
      </c>
      <c r="O48" s="163"/>
      <c r="P48" s="163" t="s">
        <v>5</v>
      </c>
      <c r="Q48" s="168">
        <v>2</v>
      </c>
      <c r="R48" s="23"/>
    </row>
    <row r="49" spans="1:18" s="20" customFormat="1" ht="39.950000000000003" customHeight="1" thickBot="1" x14ac:dyDescent="0.3">
      <c r="A49" s="21"/>
      <c r="R49" s="23"/>
    </row>
    <row r="50" spans="1:18" s="32" customFormat="1" ht="39.950000000000003" customHeight="1" thickBot="1" x14ac:dyDescent="0.25">
      <c r="B50" s="1741" t="s">
        <v>116</v>
      </c>
      <c r="C50" s="1742"/>
      <c r="D50" s="1742"/>
      <c r="E50" s="1742"/>
      <c r="F50" s="1742"/>
      <c r="G50" s="1743"/>
      <c r="K50" s="100"/>
      <c r="L50" s="27"/>
      <c r="M50" s="1100"/>
      <c r="N50" s="1101" t="e">
        <f>SQRT(SUM(N42:N45,N46,N47,N48))</f>
        <v>#N/A</v>
      </c>
      <c r="O50" s="1095" t="s">
        <v>4</v>
      </c>
      <c r="P50" s="28"/>
    </row>
    <row r="51" spans="1:18" s="32" customFormat="1" ht="39.950000000000003" customHeight="1" thickBot="1" x14ac:dyDescent="0.25">
      <c r="B51" s="177" t="s">
        <v>58</v>
      </c>
      <c r="C51" s="178" t="s">
        <v>340</v>
      </c>
      <c r="D51" s="178" t="s">
        <v>341</v>
      </c>
      <c r="E51" s="179" t="s">
        <v>89</v>
      </c>
      <c r="F51" s="178" t="s">
        <v>7</v>
      </c>
      <c r="G51" s="180" t="s">
        <v>267</v>
      </c>
      <c r="I51" s="718" t="s">
        <v>245</v>
      </c>
      <c r="K51" s="101"/>
      <c r="L51" s="27"/>
      <c r="M51" s="102" t="s">
        <v>115</v>
      </c>
      <c r="N51" s="175" t="e">
        <f>N50*O53</f>
        <v>#N/A</v>
      </c>
      <c r="O51" s="176" t="s">
        <v>4</v>
      </c>
      <c r="P51" s="27"/>
    </row>
    <row r="52" spans="1:18" s="32" customFormat="1" ht="39.950000000000003" customHeight="1" thickBot="1" x14ac:dyDescent="0.25">
      <c r="B52" s="109" t="s">
        <v>4</v>
      </c>
      <c r="C52" s="809" t="e">
        <f>W14</f>
        <v>#N/A</v>
      </c>
      <c r="D52" s="1091" t="e">
        <f>N50</f>
        <v>#N/A</v>
      </c>
      <c r="E52" s="1734">
        <v>2</v>
      </c>
      <c r="F52" s="182" t="e">
        <f>D52*E52</f>
        <v>#N/A</v>
      </c>
      <c r="G52" s="1731">
        <v>95</v>
      </c>
      <c r="I52" s="822"/>
      <c r="L52" s="77"/>
      <c r="N52" s="174"/>
      <c r="O52" s="1102" t="s">
        <v>89</v>
      </c>
      <c r="P52" s="1103"/>
    </row>
    <row r="53" spans="1:18" s="32" customFormat="1" ht="39.950000000000003" customHeight="1" thickBot="1" x14ac:dyDescent="0.25">
      <c r="A53" s="103"/>
      <c r="B53" s="111" t="s">
        <v>191</v>
      </c>
      <c r="C53" s="114" t="e">
        <f>C52/J22</f>
        <v>#N/A</v>
      </c>
      <c r="D53" s="1092" t="e">
        <f>C53/J22</f>
        <v>#N/A</v>
      </c>
      <c r="E53" s="1735"/>
      <c r="F53" s="183" t="e">
        <f>F52/J22</f>
        <v>#N/A</v>
      </c>
      <c r="G53" s="1732"/>
      <c r="L53" s="152" t="s">
        <v>339</v>
      </c>
      <c r="M53" s="153"/>
      <c r="N53" s="203" t="e">
        <f>(N50^4)/((L43^4/Q43)+(L44^4/Q44)+(L48^4/Q48))</f>
        <v>#N/A</v>
      </c>
      <c r="O53" s="1104" t="e">
        <f>_xlfn.T.INV.2T(0.05,N53)</f>
        <v>#N/A</v>
      </c>
      <c r="P53" s="1105"/>
    </row>
    <row r="54" spans="1:18" s="32" customFormat="1" ht="39.950000000000003" customHeight="1" thickBot="1" x14ac:dyDescent="0.25">
      <c r="B54" s="112" t="s">
        <v>246</v>
      </c>
      <c r="C54" s="113" t="e">
        <f>(C53*100)/K20</f>
        <v>#N/A</v>
      </c>
      <c r="D54" s="1093" t="e">
        <f>(D53*100)/1155</f>
        <v>#N/A</v>
      </c>
      <c r="E54" s="1736"/>
      <c r="F54" s="184" t="e">
        <f>(F53*100)/K20</f>
        <v>#N/A</v>
      </c>
      <c r="G54" s="1733"/>
      <c r="O54" s="121"/>
    </row>
    <row r="55" spans="1:18" s="32" customFormat="1" ht="39.950000000000003" customHeight="1" x14ac:dyDescent="0.2"/>
    <row r="56" spans="1:18" s="32" customFormat="1" ht="39.950000000000003" customHeight="1" x14ac:dyDescent="0.2"/>
    <row r="57" spans="1:18" s="32" customFormat="1" ht="39.950000000000003" customHeight="1" x14ac:dyDescent="0.2"/>
    <row r="58" spans="1:18" s="32" customFormat="1" ht="39.950000000000003" customHeight="1" x14ac:dyDescent="0.2"/>
    <row r="59" spans="1:18" s="32" customFormat="1" x14ac:dyDescent="0.2"/>
    <row r="60" spans="1:18" s="32" customFormat="1" x14ac:dyDescent="0.2"/>
    <row r="61" spans="1:18" s="32" customFormat="1" x14ac:dyDescent="0.2"/>
  </sheetData>
  <sheetProtection algorithmName="SHA-512" hashValue="Ro8zuJn/kYZBWpqLXUDPeLQ7Usde04UpK6X6wiRGqbw4x+06oNJYkpvFQ8/DQ9+avgJRNpZqtxk+v8kBDSArIg==" saltValue="YjYIQa3olM1m1+DZhFDzXg==" spinCount="100000" sheet="1" objects="1" scenarios="1"/>
  <dataConsolidate link="1"/>
  <mergeCells count="45">
    <mergeCell ref="D3:E3"/>
    <mergeCell ref="G3:H3"/>
    <mergeCell ref="J3:K3"/>
    <mergeCell ref="P3:R3"/>
    <mergeCell ref="R6:W7"/>
    <mergeCell ref="I6:J6"/>
    <mergeCell ref="I7:J7"/>
    <mergeCell ref="A6:G6"/>
    <mergeCell ref="B46:C46"/>
    <mergeCell ref="G17:K17"/>
    <mergeCell ref="D1:W1"/>
    <mergeCell ref="M3:N3"/>
    <mergeCell ref="A1:C1"/>
    <mergeCell ref="A42:A44"/>
    <mergeCell ref="B45:C45"/>
    <mergeCell ref="B44:C44"/>
    <mergeCell ref="B43:C43"/>
    <mergeCell ref="B42:C42"/>
    <mergeCell ref="U8:U10"/>
    <mergeCell ref="V8:V10"/>
    <mergeCell ref="W8:W10"/>
    <mergeCell ref="S8:S10"/>
    <mergeCell ref="T8:T10"/>
    <mergeCell ref="M6:Q7"/>
    <mergeCell ref="Q19:S20"/>
    <mergeCell ref="Q21:S21"/>
    <mergeCell ref="B24:L24"/>
    <mergeCell ref="H10:I10"/>
    <mergeCell ref="B17:F17"/>
    <mergeCell ref="K8:L8"/>
    <mergeCell ref="K6:L6"/>
    <mergeCell ref="G52:G54"/>
    <mergeCell ref="E52:E54"/>
    <mergeCell ref="S11:S13"/>
    <mergeCell ref="R8:R10"/>
    <mergeCell ref="B50:G50"/>
    <mergeCell ref="B11:C11"/>
    <mergeCell ref="D11:E11"/>
    <mergeCell ref="B10:E10"/>
    <mergeCell ref="R11:R13"/>
    <mergeCell ref="B47:C47"/>
    <mergeCell ref="B48:C48"/>
    <mergeCell ref="B39:Q39"/>
    <mergeCell ref="B40:C40"/>
    <mergeCell ref="I8:J8"/>
  </mergeCells>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Vr.12 (2022-02-18)</oddFooter>
  </headerFooter>
  <rowBreaks count="1" manualBreakCount="1">
    <brk id="36" max="22" man="1"/>
  </rowBreaks>
  <colBreaks count="1" manualBreakCount="1">
    <brk id="26" max="63"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'DATOS #'!$D$7:$D$9</xm:f>
          </x14:formula1>
          <xm:sqref>S3</xm:sqref>
        </x14:dataValidation>
        <x14:dataValidation type="list" allowBlank="1" showInputMessage="1" showErrorMessage="1" xr:uid="{00000000-0002-0000-0300-000001000000}">
          <x14:formula1>
            <xm:f>'DATOS #'!$P$9:$P$13</xm:f>
          </x14:formula1>
          <xm:sqref>L7</xm:sqref>
        </x14:dataValidation>
        <x14:dataValidation type="list" allowBlank="1" showInputMessage="1" showErrorMessage="1" xr:uid="{00000000-0002-0000-0300-000002000000}">
          <x14:formula1>
            <xm:f>'DATOS #'!$Y$59:$Y$62</xm:f>
          </x14:formula1>
          <xm:sqref>F12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66CC"/>
  </sheetPr>
  <dimension ref="A1:M44"/>
  <sheetViews>
    <sheetView showGridLines="0" view="pageBreakPreview" zoomScale="40" zoomScaleNormal="70" zoomScaleSheetLayoutView="40" workbookViewId="0">
      <selection activeCell="I179" sqref="I179"/>
    </sheetView>
  </sheetViews>
  <sheetFormatPr baseColWidth="10" defaultColWidth="11.42578125" defaultRowHeight="15" x14ac:dyDescent="0.2"/>
  <cols>
    <col min="1" max="1" width="11.42578125" style="210"/>
    <col min="2" max="2" width="20.28515625" style="210" customWidth="1"/>
    <col min="3" max="12" width="18.7109375" style="210" customWidth="1"/>
    <col min="13" max="16384" width="11.42578125" style="210"/>
  </cols>
  <sheetData>
    <row r="1" spans="1:13" ht="93" customHeight="1" x14ac:dyDescent="0.2">
      <c r="A1" s="1812"/>
      <c r="B1" s="1812"/>
      <c r="C1" s="1812"/>
      <c r="D1" s="1813" t="s">
        <v>247</v>
      </c>
      <c r="E1" s="1814"/>
      <c r="F1" s="1814"/>
      <c r="G1" s="1814"/>
      <c r="H1" s="1814"/>
      <c r="I1" s="1814"/>
      <c r="J1" s="1814"/>
      <c r="K1" s="1814"/>
      <c r="L1" s="1814"/>
      <c r="M1" s="1815"/>
    </row>
    <row r="2" spans="1:13" ht="9" customHeight="1" thickBot="1" x14ac:dyDescent="0.25"/>
    <row r="3" spans="1:13" ht="15" customHeight="1" x14ac:dyDescent="0.2">
      <c r="B3" s="1816" t="s">
        <v>446</v>
      </c>
      <c r="C3" s="1817"/>
      <c r="D3" s="1817"/>
      <c r="E3" s="1817"/>
      <c r="F3" s="1817"/>
      <c r="G3" s="1817"/>
      <c r="H3" s="1817"/>
      <c r="I3" s="1817"/>
      <c r="J3" s="1817"/>
      <c r="K3" s="1817"/>
      <c r="L3" s="1817"/>
    </row>
    <row r="4" spans="1:13" ht="23.25" customHeight="1" thickBot="1" x14ac:dyDescent="0.25">
      <c r="B4" s="1818"/>
      <c r="C4" s="1819"/>
      <c r="D4" s="1819"/>
      <c r="E4" s="1819"/>
      <c r="F4" s="1819"/>
      <c r="G4" s="1819"/>
      <c r="H4" s="1819"/>
      <c r="I4" s="1819"/>
      <c r="J4" s="1819"/>
      <c r="K4" s="1819"/>
      <c r="L4" s="1819"/>
    </row>
    <row r="5" spans="1:13" ht="23.25" customHeight="1" thickBot="1" x14ac:dyDescent="0.25"/>
    <row r="6" spans="1:13" s="212" customFormat="1" ht="39" customHeight="1" thickBot="1" x14ac:dyDescent="0.25">
      <c r="B6" s="1809" t="s">
        <v>272</v>
      </c>
      <c r="C6" s="1810"/>
      <c r="D6" s="1810"/>
      <c r="E6" s="1810"/>
      <c r="F6" s="1811"/>
      <c r="G6" s="211"/>
      <c r="H6" s="1809" t="s">
        <v>510</v>
      </c>
      <c r="I6" s="1810"/>
      <c r="J6" s="1810"/>
      <c r="K6" s="1810"/>
      <c r="L6" s="1811"/>
    </row>
    <row r="7" spans="1:13" s="213" customFormat="1" ht="30" customHeight="1" x14ac:dyDescent="0.25">
      <c r="B7" s="728" t="s">
        <v>511</v>
      </c>
      <c r="C7" s="729">
        <f>'RT03-F11 #'!K33</f>
        <v>0</v>
      </c>
      <c r="D7" s="730" t="s">
        <v>483</v>
      </c>
      <c r="E7" s="729">
        <f>'RT03-F11 #'!P33</f>
        <v>0</v>
      </c>
      <c r="F7" s="731">
        <f>'RT03-F11 #'!Q36</f>
        <v>0</v>
      </c>
      <c r="G7" s="215"/>
      <c r="H7" s="728" t="s">
        <v>511</v>
      </c>
      <c r="I7" s="729">
        <f>'DESPUES DE AJUSTE # '!K33</f>
        <v>0</v>
      </c>
      <c r="J7" s="730" t="s">
        <v>483</v>
      </c>
      <c r="K7" s="729">
        <f>'DESPUES DE AJUSTE # '!P33</f>
        <v>0</v>
      </c>
      <c r="L7" s="731">
        <f>'DESPUES DE AJUSTE # '!Q36</f>
        <v>0</v>
      </c>
    </row>
    <row r="8" spans="1:13" s="213" customFormat="1" ht="30" customHeight="1" x14ac:dyDescent="0.25">
      <c r="B8" s="722" t="s">
        <v>393</v>
      </c>
      <c r="C8" s="723" t="s">
        <v>447</v>
      </c>
      <c r="D8" s="723" t="s">
        <v>3</v>
      </c>
      <c r="E8" s="723" t="s">
        <v>421</v>
      </c>
      <c r="F8" s="733" t="s">
        <v>15</v>
      </c>
      <c r="G8" s="732"/>
      <c r="H8" s="722" t="s">
        <v>393</v>
      </c>
      <c r="I8" s="723" t="s">
        <v>447</v>
      </c>
      <c r="J8" s="723" t="s">
        <v>3</v>
      </c>
      <c r="K8" s="723" t="s">
        <v>421</v>
      </c>
      <c r="L8" s="733" t="s">
        <v>15</v>
      </c>
    </row>
    <row r="9" spans="1:13" s="213" customFormat="1" ht="32.1" customHeight="1" x14ac:dyDescent="0.25">
      <c r="B9" s="1807" t="e">
        <f>'RT03-F11 #'!M3</f>
        <v>#N/A</v>
      </c>
      <c r="C9" s="724" t="s">
        <v>394</v>
      </c>
      <c r="D9" s="820"/>
      <c r="E9" s="820"/>
      <c r="F9" s="821"/>
      <c r="G9" s="732"/>
      <c r="H9" s="1807" t="e">
        <f>'DESPUES DE AJUSTE # '!M3</f>
        <v>#N/A</v>
      </c>
      <c r="I9" s="724" t="s">
        <v>394</v>
      </c>
      <c r="J9" s="820"/>
      <c r="K9" s="820"/>
      <c r="L9" s="821"/>
    </row>
    <row r="10" spans="1:13" s="213" customFormat="1" ht="32.1" customHeight="1" x14ac:dyDescent="0.25">
      <c r="B10" s="1807"/>
      <c r="C10" s="724" t="s">
        <v>395</v>
      </c>
      <c r="D10" s="820"/>
      <c r="E10" s="820"/>
      <c r="F10" s="821"/>
      <c r="G10" s="732"/>
      <c r="H10" s="1807"/>
      <c r="I10" s="724" t="s">
        <v>395</v>
      </c>
      <c r="J10" s="820"/>
      <c r="K10" s="820"/>
      <c r="L10" s="821"/>
    </row>
    <row r="11" spans="1:13" s="213" customFormat="1" ht="32.1" customHeight="1" x14ac:dyDescent="0.25">
      <c r="B11" s="1807"/>
      <c r="C11" s="724" t="s">
        <v>540</v>
      </c>
      <c r="D11" s="594" t="e">
        <f>$D$9+((VLOOKUP('RT03-F11 #'!$Q$36,'DATOS #'!$B$131:$O$136,9,FALSE))*$D$9+(VLOOKUP('RT03-F11 #'!$Q$36,'DATOS #'!$B$131:$O$136,10,FALSE)))</f>
        <v>#N/A</v>
      </c>
      <c r="E11" s="594" t="e">
        <f>$E$9+((VLOOKUP('RT03-F11 #'!$Q$36,'DATOS #'!$B$131:$O$136,11,FALSE))*$E$9+(VLOOKUP('RT03-F11 #'!$Q$36,'DATOS #'!$B$131:$O$136,12,FALSE)))</f>
        <v>#N/A</v>
      </c>
      <c r="F11" s="726" t="e">
        <f>$F$9+((VLOOKUP('RT03-F11 #'!$Q$36,'DATOS #'!$B$131:$O$136,13,FALSE))*$F$9+(VLOOKUP('RT03-F11 #'!$Q$36,'DATOS #'!$B$131:$O$136,14,FALSE)))</f>
        <v>#N/A</v>
      </c>
      <c r="G11" s="732"/>
      <c r="H11" s="1807"/>
      <c r="I11" s="724" t="s">
        <v>540</v>
      </c>
      <c r="J11" s="594" t="e">
        <f>$J$9+((VLOOKUP('DESPUES DE AJUSTE # '!$Q$36,'DATOS #'!$B$131:$O$136,9,FALSE))*$J$9+(VLOOKUP('DESPUES DE AJUSTE # '!$Q$36,'DATOS #'!$B$131:$O$136,10,FALSE)))</f>
        <v>#N/A</v>
      </c>
      <c r="K11" s="594" t="e">
        <f>$K$9+((VLOOKUP('DESPUES DE AJUSTE # '!$Q$36,'DATOS #'!$B$131:$O$136,11,FALSE))*$K$9+(VLOOKUP('DESPUES DE AJUSTE # '!$Q$36,'DATOS #'!$B$131:$O$136,12,FALSE)))</f>
        <v>#N/A</v>
      </c>
      <c r="L11" s="726" t="e">
        <f>$L$9+((VLOOKUP('DESPUES DE AJUSTE # '!$Q$36,'DATOS #'!$B$131:$O$136,13,FALSE))*$L$9+(VLOOKUP('DESPUES DE AJUSTE # '!$Q$36,'DATOS #'!$B$131:$O$136,14,FALSE)))</f>
        <v>#N/A</v>
      </c>
    </row>
    <row r="12" spans="1:13" s="213" customFormat="1" ht="32.1" customHeight="1" thickBot="1" x14ac:dyDescent="0.3">
      <c r="B12" s="1808"/>
      <c r="C12" s="725" t="s">
        <v>541</v>
      </c>
      <c r="D12" s="595" t="e">
        <f>$D$10+((VLOOKUP('RT03-F11 #'!$Q$36,'DATOS #'!$B$131:$O$136,9,FALSE))*$D$10+(VLOOKUP('RT03-F11 #'!$Q$36,'DATOS #'!$B$131:$O$136,10,FALSE)))</f>
        <v>#N/A</v>
      </c>
      <c r="E12" s="595" t="e">
        <f>$E$10+((VLOOKUP('RT03-F11 #'!$Q$36,'DATOS #'!$B$131:$O$136,11,FALSE))*$E$10+(VLOOKUP('RT03-F11 #'!$Q$36,'DATOS #'!$B$131:$O$136,12,FALSE)))</f>
        <v>#N/A</v>
      </c>
      <c r="F12" s="727" t="e">
        <f>$F$10+((VLOOKUP('RT03-F11 #'!$Q$36,'DATOS #'!$B$131:$O$136,13,FALSE))*$F$10+(VLOOKUP('RT03-F11 #'!$Q$36,'DATOS #'!$B$131:$O$136,14,FALSE)))</f>
        <v>#N/A</v>
      </c>
      <c r="G12" s="732"/>
      <c r="H12" s="1808"/>
      <c r="I12" s="725" t="s">
        <v>541</v>
      </c>
      <c r="J12" s="595" t="e">
        <f>$J$10+((VLOOKUP('DESPUES DE AJUSTE # '!$Q$36,'DATOS #'!$B$131:$O$136,9,FALSE))*$J$10+(VLOOKUP('DESPUES DE AJUSTE # '!$Q$36,'DATOS #'!$B$131:$O$136,10,FALSE)))</f>
        <v>#N/A</v>
      </c>
      <c r="K12" s="595" t="e">
        <f>$K$10+((VLOOKUP('DESPUES DE AJUSTE # '!$Q$36,'DATOS #'!$B$131:$O$136,11,FALSE))*$K$10+(VLOOKUP('DESPUES DE AJUSTE # '!$Q$36,'DATOS #'!$B$131:$O$136,12,FALSE)))</f>
        <v>#N/A</v>
      </c>
      <c r="L12" s="727" t="e">
        <f>$L$10+((VLOOKUP('DESPUES DE AJUSTE # '!$Q$36,'DATOS #'!$B$131:$O$136,13,FALSE))*$L$10+(VLOOKUP('DESPUES DE AJUSTE # '!$Q$36,'DATOS #'!$B$131:$O$136,14,FALSE)))</f>
        <v>#N/A</v>
      </c>
    </row>
    <row r="13" spans="1:13" s="213" customFormat="1" ht="30" customHeight="1" x14ac:dyDescent="0.2">
      <c r="C13" s="214"/>
      <c r="D13" s="215"/>
      <c r="E13" s="215"/>
      <c r="F13" s="215"/>
      <c r="H13" s="210"/>
      <c r="I13" s="210"/>
      <c r="J13" s="210"/>
      <c r="K13" s="210"/>
      <c r="L13" s="210"/>
    </row>
    <row r="14" spans="1:13" s="213" customFormat="1" ht="30" customHeight="1" x14ac:dyDescent="0.25">
      <c r="C14" s="214"/>
      <c r="D14" s="215"/>
      <c r="E14" s="215"/>
      <c r="F14" s="215"/>
    </row>
    <row r="15" spans="1:13" s="213" customFormat="1" ht="30" customHeight="1" x14ac:dyDescent="0.25">
      <c r="B15" s="1806"/>
      <c r="C15" s="1806"/>
      <c r="D15" s="1806"/>
      <c r="E15" s="1806"/>
      <c r="F15" s="1806"/>
      <c r="G15" s="1087"/>
    </row>
    <row r="16" spans="1:13" s="213" customFormat="1" ht="30" customHeight="1" x14ac:dyDescent="0.25">
      <c r="B16" s="217"/>
      <c r="C16" s="216"/>
      <c r="D16" s="217"/>
      <c r="E16" s="217"/>
      <c r="F16" s="217"/>
      <c r="G16" s="216"/>
      <c r="H16" s="217"/>
      <c r="I16" s="216"/>
      <c r="J16" s="217"/>
      <c r="K16" s="217"/>
      <c r="L16" s="217"/>
    </row>
    <row r="17" spans="2:12" s="213" customFormat="1" ht="30" customHeight="1" x14ac:dyDescent="0.25">
      <c r="B17" s="1820"/>
      <c r="C17" s="218"/>
      <c r="D17" s="219"/>
      <c r="E17" s="219"/>
      <c r="F17" s="219"/>
      <c r="G17" s="1087"/>
      <c r="H17" s="1820"/>
      <c r="I17" s="218"/>
      <c r="J17" s="219"/>
      <c r="K17" s="219"/>
      <c r="L17" s="219"/>
    </row>
    <row r="18" spans="2:12" s="213" customFormat="1" ht="30" customHeight="1" x14ac:dyDescent="0.25">
      <c r="B18" s="1820"/>
      <c r="C18" s="220"/>
      <c r="D18" s="221"/>
      <c r="E18" s="221"/>
      <c r="F18" s="221"/>
      <c r="G18" s="216"/>
      <c r="H18" s="1820"/>
      <c r="I18" s="220"/>
      <c r="J18" s="221"/>
      <c r="K18" s="221"/>
      <c r="L18" s="221"/>
    </row>
    <row r="19" spans="2:12" s="213" customFormat="1" ht="30" customHeight="1" x14ac:dyDescent="0.25">
      <c r="B19" s="1820"/>
      <c r="C19" s="220"/>
      <c r="D19" s="221"/>
      <c r="E19" s="221"/>
      <c r="F19" s="221"/>
      <c r="G19" s="216"/>
      <c r="H19" s="1820"/>
      <c r="I19" s="220"/>
      <c r="J19" s="221"/>
      <c r="K19" s="221"/>
      <c r="L19" s="221"/>
    </row>
    <row r="20" spans="2:12" s="213" customFormat="1" ht="30" customHeight="1" x14ac:dyDescent="0.25">
      <c r="B20" s="1820"/>
      <c r="C20" s="218"/>
      <c r="D20" s="219"/>
      <c r="E20" s="219"/>
      <c r="F20" s="219"/>
      <c r="G20" s="216"/>
      <c r="H20" s="1820"/>
      <c r="I20" s="218"/>
      <c r="J20" s="219"/>
      <c r="K20" s="219"/>
      <c r="L20" s="219"/>
    </row>
    <row r="21" spans="2:12" s="213" customFormat="1" ht="30" customHeight="1" x14ac:dyDescent="0.25">
      <c r="B21" s="1820"/>
      <c r="C21" s="218"/>
      <c r="D21" s="219"/>
      <c r="E21" s="219"/>
      <c r="F21" s="219"/>
      <c r="G21" s="216"/>
      <c r="H21" s="1820"/>
      <c r="I21" s="218"/>
      <c r="J21" s="219"/>
      <c r="K21" s="219"/>
      <c r="L21" s="219"/>
    </row>
    <row r="22" spans="2:12" s="213" customFormat="1" ht="30" customHeight="1" x14ac:dyDescent="0.25">
      <c r="B22" s="216"/>
      <c r="C22" s="216"/>
      <c r="D22" s="216"/>
      <c r="E22" s="216"/>
      <c r="F22" s="216"/>
      <c r="G22" s="216"/>
      <c r="H22" s="216"/>
      <c r="I22" s="216"/>
      <c r="J22" s="216"/>
      <c r="K22" s="216"/>
      <c r="L22" s="216"/>
    </row>
    <row r="23" spans="2:12" s="213" customFormat="1" ht="30" customHeight="1" x14ac:dyDescent="0.25">
      <c r="B23" s="216"/>
      <c r="C23" s="216"/>
      <c r="D23" s="216"/>
      <c r="E23" s="216"/>
      <c r="F23" s="216"/>
      <c r="G23" s="216"/>
      <c r="H23" s="216"/>
      <c r="I23" s="216"/>
      <c r="J23" s="216"/>
      <c r="K23" s="216"/>
      <c r="L23" s="216"/>
    </row>
    <row r="24" spans="2:12" s="213" customFormat="1" ht="30" customHeight="1" x14ac:dyDescent="0.25">
      <c r="B24" s="1806"/>
      <c r="C24" s="1806"/>
      <c r="D24" s="1806"/>
      <c r="E24" s="1806"/>
      <c r="F24" s="1806"/>
      <c r="G24" s="216"/>
      <c r="H24" s="1806"/>
      <c r="I24" s="1806"/>
      <c r="J24" s="1806"/>
      <c r="K24" s="1806"/>
      <c r="L24" s="1806"/>
    </row>
    <row r="25" spans="2:12" s="213" customFormat="1" ht="30" customHeight="1" x14ac:dyDescent="0.25">
      <c r="B25" s="217"/>
      <c r="C25" s="216"/>
      <c r="D25" s="217"/>
      <c r="E25" s="217"/>
      <c r="F25" s="217"/>
      <c r="G25" s="216"/>
      <c r="H25" s="217"/>
      <c r="I25" s="216"/>
      <c r="J25" s="217"/>
      <c r="K25" s="217"/>
      <c r="L25" s="217"/>
    </row>
    <row r="26" spans="2:12" s="213" customFormat="1" ht="30" customHeight="1" x14ac:dyDescent="0.25">
      <c r="B26" s="1820"/>
      <c r="C26" s="218"/>
      <c r="D26" s="219"/>
      <c r="E26" s="219"/>
      <c r="F26" s="219"/>
      <c r="G26" s="216"/>
      <c r="H26" s="1820"/>
      <c r="I26" s="218"/>
      <c r="J26" s="219"/>
      <c r="K26" s="219"/>
      <c r="L26" s="219"/>
    </row>
    <row r="27" spans="2:12" s="213" customFormat="1" ht="30" customHeight="1" x14ac:dyDescent="0.25">
      <c r="B27" s="1820"/>
      <c r="C27" s="220"/>
      <c r="D27" s="221"/>
      <c r="E27" s="221"/>
      <c r="F27" s="221"/>
      <c r="G27" s="216"/>
      <c r="H27" s="1820"/>
      <c r="I27" s="220"/>
      <c r="J27" s="221"/>
      <c r="K27" s="221"/>
      <c r="L27" s="221"/>
    </row>
    <row r="28" spans="2:12" s="213" customFormat="1" ht="30" customHeight="1" x14ac:dyDescent="0.25">
      <c r="B28" s="1820"/>
      <c r="C28" s="220"/>
      <c r="D28" s="221"/>
      <c r="E28" s="221"/>
      <c r="F28" s="221"/>
      <c r="G28" s="216"/>
      <c r="H28" s="1820"/>
      <c r="I28" s="220"/>
      <c r="J28" s="221"/>
      <c r="K28" s="221"/>
      <c r="L28" s="221"/>
    </row>
    <row r="29" spans="2:12" s="213" customFormat="1" ht="30" customHeight="1" x14ac:dyDescent="0.25">
      <c r="B29" s="1820"/>
      <c r="C29" s="218"/>
      <c r="D29" s="219"/>
      <c r="E29" s="219"/>
      <c r="F29" s="219"/>
      <c r="G29" s="216"/>
      <c r="H29" s="1820"/>
      <c r="I29" s="218"/>
      <c r="J29" s="219"/>
      <c r="K29" s="219"/>
      <c r="L29" s="219"/>
    </row>
    <row r="30" spans="2:12" s="213" customFormat="1" ht="30" customHeight="1" x14ac:dyDescent="0.25">
      <c r="B30" s="1820"/>
      <c r="C30" s="218"/>
      <c r="D30" s="219"/>
      <c r="E30" s="219"/>
      <c r="F30" s="219"/>
      <c r="G30" s="216"/>
      <c r="H30" s="1820"/>
      <c r="I30" s="218"/>
      <c r="J30" s="219"/>
      <c r="K30" s="219"/>
      <c r="L30" s="219"/>
    </row>
    <row r="31" spans="2:12" s="213" customFormat="1" ht="30" customHeight="1" x14ac:dyDescent="0.25">
      <c r="B31" s="216"/>
      <c r="C31" s="222"/>
      <c r="D31" s="218"/>
      <c r="E31" s="218"/>
      <c r="F31" s="218"/>
      <c r="G31" s="216"/>
      <c r="H31" s="216"/>
      <c r="I31" s="216"/>
      <c r="J31" s="216"/>
      <c r="K31" s="216"/>
      <c r="L31" s="216"/>
    </row>
    <row r="32" spans="2:12" s="213" customFormat="1" ht="30" customHeight="1" x14ac:dyDescent="0.25">
      <c r="B32" s="216"/>
      <c r="C32" s="216"/>
      <c r="D32" s="216"/>
      <c r="E32" s="216"/>
      <c r="F32" s="216"/>
      <c r="G32" s="216"/>
      <c r="H32" s="216"/>
      <c r="I32" s="216"/>
      <c r="J32" s="216"/>
      <c r="K32" s="216"/>
      <c r="L32" s="216"/>
    </row>
    <row r="33" spans="2:12" s="213" customFormat="1" ht="30" customHeight="1" x14ac:dyDescent="0.25">
      <c r="B33" s="1806"/>
      <c r="C33" s="1806"/>
      <c r="D33" s="1806"/>
      <c r="E33" s="1806"/>
      <c r="F33" s="1806"/>
      <c r="G33" s="216"/>
      <c r="H33" s="1806"/>
      <c r="I33" s="1806"/>
      <c r="J33" s="1806"/>
      <c r="K33" s="1806"/>
      <c r="L33" s="1806"/>
    </row>
    <row r="34" spans="2:12" s="213" customFormat="1" ht="30" customHeight="1" x14ac:dyDescent="0.25">
      <c r="B34" s="217"/>
      <c r="C34" s="216"/>
      <c r="D34" s="217"/>
      <c r="E34" s="217"/>
      <c r="F34" s="217"/>
      <c r="G34" s="216"/>
      <c r="H34" s="217"/>
      <c r="I34" s="216"/>
      <c r="J34" s="217"/>
      <c r="K34" s="217"/>
      <c r="L34" s="217"/>
    </row>
    <row r="35" spans="2:12" s="213" customFormat="1" ht="30" customHeight="1" x14ac:dyDescent="0.25">
      <c r="B35" s="1820"/>
      <c r="C35" s="218"/>
      <c r="D35" s="219"/>
      <c r="E35" s="219"/>
      <c r="F35" s="219"/>
      <c r="G35" s="216"/>
      <c r="H35" s="1820"/>
      <c r="I35" s="218"/>
      <c r="J35" s="219"/>
      <c r="K35" s="219"/>
      <c r="L35" s="219"/>
    </row>
    <row r="36" spans="2:12" s="213" customFormat="1" ht="30" customHeight="1" x14ac:dyDescent="0.25">
      <c r="B36" s="1820"/>
      <c r="C36" s="220"/>
      <c r="D36" s="221"/>
      <c r="E36" s="221"/>
      <c r="F36" s="221"/>
      <c r="G36" s="216"/>
      <c r="H36" s="1820"/>
      <c r="I36" s="220"/>
      <c r="J36" s="221"/>
      <c r="K36" s="221"/>
      <c r="L36" s="221"/>
    </row>
    <row r="37" spans="2:12" s="213" customFormat="1" ht="30" customHeight="1" x14ac:dyDescent="0.25">
      <c r="B37" s="1820"/>
      <c r="C37" s="220"/>
      <c r="D37" s="221"/>
      <c r="E37" s="221"/>
      <c r="F37" s="221"/>
      <c r="G37" s="216"/>
      <c r="H37" s="1820"/>
      <c r="I37" s="220"/>
      <c r="J37" s="221"/>
      <c r="K37" s="221"/>
      <c r="L37" s="221"/>
    </row>
    <row r="38" spans="2:12" s="213" customFormat="1" ht="30" customHeight="1" x14ac:dyDescent="0.25">
      <c r="B38" s="1820"/>
      <c r="C38" s="218"/>
      <c r="D38" s="219"/>
      <c r="E38" s="219"/>
      <c r="F38" s="219"/>
      <c r="G38" s="216"/>
      <c r="H38" s="1820"/>
      <c r="I38" s="218"/>
      <c r="J38" s="219"/>
      <c r="K38" s="219"/>
      <c r="L38" s="219"/>
    </row>
    <row r="39" spans="2:12" s="213" customFormat="1" ht="30" customHeight="1" x14ac:dyDescent="0.25">
      <c r="B39" s="1820"/>
      <c r="C39" s="218"/>
      <c r="D39" s="219"/>
      <c r="E39" s="219"/>
      <c r="F39" s="219"/>
      <c r="G39" s="216"/>
      <c r="H39" s="1820"/>
      <c r="I39" s="218"/>
      <c r="J39" s="219"/>
      <c r="K39" s="219"/>
      <c r="L39" s="219"/>
    </row>
    <row r="40" spans="2:12" s="213" customFormat="1" x14ac:dyDescent="0.25"/>
    <row r="41" spans="2:12" s="213" customFormat="1" x14ac:dyDescent="0.25"/>
    <row r="42" spans="2:12" s="213" customFormat="1" x14ac:dyDescent="0.25"/>
    <row r="43" spans="2:12" s="213" customFormat="1" x14ac:dyDescent="0.25"/>
    <row r="44" spans="2:12" s="213" customFormat="1" x14ac:dyDescent="0.25"/>
  </sheetData>
  <sheetProtection algorithmName="SHA-512" hashValue="i9VWPsSTKukCssKQaGMzefJzoSf5k9RCqsdQaEphzo6RRrWA/8NFGAMRBIDuRDiZfNouDkCDun62QUjmEBJ6Ng==" saltValue="jiz6i8L7U4OVO+yPnAbA0g==" spinCount="100000" sheet="1" objects="1" scenarios="1"/>
  <mergeCells count="18">
    <mergeCell ref="B17:B21"/>
    <mergeCell ref="H17:H21"/>
    <mergeCell ref="B24:F24"/>
    <mergeCell ref="H24:L24"/>
    <mergeCell ref="B35:B39"/>
    <mergeCell ref="H35:H39"/>
    <mergeCell ref="B26:B30"/>
    <mergeCell ref="H26:H30"/>
    <mergeCell ref="B33:F33"/>
    <mergeCell ref="H33:L33"/>
    <mergeCell ref="B15:F15"/>
    <mergeCell ref="B9:B12"/>
    <mergeCell ref="H6:L6"/>
    <mergeCell ref="H9:H12"/>
    <mergeCell ref="A1:C1"/>
    <mergeCell ref="D1:M1"/>
    <mergeCell ref="B3:L4"/>
    <mergeCell ref="B6:F6"/>
  </mergeCells>
  <conditionalFormatting sqref="F7">
    <cfRule type="colorScale" priority="2">
      <colorScale>
        <cfvo type="min"/>
        <cfvo type="max"/>
        <color rgb="FFFF7128"/>
        <color rgb="FF967D00"/>
      </colorScale>
    </cfRule>
  </conditionalFormatting>
  <conditionalFormatting sqref="L7">
    <cfRule type="colorScale" priority="1">
      <colorScale>
        <cfvo type="min"/>
        <cfvo type="max"/>
        <color rgb="FFFF7128"/>
        <color rgb="FF967D00"/>
      </colorScale>
    </cfRule>
  </conditionalFormatting>
  <pageMargins left="0.70866141732283472" right="0.70866141732283472" top="0.74803149606299213" bottom="0.74803149606299213" header="0.31496062992125984" footer="0.31496062992125984"/>
  <pageSetup scale="10" pageOrder="overThenDown" orientation="portrait" r:id="rId1"/>
  <headerFooter>
    <oddFooter>&amp;RRT03-F11 Vr.12 (2022-02-18)</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1:Q23"/>
  <sheetViews>
    <sheetView showGridLines="0" view="pageBreakPreview" zoomScale="30" zoomScaleNormal="100" zoomScaleSheetLayoutView="30" workbookViewId="0">
      <selection activeCell="V69" sqref="V69"/>
    </sheetView>
  </sheetViews>
  <sheetFormatPr baseColWidth="10" defaultColWidth="11.42578125" defaultRowHeight="15" x14ac:dyDescent="0.2"/>
  <cols>
    <col min="1" max="1" width="23.5703125" style="657" customWidth="1"/>
    <col min="2" max="3" width="14.42578125" style="657" customWidth="1"/>
    <col min="4" max="4" width="17.28515625" style="657" bestFit="1" customWidth="1"/>
    <col min="5" max="5" width="21.42578125" style="657" bestFit="1" customWidth="1"/>
    <col min="6" max="6" width="13" style="657" bestFit="1" customWidth="1"/>
    <col min="7" max="7" width="20.7109375" style="657" customWidth="1"/>
    <col min="8" max="8" width="19" style="657" customWidth="1"/>
    <col min="9" max="9" width="22.28515625" style="657" customWidth="1"/>
    <col min="10" max="10" width="16.5703125" style="657" bestFit="1" customWidth="1"/>
    <col min="11" max="16384" width="11.42578125" style="657"/>
  </cols>
  <sheetData>
    <row r="1" spans="1:17" ht="95.25" customHeight="1" x14ac:dyDescent="0.2">
      <c r="A1" s="1821"/>
      <c r="B1" s="1822"/>
      <c r="C1" s="1823"/>
      <c r="D1" s="1813" t="s">
        <v>247</v>
      </c>
      <c r="E1" s="1814"/>
      <c r="F1" s="1814"/>
      <c r="G1" s="1814"/>
      <c r="H1" s="1814"/>
      <c r="I1" s="1814"/>
      <c r="J1" s="1814"/>
      <c r="K1" s="1814"/>
      <c r="L1" s="1814"/>
      <c r="M1" s="1814"/>
      <c r="N1" s="1814"/>
      <c r="O1" s="1814"/>
      <c r="P1" s="1814"/>
      <c r="Q1" s="1815"/>
    </row>
    <row r="2" spans="1:17" ht="13.5" customHeight="1" thickBot="1" x14ac:dyDescent="0.25"/>
    <row r="3" spans="1:17" ht="44.45" customHeight="1" thickBot="1" x14ac:dyDescent="0.25">
      <c r="A3" s="668" t="s">
        <v>532</v>
      </c>
      <c r="B3" s="671" t="s">
        <v>502</v>
      </c>
      <c r="C3" s="670" t="s">
        <v>503</v>
      </c>
      <c r="D3" s="669" t="s">
        <v>124</v>
      </c>
      <c r="E3" s="669" t="s">
        <v>489</v>
      </c>
      <c r="F3" s="670" t="s">
        <v>485</v>
      </c>
      <c r="G3" s="1829" t="s">
        <v>531</v>
      </c>
      <c r="H3" s="1830"/>
      <c r="I3" s="1831"/>
      <c r="K3" s="658"/>
      <c r="L3" s="658"/>
    </row>
    <row r="4" spans="1:17" ht="33" customHeight="1" x14ac:dyDescent="0.2">
      <c r="A4" s="770">
        <v>1</v>
      </c>
      <c r="B4" s="735">
        <v>9.4635300000000004</v>
      </c>
      <c r="C4" s="736">
        <v>-9.4635300000000004</v>
      </c>
      <c r="D4" s="737">
        <v>0</v>
      </c>
      <c r="E4" s="738"/>
      <c r="F4" s="738"/>
      <c r="G4" s="773" t="s">
        <v>486</v>
      </c>
      <c r="H4" s="774" t="s">
        <v>487</v>
      </c>
      <c r="I4" s="775" t="s">
        <v>488</v>
      </c>
      <c r="K4" s="659"/>
      <c r="L4" s="659"/>
    </row>
    <row r="5" spans="1:17" ht="31.5" customHeight="1" x14ac:dyDescent="0.2">
      <c r="A5" s="771" t="s">
        <v>272</v>
      </c>
      <c r="B5" s="739">
        <v>9.4635300000000004</v>
      </c>
      <c r="C5" s="740">
        <v>-9.4635300000000004</v>
      </c>
      <c r="D5" s="741">
        <v>0</v>
      </c>
      <c r="E5" s="742" t="e">
        <f>ABS('RT03-F11 #'!H122)</f>
        <v>#N/A</v>
      </c>
      <c r="F5" s="740" t="e">
        <f>'RT03-F11 #'!F122</f>
        <v>#N/A</v>
      </c>
      <c r="G5" s="743" t="e">
        <f>(B5-E5)/(F5/2)</f>
        <v>#N/A</v>
      </c>
      <c r="H5" s="744" t="e">
        <f>_xlfn.NORM.S.DIST(G5,1)</f>
        <v>#N/A</v>
      </c>
      <c r="I5" s="745" t="e">
        <f>1-H5</f>
        <v>#N/A</v>
      </c>
      <c r="K5" s="659"/>
      <c r="L5" s="659"/>
    </row>
    <row r="6" spans="1:17" ht="29.25" customHeight="1" x14ac:dyDescent="0.2">
      <c r="A6" s="771" t="s">
        <v>285</v>
      </c>
      <c r="B6" s="739">
        <v>9.4635300000000004</v>
      </c>
      <c r="C6" s="740">
        <v>-9.4635300000000004</v>
      </c>
      <c r="D6" s="741">
        <v>0</v>
      </c>
      <c r="E6" s="742" t="e">
        <f>ABS('DESPUES DE AJUSTE # '!H122)</f>
        <v>#N/A</v>
      </c>
      <c r="F6" s="740" t="e">
        <f>'DESPUES DE AJUSTE # '!F122</f>
        <v>#N/A</v>
      </c>
      <c r="G6" s="776" t="s">
        <v>528</v>
      </c>
      <c r="H6" s="777" t="s">
        <v>487</v>
      </c>
      <c r="I6" s="778" t="s">
        <v>488</v>
      </c>
      <c r="K6" s="659"/>
      <c r="L6" s="659"/>
    </row>
    <row r="7" spans="1:17" ht="20.100000000000001" customHeight="1" x14ac:dyDescent="0.2">
      <c r="A7" s="771">
        <v>3</v>
      </c>
      <c r="B7" s="739">
        <v>9.4635300000000004</v>
      </c>
      <c r="C7" s="740">
        <v>-9.4635300000000004</v>
      </c>
      <c r="D7" s="741">
        <v>0</v>
      </c>
      <c r="E7" s="746"/>
      <c r="F7" s="746"/>
      <c r="G7" s="743" t="e">
        <f>(E5-C5)/(F5/2)</f>
        <v>#N/A</v>
      </c>
      <c r="H7" s="744" t="e">
        <f>_xlfn.NORM.S.DIST(G7,1)</f>
        <v>#N/A</v>
      </c>
      <c r="I7" s="748" t="e">
        <f>1-H7</f>
        <v>#N/A</v>
      </c>
      <c r="K7" s="659"/>
      <c r="L7" s="659"/>
    </row>
    <row r="8" spans="1:17" ht="20.100000000000001" customHeight="1" thickBot="1" x14ac:dyDescent="0.25">
      <c r="A8" s="772">
        <v>4</v>
      </c>
      <c r="B8" s="749">
        <v>9.4635300000000004</v>
      </c>
      <c r="C8" s="750">
        <v>-9.4635300000000004</v>
      </c>
      <c r="D8" s="751">
        <v>0</v>
      </c>
      <c r="E8" s="752"/>
      <c r="F8" s="752"/>
      <c r="G8" s="1832" t="e">
        <f>IF(AND(H5&gt;=97.5%,I5&lt;=2.5%),"CUMPLE","NO CUMPLE")</f>
        <v>#N/A</v>
      </c>
      <c r="H8" s="1833"/>
      <c r="I8" s="1834"/>
      <c r="K8" s="659"/>
      <c r="L8" s="659"/>
    </row>
    <row r="9" spans="1:17" ht="36" customHeight="1" thickBot="1" x14ac:dyDescent="0.25">
      <c r="A9" s="753">
        <f>B13/2000</f>
        <v>9.4635300000000004</v>
      </c>
      <c r="B9" s="754"/>
      <c r="C9" s="754"/>
      <c r="D9" s="754"/>
      <c r="E9" s="754"/>
      <c r="F9" s="754"/>
      <c r="G9" s="1826" t="s">
        <v>529</v>
      </c>
      <c r="H9" s="1828"/>
      <c r="I9" s="1827"/>
    </row>
    <row r="10" spans="1:17" ht="32.1" customHeight="1" thickBot="1" x14ac:dyDescent="0.25">
      <c r="A10" s="754"/>
      <c r="B10" s="1824" t="s">
        <v>504</v>
      </c>
      <c r="C10" s="1825"/>
      <c r="D10" s="755"/>
      <c r="E10" s="754"/>
      <c r="F10" s="754"/>
      <c r="G10" s="756" t="s">
        <v>486</v>
      </c>
      <c r="H10" s="757" t="s">
        <v>487</v>
      </c>
      <c r="I10" s="758" t="s">
        <v>488</v>
      </c>
    </row>
    <row r="11" spans="1:17" x14ac:dyDescent="0.2">
      <c r="A11" s="754"/>
      <c r="B11" s="759">
        <v>5</v>
      </c>
      <c r="C11" s="760" t="s">
        <v>9</v>
      </c>
      <c r="D11" s="755"/>
      <c r="E11" s="754"/>
      <c r="F11" s="754"/>
      <c r="G11" s="761" t="e">
        <f>(B6-E6)/(F6/2)</f>
        <v>#N/A</v>
      </c>
      <c r="H11" s="762" t="e">
        <f>_xlfn.NORM.S.DIST(G11,1)</f>
        <v>#N/A</v>
      </c>
      <c r="I11" s="763" t="e">
        <f>1-H11</f>
        <v>#N/A</v>
      </c>
    </row>
    <row r="12" spans="1:17" ht="15.75" x14ac:dyDescent="0.2">
      <c r="A12" s="754"/>
      <c r="B12" s="764">
        <f>B11*3.785412</f>
        <v>18.927060000000001</v>
      </c>
      <c r="C12" s="747" t="s">
        <v>484</v>
      </c>
      <c r="D12" s="755"/>
      <c r="E12" s="754"/>
      <c r="F12" s="754"/>
      <c r="G12" s="776" t="s">
        <v>528</v>
      </c>
      <c r="H12" s="777" t="s">
        <v>487</v>
      </c>
      <c r="I12" s="778" t="s">
        <v>488</v>
      </c>
    </row>
    <row r="13" spans="1:17" ht="15.75" thickBot="1" x14ac:dyDescent="0.25">
      <c r="A13" s="754"/>
      <c r="B13" s="765">
        <f>B12*1000</f>
        <v>18927.060000000001</v>
      </c>
      <c r="C13" s="766" t="s">
        <v>4</v>
      </c>
      <c r="D13" s="755"/>
      <c r="E13" s="754"/>
      <c r="F13" s="754"/>
      <c r="G13" s="767" t="e">
        <f>(E6-C6)/(F6/2)</f>
        <v>#N/A</v>
      </c>
      <c r="H13" s="768" t="e">
        <f>_xlfn.NORM.S.DIST(G13,1)</f>
        <v>#N/A</v>
      </c>
      <c r="I13" s="769" t="e">
        <f>1-H13</f>
        <v>#N/A</v>
      </c>
    </row>
    <row r="14" spans="1:17" ht="15.75" thickBot="1" x14ac:dyDescent="0.25">
      <c r="G14" s="1835" t="e">
        <f>IF(AND(H11&gt;=97.5%,I11&lt;=2.5%),"CUMPLE","NO CUMPLE")</f>
        <v>#N/A</v>
      </c>
      <c r="H14" s="1836"/>
      <c r="I14" s="1837"/>
    </row>
    <row r="15" spans="1:17" ht="32.1" customHeight="1" thickBot="1" x14ac:dyDescent="0.25">
      <c r="B15" s="1826" t="s">
        <v>505</v>
      </c>
      <c r="C15" s="1827"/>
      <c r="D15" s="660"/>
    </row>
    <row r="16" spans="1:17" x14ac:dyDescent="0.2">
      <c r="B16" s="667" t="e">
        <f>'RT03-F11 #'!C124</f>
        <v>#N/A</v>
      </c>
      <c r="C16" s="666" t="s">
        <v>9</v>
      </c>
      <c r="D16" s="661"/>
    </row>
    <row r="17" spans="2:4" x14ac:dyDescent="0.2">
      <c r="B17" s="664" t="e">
        <f>B16*3.785412</f>
        <v>#N/A</v>
      </c>
      <c r="C17" s="662" t="s">
        <v>484</v>
      </c>
      <c r="D17" s="661"/>
    </row>
    <row r="18" spans="2:4" ht="15.75" thickBot="1" x14ac:dyDescent="0.25">
      <c r="B18" s="665" t="e">
        <f>'RT03-F11 #'!C122</f>
        <v>#N/A</v>
      </c>
      <c r="C18" s="663" t="s">
        <v>4</v>
      </c>
      <c r="D18" s="661"/>
    </row>
    <row r="19" spans="2:4" ht="15.75" thickBot="1" x14ac:dyDescent="0.25"/>
    <row r="20" spans="2:4" ht="32.1" customHeight="1" thickBot="1" x14ac:dyDescent="0.25">
      <c r="B20" s="1826" t="s">
        <v>530</v>
      </c>
      <c r="C20" s="1827"/>
      <c r="D20" s="660"/>
    </row>
    <row r="21" spans="2:4" x14ac:dyDescent="0.2">
      <c r="B21" s="667" t="e">
        <f>#REF!</f>
        <v>#REF!</v>
      </c>
      <c r="C21" s="666" t="s">
        <v>9</v>
      </c>
      <c r="D21" s="661"/>
    </row>
    <row r="22" spans="2:4" x14ac:dyDescent="0.2">
      <c r="B22" s="664" t="e">
        <f>B21*3.785412</f>
        <v>#REF!</v>
      </c>
      <c r="C22" s="662" t="s">
        <v>484</v>
      </c>
      <c r="D22" s="661"/>
    </row>
    <row r="23" spans="2:4" ht="15.75" thickBot="1" x14ac:dyDescent="0.25">
      <c r="B23" s="665" t="e">
        <f>#REF!</f>
        <v>#REF!</v>
      </c>
      <c r="C23" s="663" t="s">
        <v>4</v>
      </c>
      <c r="D23" s="661"/>
    </row>
  </sheetData>
  <sheetProtection algorithmName="SHA-512" hashValue="1+QLj6P+1Yr8EWE6mzd2Z/OlaL2tbTZsVUldazBzMdpNHmBjRR3jwizk/ynVkhwiPbNbcDafo9p+JJArZv/GKg==" saltValue="ipH2s8W+7ouFy1yfT/I9tw==" spinCount="100000" sheet="1" objects="1" scenarios="1"/>
  <mergeCells count="9">
    <mergeCell ref="A1:C1"/>
    <mergeCell ref="D1:Q1"/>
    <mergeCell ref="B10:C10"/>
    <mergeCell ref="B15:C15"/>
    <mergeCell ref="B20:C20"/>
    <mergeCell ref="G9:I9"/>
    <mergeCell ref="G3:I3"/>
    <mergeCell ref="G8:I8"/>
    <mergeCell ref="G14:I14"/>
  </mergeCells>
  <pageMargins left="0.70866141732283472" right="0.70866141732283472" top="0.74803149606299213" bottom="0.74803149606299213" header="0.31496062992125984" footer="0.31496062992125984"/>
  <pageSetup scale="10" pageOrder="overThenDown" orientation="portrait" r:id="rId1"/>
  <headerFooter>
    <oddFooter>&amp;RRT03-F11 Vr.12 (2022-02-18)</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66CC"/>
  </sheetPr>
  <dimension ref="A1:T15"/>
  <sheetViews>
    <sheetView showGridLines="0" view="pageBreakPreview" zoomScale="50" zoomScaleNormal="80" zoomScaleSheetLayoutView="50" workbookViewId="0">
      <selection activeCell="S26" sqref="S26"/>
    </sheetView>
  </sheetViews>
  <sheetFormatPr baseColWidth="10" defaultColWidth="10.85546875" defaultRowHeight="15" x14ac:dyDescent="0.25"/>
  <cols>
    <col min="1" max="2" width="14.5703125" style="697" customWidth="1"/>
    <col min="3" max="16384" width="10.85546875" style="697"/>
  </cols>
  <sheetData>
    <row r="1" spans="1:20" ht="81.75" customHeight="1" thickBot="1" x14ac:dyDescent="0.3">
      <c r="A1" s="1846"/>
      <c r="B1" s="1846"/>
      <c r="C1" s="1847"/>
      <c r="D1" s="1848" t="s">
        <v>247</v>
      </c>
      <c r="E1" s="1849"/>
      <c r="F1" s="1849"/>
      <c r="G1" s="1849"/>
      <c r="H1" s="1849"/>
      <c r="I1" s="1849"/>
      <c r="J1" s="1849"/>
      <c r="K1" s="1849"/>
      <c r="L1" s="1849"/>
      <c r="M1" s="1849"/>
      <c r="N1" s="1849"/>
      <c r="O1" s="1849"/>
      <c r="P1" s="1849"/>
      <c r="Q1" s="1849"/>
      <c r="R1" s="1849"/>
      <c r="S1" s="1849"/>
      <c r="T1" s="1850"/>
    </row>
    <row r="2" spans="1:20" ht="17.25" customHeight="1" thickBot="1" x14ac:dyDescent="0.3">
      <c r="A2" s="698"/>
      <c r="B2" s="698"/>
      <c r="C2" s="698"/>
      <c r="D2" s="698"/>
      <c r="E2" s="698"/>
      <c r="F2" s="698"/>
      <c r="G2" s="698"/>
      <c r="H2" s="698"/>
      <c r="I2" s="698"/>
      <c r="J2" s="698"/>
      <c r="K2" s="698"/>
      <c r="L2" s="698"/>
      <c r="M2" s="698"/>
      <c r="N2" s="698"/>
    </row>
    <row r="3" spans="1:20" ht="15.75" thickBot="1" x14ac:dyDescent="0.3">
      <c r="M3" s="719" t="s">
        <v>196</v>
      </c>
    </row>
    <row r="4" spans="1:20" ht="22.5" customHeight="1" thickBot="1" x14ac:dyDescent="0.3">
      <c r="A4" s="698"/>
      <c r="B4" s="698"/>
      <c r="C4" s="698"/>
      <c r="D4" s="698"/>
      <c r="E4" s="698"/>
      <c r="F4" s="698"/>
      <c r="G4" s="698"/>
      <c r="H4" s="698"/>
      <c r="I4" s="698"/>
      <c r="J4" s="698"/>
      <c r="K4" s="698"/>
      <c r="L4" s="698"/>
      <c r="M4" s="1174">
        <f>'RT03-F11 #'!M30</f>
        <v>18927.055</v>
      </c>
      <c r="O4" s="721" t="s">
        <v>468</v>
      </c>
      <c r="P4" s="1838">
        <v>44544</v>
      </c>
      <c r="Q4" s="1838"/>
      <c r="R4" s="1839"/>
    </row>
    <row r="5" spans="1:20" ht="15.75" x14ac:dyDescent="0.25">
      <c r="O5" s="1840" t="s">
        <v>234</v>
      </c>
      <c r="P5" s="1841"/>
      <c r="Q5" s="1841"/>
      <c r="R5" s="1842"/>
      <c r="S5" s="819"/>
    </row>
    <row r="6" spans="1:20" ht="15.75" customHeight="1" x14ac:dyDescent="0.25">
      <c r="A6" s="698"/>
      <c r="B6" s="698"/>
      <c r="C6" s="698"/>
      <c r="D6" s="698"/>
      <c r="E6" s="698"/>
      <c r="F6" s="698"/>
      <c r="G6" s="698"/>
      <c r="H6" s="698"/>
      <c r="I6" s="698"/>
      <c r="J6" s="698"/>
      <c r="K6" s="698"/>
      <c r="L6" s="698"/>
      <c r="O6" s="1843" t="s">
        <v>218</v>
      </c>
      <c r="P6" s="1844"/>
      <c r="Q6" s="1844"/>
      <c r="R6" s="1845"/>
      <c r="S6" s="819"/>
    </row>
    <row r="7" spans="1:20" x14ac:dyDescent="0.25">
      <c r="O7" s="1167">
        <v>18501</v>
      </c>
      <c r="P7" s="1168" t="s">
        <v>219</v>
      </c>
      <c r="Q7" s="1168">
        <v>19336.599999999999</v>
      </c>
      <c r="R7" s="1169" t="s">
        <v>4</v>
      </c>
      <c r="S7" s="681"/>
    </row>
    <row r="8" spans="1:20" ht="18" x14ac:dyDescent="0.25">
      <c r="A8" s="698"/>
      <c r="B8" s="698"/>
      <c r="C8" s="698"/>
      <c r="D8" s="698"/>
      <c r="E8" s="698"/>
      <c r="F8" s="698"/>
      <c r="G8" s="698"/>
      <c r="H8" s="698"/>
      <c r="I8" s="698"/>
      <c r="J8" s="698"/>
      <c r="K8" s="698"/>
      <c r="L8" s="698"/>
      <c r="O8" s="1170">
        <v>1128.29</v>
      </c>
      <c r="P8" s="1168" t="s">
        <v>219</v>
      </c>
      <c r="Q8" s="1168">
        <v>1179.99</v>
      </c>
      <c r="R8" s="1169" t="s">
        <v>650</v>
      </c>
      <c r="S8" s="680"/>
    </row>
    <row r="9" spans="1:20" ht="15.75" thickBot="1" x14ac:dyDescent="0.3">
      <c r="O9" s="1170">
        <v>4.8917000000000002</v>
      </c>
      <c r="P9" s="1168" t="s">
        <v>219</v>
      </c>
      <c r="Q9" s="1168">
        <v>5.1082000000000001</v>
      </c>
      <c r="R9" s="1169" t="s">
        <v>9</v>
      </c>
      <c r="S9" s="680"/>
    </row>
    <row r="10" spans="1:20" ht="19.5" thickBot="1" x14ac:dyDescent="0.3">
      <c r="A10" s="698"/>
      <c r="B10" s="698"/>
      <c r="C10" s="698"/>
      <c r="D10" s="698"/>
      <c r="E10" s="698"/>
      <c r="F10" s="698"/>
      <c r="G10" s="698"/>
      <c r="H10" s="698"/>
      <c r="I10" s="698"/>
      <c r="J10" s="698"/>
      <c r="K10" s="698"/>
      <c r="L10" s="698"/>
      <c r="O10" s="816" t="s">
        <v>180</v>
      </c>
      <c r="P10" s="817" t="s">
        <v>4</v>
      </c>
      <c r="Q10" s="817" t="s">
        <v>521</v>
      </c>
      <c r="R10" s="818" t="s">
        <v>9</v>
      </c>
      <c r="S10" s="720" t="s">
        <v>246</v>
      </c>
    </row>
    <row r="11" spans="1:20" ht="15.75" thickBot="1" x14ac:dyDescent="0.3">
      <c r="O11" s="347"/>
      <c r="P11" s="1165"/>
      <c r="Q11" s="1165"/>
      <c r="R11" s="1171"/>
      <c r="S11" s="262"/>
    </row>
    <row r="12" spans="1:20" ht="15.75" thickBot="1" x14ac:dyDescent="0.3">
      <c r="A12" s="698"/>
      <c r="B12" s="698"/>
      <c r="C12" s="698"/>
      <c r="D12" s="698"/>
      <c r="E12" s="698"/>
      <c r="F12" s="698"/>
      <c r="G12" s="698"/>
      <c r="H12" s="698"/>
      <c r="I12" s="698"/>
      <c r="J12" s="698"/>
      <c r="K12" s="698"/>
      <c r="L12" s="698"/>
      <c r="M12" s="699"/>
      <c r="O12" s="347">
        <v>1</v>
      </c>
      <c r="P12" s="1172">
        <v>4.5999999999999996</v>
      </c>
      <c r="Q12" s="1165">
        <v>0.28000000000000003</v>
      </c>
      <c r="R12" s="1171">
        <v>1.1999999999999999E-3</v>
      </c>
      <c r="S12" s="1173">
        <f>(P12/M4)*100</f>
        <v>2.4303833850538286E-2</v>
      </c>
    </row>
    <row r="13" spans="1:20" ht="15.75" thickBot="1" x14ac:dyDescent="0.3">
      <c r="O13" s="811"/>
      <c r="P13" s="812"/>
      <c r="Q13" s="813"/>
      <c r="R13" s="814"/>
      <c r="S13" s="815"/>
    </row>
    <row r="15" spans="1:20" x14ac:dyDescent="0.25">
      <c r="L15" s="700"/>
    </row>
  </sheetData>
  <sheetProtection algorithmName="SHA-512" hashValue="lOz3iDk4fVgWDRpsXl7AWbg4F0YLcNQB04qIhaB0LhFpjcIyFcPgOdhU00z+Tg208Q5gy6y9s/2Nt1ATwaR8oQ==" saltValue="aFW/swAnvsVtaLfvnA4X+w==" spinCount="100000" sheet="1" objects="1" scenarios="1"/>
  <mergeCells count="5">
    <mergeCell ref="P4:R4"/>
    <mergeCell ref="O5:R5"/>
    <mergeCell ref="O6:R6"/>
    <mergeCell ref="A1:C1"/>
    <mergeCell ref="D1:T1"/>
  </mergeCells>
  <pageMargins left="0.70866141732283472" right="0.70866141732283472" top="0.74803149606299213" bottom="0.74803149606299213" header="0.31496062992125984" footer="0.31496062992125984"/>
  <pageSetup scale="10" pageOrder="overThenDown" orientation="portrait" r:id="rId1"/>
  <headerFooter>
    <oddFooter>&amp;RRT03-F11 Vr.12 (2022-02-18)</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66CC"/>
  </sheetPr>
  <dimension ref="A1:Y161"/>
  <sheetViews>
    <sheetView showGridLines="0" tabSelected="1" view="pageBreakPreview" zoomScale="90" zoomScaleNormal="100" zoomScaleSheetLayoutView="90" workbookViewId="0">
      <selection activeCell="A71" sqref="A71:K71"/>
    </sheetView>
  </sheetViews>
  <sheetFormatPr baseColWidth="10" defaultColWidth="11.42578125" defaultRowHeight="15.75" x14ac:dyDescent="0.25"/>
  <cols>
    <col min="1" max="1" width="5.7109375" style="1175" customWidth="1"/>
    <col min="2" max="2" width="13.5703125" style="1175" customWidth="1"/>
    <col min="3" max="8" width="12.7109375" style="1175" customWidth="1"/>
    <col min="9" max="9" width="18" style="1175" customWidth="1"/>
    <col min="10" max="10" width="9.42578125" style="1175" customWidth="1"/>
    <col min="11" max="11" width="9" style="1175" customWidth="1"/>
    <col min="12" max="12" width="8.28515625" style="1175" customWidth="1"/>
    <col min="13" max="13" width="10.140625" style="1175" customWidth="1"/>
    <col min="14" max="14" width="8" style="1175" customWidth="1"/>
    <col min="15" max="15" width="13.85546875" style="1175" customWidth="1"/>
    <col min="16" max="16" width="0.5703125" style="1175" customWidth="1"/>
    <col min="17" max="17" width="1.7109375" style="1175" customWidth="1"/>
    <col min="18" max="16384" width="11.42578125" style="1175"/>
  </cols>
  <sheetData>
    <row r="1" spans="1:11" ht="125.1" customHeight="1" x14ac:dyDescent="0.25">
      <c r="A1" s="1869"/>
      <c r="B1" s="1869"/>
      <c r="C1" s="1869"/>
      <c r="D1" s="1869"/>
      <c r="E1" s="1869"/>
      <c r="F1" s="1869"/>
      <c r="G1" s="1869"/>
      <c r="H1" s="1869"/>
      <c r="I1" s="1869"/>
      <c r="J1" s="1869"/>
      <c r="K1" s="1869"/>
    </row>
    <row r="2" spans="1:11" ht="35.1" customHeight="1" x14ac:dyDescent="0.25">
      <c r="A2" s="1176"/>
      <c r="B2" s="1176"/>
      <c r="C2" s="1176"/>
      <c r="D2" s="1176"/>
      <c r="E2" s="1176"/>
      <c r="F2" s="1176"/>
      <c r="G2" s="1176"/>
      <c r="H2" s="1176"/>
      <c r="I2" s="1176"/>
      <c r="J2" s="1176"/>
      <c r="K2" s="1176"/>
    </row>
    <row r="3" spans="1:11" ht="65.099999999999994" customHeight="1" x14ac:dyDescent="0.25">
      <c r="A3" s="1176"/>
      <c r="B3" s="1176"/>
      <c r="C3" s="1176"/>
      <c r="D3" s="1176"/>
      <c r="E3" s="1176"/>
      <c r="F3" s="1176"/>
      <c r="G3" s="1176"/>
      <c r="H3" s="1177"/>
      <c r="I3" s="1178" t="s">
        <v>269</v>
      </c>
      <c r="J3" s="1863">
        <f>'DATOS #'!N15</f>
        <v>0</v>
      </c>
      <c r="K3" s="1863"/>
    </row>
    <row r="4" spans="1:11" ht="26.1" customHeight="1" x14ac:dyDescent="0.25">
      <c r="A4" s="1867" t="s">
        <v>42</v>
      </c>
      <c r="B4" s="1867"/>
      <c r="C4" s="1867"/>
      <c r="D4" s="1867"/>
      <c r="E4" s="1179"/>
      <c r="F4" s="1180"/>
    </row>
    <row r="5" spans="1:11" ht="18" customHeight="1" x14ac:dyDescent="0.25">
      <c r="A5" s="1181"/>
      <c r="B5" s="1181"/>
      <c r="C5" s="1181"/>
      <c r="D5" s="1180"/>
      <c r="E5" s="1180"/>
      <c r="F5" s="1180"/>
    </row>
    <row r="6" spans="1:11" ht="26.1" customHeight="1" x14ac:dyDescent="0.25">
      <c r="A6" s="1855" t="s">
        <v>358</v>
      </c>
      <c r="B6" s="1855"/>
      <c r="C6" s="1182"/>
      <c r="D6" s="1854">
        <f>'DATOS #'!K8</f>
        <v>0</v>
      </c>
      <c r="E6" s="1854"/>
      <c r="F6" s="1854"/>
      <c r="G6" s="1854"/>
      <c r="H6" s="1854"/>
      <c r="I6" s="1854"/>
      <c r="J6" s="1854"/>
      <c r="K6" s="1854"/>
    </row>
    <row r="7" spans="1:11" ht="26.1" customHeight="1" x14ac:dyDescent="0.25">
      <c r="A7" s="1853" t="s">
        <v>359</v>
      </c>
      <c r="B7" s="1853"/>
      <c r="C7" s="1183"/>
      <c r="D7" s="1854">
        <f>'DATOS #'!L8</f>
        <v>0</v>
      </c>
      <c r="E7" s="1854"/>
      <c r="F7" s="1854"/>
      <c r="G7" s="1854"/>
      <c r="H7" s="1854"/>
      <c r="I7" s="1854"/>
      <c r="J7" s="1854"/>
      <c r="K7" s="1854"/>
    </row>
    <row r="8" spans="1:11" ht="26.1" customHeight="1" x14ac:dyDescent="0.25">
      <c r="A8" s="1853" t="s">
        <v>380</v>
      </c>
      <c r="B8" s="1853"/>
      <c r="C8" s="1183"/>
      <c r="D8" s="1854">
        <f>'DATOS #'!M8</f>
        <v>0</v>
      </c>
      <c r="E8" s="1854"/>
      <c r="F8" s="1854"/>
      <c r="G8" s="1854"/>
      <c r="H8" s="1854"/>
      <c r="I8" s="1854"/>
      <c r="J8" s="1854"/>
      <c r="K8" s="1854"/>
    </row>
    <row r="9" spans="1:11" ht="26.1" customHeight="1" x14ac:dyDescent="0.25">
      <c r="A9" s="1184"/>
      <c r="B9" s="1184"/>
      <c r="C9" s="1181"/>
      <c r="D9" s="1180"/>
      <c r="E9" s="1180"/>
      <c r="F9" s="1180"/>
      <c r="G9" s="1180"/>
    </row>
    <row r="10" spans="1:11" ht="26.1" customHeight="1" x14ac:dyDescent="0.25">
      <c r="A10" s="1855" t="s">
        <v>360</v>
      </c>
      <c r="B10" s="1855"/>
      <c r="C10" s="1855"/>
      <c r="D10" s="1855"/>
      <c r="E10" s="1856" t="e">
        <f>'RT03-F11 #'!D3</f>
        <v>#N/A</v>
      </c>
      <c r="F10" s="1856"/>
      <c r="H10" s="1857" t="s">
        <v>361</v>
      </c>
      <c r="I10" s="1857"/>
      <c r="J10" s="1858">
        <f>'DATOS #'!I8</f>
        <v>0</v>
      </c>
      <c r="K10" s="1858"/>
    </row>
    <row r="11" spans="1:11" ht="26.1" customHeight="1" x14ac:dyDescent="0.25">
      <c r="A11" s="1871"/>
      <c r="B11" s="1871"/>
      <c r="C11" s="1186"/>
      <c r="D11" s="1871"/>
      <c r="E11" s="1871"/>
      <c r="F11" s="1871"/>
      <c r="I11" s="1187"/>
      <c r="J11" s="1187"/>
      <c r="K11" s="1187"/>
    </row>
    <row r="12" spans="1:11" ht="26.1" customHeight="1" x14ac:dyDescent="0.25">
      <c r="A12" s="1867" t="s">
        <v>45</v>
      </c>
      <c r="B12" s="1867"/>
      <c r="C12" s="1867"/>
      <c r="D12" s="1867"/>
      <c r="E12" s="1867"/>
      <c r="F12" s="1867"/>
      <c r="G12" s="1867"/>
      <c r="H12" s="1867"/>
      <c r="I12" s="1867"/>
      <c r="J12" s="1867"/>
      <c r="K12" s="1187"/>
    </row>
    <row r="13" spans="1:11" ht="18" customHeight="1" x14ac:dyDescent="0.25">
      <c r="A13" s="1182"/>
      <c r="B13" s="1182"/>
      <c r="C13" s="1182"/>
      <c r="D13" s="1182"/>
      <c r="E13" s="1182"/>
      <c r="F13" s="680"/>
      <c r="G13" s="1188"/>
      <c r="H13" s="1188"/>
      <c r="I13" s="1189"/>
      <c r="J13" s="1189"/>
      <c r="K13" s="1187"/>
    </row>
    <row r="14" spans="1:11" ht="26.1" customHeight="1" x14ac:dyDescent="0.25">
      <c r="A14" s="1855" t="s">
        <v>24</v>
      </c>
      <c r="B14" s="1855"/>
      <c r="C14" s="1855"/>
      <c r="D14" s="1855"/>
      <c r="E14" s="1861" t="s">
        <v>356</v>
      </c>
      <c r="F14" s="1861"/>
      <c r="G14" s="1861"/>
      <c r="H14" s="1861"/>
      <c r="I14" s="1189"/>
      <c r="J14" s="1189"/>
      <c r="K14" s="1187"/>
    </row>
    <row r="15" spans="1:11" ht="26.1" customHeight="1" x14ac:dyDescent="0.25">
      <c r="A15" s="1855" t="s">
        <v>303</v>
      </c>
      <c r="B15" s="1855"/>
      <c r="C15" s="1855"/>
      <c r="D15" s="1855"/>
      <c r="E15" s="1870">
        <f>'DATOS #'!C15</f>
        <v>0</v>
      </c>
      <c r="F15" s="1870"/>
      <c r="G15" s="1870"/>
      <c r="H15" s="1870"/>
      <c r="I15" s="1190"/>
      <c r="J15" s="1189"/>
      <c r="K15" s="1187"/>
    </row>
    <row r="16" spans="1:11" ht="26.1" customHeight="1" x14ac:dyDescent="0.25">
      <c r="A16" s="1855" t="s">
        <v>302</v>
      </c>
      <c r="B16" s="1855"/>
      <c r="C16" s="1855"/>
      <c r="D16" s="1855"/>
      <c r="E16" s="1870">
        <f>'DATOS #'!E15</f>
        <v>0</v>
      </c>
      <c r="F16" s="1870"/>
      <c r="G16" s="1870"/>
      <c r="H16" s="1870"/>
      <c r="I16" s="1190"/>
      <c r="J16" s="1189"/>
      <c r="K16" s="1187"/>
    </row>
    <row r="17" spans="1:25" ht="26.1" customHeight="1" x14ac:dyDescent="0.25">
      <c r="A17" s="1859" t="s">
        <v>280</v>
      </c>
      <c r="B17" s="1859"/>
      <c r="C17" s="1859"/>
      <c r="D17" s="1859"/>
      <c r="E17" s="1860">
        <f>'DATOS #'!D15</f>
        <v>0</v>
      </c>
      <c r="F17" s="1860"/>
      <c r="G17" s="1860"/>
      <c r="H17" s="1860"/>
      <c r="I17" s="1190"/>
      <c r="J17" s="1189"/>
      <c r="K17" s="1187"/>
    </row>
    <row r="18" spans="1:25" ht="26.1" customHeight="1" x14ac:dyDescent="0.25">
      <c r="A18" s="1859" t="s">
        <v>33</v>
      </c>
      <c r="B18" s="1859"/>
      <c r="C18" s="1859"/>
      <c r="D18" s="1859"/>
      <c r="E18" s="1861" t="s">
        <v>347</v>
      </c>
      <c r="F18" s="1861"/>
      <c r="G18" s="1861"/>
      <c r="H18" s="1861"/>
      <c r="I18" s="1190"/>
      <c r="J18" s="1189"/>
      <c r="K18" s="1187"/>
    </row>
    <row r="19" spans="1:25" ht="26.1" customHeight="1" x14ac:dyDescent="0.25">
      <c r="A19" s="1859" t="s">
        <v>301</v>
      </c>
      <c r="B19" s="1859"/>
      <c r="C19" s="1859"/>
      <c r="D19" s="1859"/>
      <c r="E19" s="1336" t="str">
        <f>'DATOS #'!G15</f>
        <v>5 gal</v>
      </c>
      <c r="F19" s="1319"/>
      <c r="G19" s="1319"/>
      <c r="H19" s="1319"/>
      <c r="I19" s="1190"/>
      <c r="J19" s="1188"/>
      <c r="S19" s="1871"/>
      <c r="T19" s="1871"/>
      <c r="U19" s="1871"/>
      <c r="V19" s="1871"/>
      <c r="W19" s="1871"/>
    </row>
    <row r="20" spans="1:25" ht="26.1" customHeight="1" x14ac:dyDescent="0.25">
      <c r="A20" s="1859" t="s">
        <v>208</v>
      </c>
      <c r="B20" s="1859"/>
      <c r="C20" s="1859"/>
      <c r="D20" s="1859"/>
      <c r="E20" s="1337" t="s">
        <v>663</v>
      </c>
      <c r="F20" s="1349" t="e">
        <f>'DATOS #'!H15</f>
        <v>#N/A</v>
      </c>
      <c r="G20" s="734"/>
      <c r="H20" s="734"/>
      <c r="I20" s="1190"/>
      <c r="J20" s="1188"/>
      <c r="M20" s="1193"/>
      <c r="N20" s="1193"/>
      <c r="O20" s="1193"/>
      <c r="P20" s="1193"/>
      <c r="Q20" s="1193"/>
      <c r="R20" s="1193"/>
      <c r="S20" s="1193"/>
      <c r="T20" s="1193"/>
      <c r="U20" s="1193"/>
      <c r="V20" s="1193"/>
    </row>
    <row r="21" spans="1:25" ht="26.1" customHeight="1" x14ac:dyDescent="0.25">
      <c r="A21" s="1859" t="s">
        <v>279</v>
      </c>
      <c r="B21" s="1859"/>
      <c r="C21" s="1859"/>
      <c r="D21" s="1859"/>
      <c r="E21" s="1861" t="s">
        <v>304</v>
      </c>
      <c r="F21" s="1861"/>
      <c r="G21" s="1861"/>
      <c r="H21" s="1861"/>
      <c r="I21" s="1190"/>
      <c r="J21" s="1194"/>
      <c r="S21" s="1872"/>
      <c r="T21" s="1873"/>
      <c r="U21" s="1873"/>
      <c r="W21" s="1871"/>
      <c r="X21" s="1871"/>
      <c r="Y21" s="1871"/>
    </row>
    <row r="22" spans="1:25" ht="26.1" customHeight="1" x14ac:dyDescent="0.25">
      <c r="A22" s="1871"/>
      <c r="B22" s="1871"/>
      <c r="C22" s="1871"/>
      <c r="D22" s="1871"/>
      <c r="E22" s="1874"/>
      <c r="F22" s="1874"/>
      <c r="G22" s="1874"/>
      <c r="H22" s="1874"/>
      <c r="I22" s="1195"/>
    </row>
    <row r="23" spans="1:25" ht="23.1" customHeight="1" x14ac:dyDescent="0.25">
      <c r="A23" s="1867" t="s">
        <v>140</v>
      </c>
      <c r="B23" s="1867"/>
      <c r="C23" s="1867"/>
      <c r="D23" s="1867"/>
      <c r="E23" s="1867"/>
      <c r="F23" s="1867"/>
      <c r="G23" s="1867"/>
      <c r="H23" s="1867"/>
      <c r="I23" s="1867"/>
      <c r="J23" s="1867"/>
      <c r="K23" s="1867"/>
    </row>
    <row r="24" spans="1:25" ht="18" customHeight="1" x14ac:dyDescent="0.25">
      <c r="A24" s="1188"/>
      <c r="B24" s="1188"/>
      <c r="C24" s="1188"/>
      <c r="D24" s="1188"/>
      <c r="E24" s="1188"/>
      <c r="F24" s="1188"/>
      <c r="G24" s="1188"/>
      <c r="H24" s="1188"/>
      <c r="I24" s="1188"/>
      <c r="J24" s="1188"/>
      <c r="K24" s="1188"/>
    </row>
    <row r="25" spans="1:25" ht="23.1" customHeight="1" x14ac:dyDescent="0.25">
      <c r="A25" s="1868">
        <f>'DATOS #'!G8</f>
        <v>0</v>
      </c>
      <c r="B25" s="1868"/>
      <c r="C25" s="1868"/>
      <c r="D25" s="1868"/>
      <c r="E25" s="1868"/>
      <c r="F25" s="1868"/>
      <c r="G25" s="1868"/>
      <c r="H25" s="1868"/>
      <c r="I25" s="1868"/>
      <c r="J25" s="1868"/>
      <c r="K25" s="1868"/>
    </row>
    <row r="26" spans="1:25" ht="26.1" customHeight="1" x14ac:dyDescent="0.25">
      <c r="A26" s="1868"/>
      <c r="B26" s="1868"/>
      <c r="C26" s="1868"/>
      <c r="D26" s="1868"/>
      <c r="E26" s="1868"/>
      <c r="F26" s="1868"/>
      <c r="G26" s="1868"/>
      <c r="H26" s="1868"/>
      <c r="I26" s="1868"/>
      <c r="J26" s="1868"/>
      <c r="K26" s="1868"/>
    </row>
    <row r="27" spans="1:25" ht="34.5" customHeight="1" x14ac:dyDescent="0.25">
      <c r="A27" s="1867" t="s">
        <v>273</v>
      </c>
      <c r="B27" s="1867"/>
      <c r="C27" s="1867"/>
      <c r="D27" s="1867"/>
      <c r="E27" s="1868">
        <f>'DATOS #'!J8</f>
        <v>0</v>
      </c>
      <c r="F27" s="1868"/>
      <c r="G27" s="1192"/>
      <c r="H27" s="1188"/>
      <c r="I27" s="1188"/>
      <c r="J27" s="1188"/>
      <c r="K27" s="1188"/>
    </row>
    <row r="28" spans="1:25" ht="26.1" customHeight="1" x14ac:dyDescent="0.25">
      <c r="A28" s="1188"/>
      <c r="B28" s="1188"/>
      <c r="C28" s="1188"/>
      <c r="D28" s="1188"/>
      <c r="E28" s="1188"/>
      <c r="F28" s="1196"/>
      <c r="G28" s="1196"/>
      <c r="H28" s="1188"/>
      <c r="I28" s="1188"/>
      <c r="J28" s="1188"/>
      <c r="K28" s="1188"/>
    </row>
    <row r="29" spans="1:25" ht="23.1" customHeight="1" x14ac:dyDescent="0.25">
      <c r="A29" s="1875" t="s">
        <v>305</v>
      </c>
      <c r="B29" s="1875"/>
      <c r="C29" s="1875"/>
      <c r="D29" s="1875"/>
      <c r="E29" s="1875"/>
      <c r="F29" s="1875"/>
      <c r="G29" s="1875"/>
      <c r="H29" s="1875"/>
      <c r="I29" s="819"/>
      <c r="J29" s="1197"/>
      <c r="K29" s="1188"/>
    </row>
    <row r="30" spans="1:25" ht="18" customHeight="1" x14ac:dyDescent="0.25">
      <c r="A30" s="1190"/>
      <c r="B30" s="1190"/>
      <c r="C30" s="1190"/>
      <c r="D30" s="1190"/>
      <c r="E30" s="1190"/>
      <c r="F30" s="1190"/>
      <c r="G30" s="1190"/>
      <c r="H30" s="1190"/>
      <c r="I30" s="1190"/>
      <c r="J30" s="1188"/>
      <c r="K30" s="1188"/>
    </row>
    <row r="31" spans="1:25" ht="20.100000000000001" customHeight="1" x14ac:dyDescent="0.25">
      <c r="A31" s="1862" t="s">
        <v>464</v>
      </c>
      <c r="B31" s="1862"/>
      <c r="C31" s="1862"/>
      <c r="D31" s="1862"/>
      <c r="E31" s="1862"/>
      <c r="F31" s="1862"/>
      <c r="G31" s="1862"/>
      <c r="H31" s="1862"/>
      <c r="I31" s="1862"/>
      <c r="J31" s="1862"/>
      <c r="K31" s="1862"/>
    </row>
    <row r="32" spans="1:25" ht="20.100000000000001" customHeight="1" x14ac:dyDescent="0.25">
      <c r="A32" s="1862"/>
      <c r="B32" s="1862"/>
      <c r="C32" s="1862"/>
      <c r="D32" s="1862"/>
      <c r="E32" s="1862"/>
      <c r="F32" s="1862"/>
      <c r="G32" s="1862"/>
      <c r="H32" s="1862"/>
      <c r="I32" s="1862"/>
      <c r="J32" s="1862"/>
      <c r="K32" s="1862"/>
    </row>
    <row r="33" spans="1:11" ht="18" customHeight="1" x14ac:dyDescent="0.25">
      <c r="A33" s="1198"/>
      <c r="B33" s="1198"/>
      <c r="C33" s="1198"/>
      <c r="D33" s="1198"/>
      <c r="E33" s="1198"/>
      <c r="F33" s="1198"/>
      <c r="G33" s="1198"/>
      <c r="H33" s="1198"/>
      <c r="I33" s="1198"/>
      <c r="J33" s="1198"/>
      <c r="K33" s="1198"/>
    </row>
    <row r="34" spans="1:11" ht="125.1" customHeight="1" x14ac:dyDescent="0.25">
      <c r="A34" s="1198"/>
      <c r="B34" s="1198"/>
      <c r="C34" s="1198"/>
      <c r="D34" s="1198"/>
      <c r="E34" s="1198"/>
      <c r="F34" s="1198"/>
      <c r="G34" s="1198"/>
      <c r="H34" s="1198"/>
      <c r="I34" s="1198"/>
      <c r="J34" s="1198"/>
      <c r="K34" s="1198"/>
    </row>
    <row r="35" spans="1:11" ht="35.1" customHeight="1" x14ac:dyDescent="0.25">
      <c r="A35" s="1198"/>
      <c r="B35" s="1198"/>
      <c r="C35" s="1198"/>
      <c r="D35" s="1198"/>
      <c r="E35" s="1198"/>
      <c r="F35" s="1198"/>
      <c r="G35" s="1198"/>
      <c r="H35" s="1198"/>
      <c r="I35" s="1198"/>
      <c r="J35" s="1198"/>
      <c r="K35" s="1198"/>
    </row>
    <row r="36" spans="1:11" ht="65.099999999999994" customHeight="1" x14ac:dyDescent="0.25">
      <c r="A36" s="1199"/>
      <c r="B36" s="1199"/>
      <c r="C36" s="1199"/>
      <c r="D36" s="1199"/>
      <c r="E36" s="1199"/>
      <c r="F36" s="1199"/>
      <c r="G36" s="1199"/>
      <c r="H36" s="1177"/>
      <c r="I36" s="1200" t="s">
        <v>269</v>
      </c>
      <c r="J36" s="1863">
        <f>J3</f>
        <v>0</v>
      </c>
      <c r="K36" s="1863"/>
    </row>
    <row r="37" spans="1:11" ht="24.95" customHeight="1" x14ac:dyDescent="0.25">
      <c r="A37" s="1199"/>
      <c r="B37" s="1199"/>
      <c r="C37" s="1199"/>
      <c r="D37" s="1199"/>
      <c r="E37" s="1199"/>
      <c r="F37" s="1199"/>
      <c r="G37" s="1199"/>
      <c r="H37" s="1177"/>
      <c r="I37" s="1201"/>
      <c r="J37" s="1201"/>
      <c r="K37" s="1176"/>
    </row>
    <row r="38" spans="1:11" ht="18" customHeight="1" x14ac:dyDescent="0.25">
      <c r="A38" s="1199"/>
      <c r="B38" s="1199"/>
      <c r="C38" s="1199"/>
      <c r="D38" s="1199"/>
      <c r="E38" s="1199"/>
      <c r="F38" s="1199"/>
      <c r="G38" s="1199"/>
      <c r="H38" s="1177"/>
      <c r="I38" s="1201"/>
      <c r="J38" s="1201"/>
      <c r="K38" s="1176"/>
    </row>
    <row r="39" spans="1:11" ht="18" customHeight="1" x14ac:dyDescent="0.25">
      <c r="A39" s="1199"/>
      <c r="B39" s="1199"/>
      <c r="C39" s="1199"/>
      <c r="D39" s="1199"/>
      <c r="E39" s="1199"/>
      <c r="F39" s="1199"/>
      <c r="G39" s="1199"/>
      <c r="H39" s="1177"/>
      <c r="I39" s="1201"/>
      <c r="J39" s="1201"/>
      <c r="K39" s="1176"/>
    </row>
    <row r="40" spans="1:11" ht="15.75" customHeight="1" x14ac:dyDescent="0.25">
      <c r="A40" s="1199"/>
      <c r="B40" s="1199"/>
      <c r="C40" s="1199"/>
      <c r="D40" s="1199"/>
      <c r="E40" s="1199"/>
      <c r="F40" s="1199"/>
      <c r="G40" s="1199"/>
      <c r="H40" s="1177"/>
      <c r="I40" s="1201"/>
      <c r="J40" s="1201"/>
      <c r="K40" s="1176"/>
    </row>
    <row r="41" spans="1:11" s="1204" customFormat="1" ht="23.1" customHeight="1" x14ac:dyDescent="0.2">
      <c r="A41" s="1864" t="s">
        <v>38</v>
      </c>
      <c r="B41" s="1864"/>
      <c r="C41" s="1202"/>
      <c r="D41" s="1202"/>
      <c r="E41" s="1202"/>
      <c r="F41" s="1202"/>
      <c r="G41" s="1202"/>
      <c r="H41" s="1202"/>
      <c r="I41" s="1202"/>
      <c r="J41" s="1203"/>
    </row>
    <row r="42" spans="1:11" s="1204" customFormat="1" ht="24.95" customHeight="1" x14ac:dyDescent="0.2">
      <c r="A42" s="1205"/>
      <c r="B42" s="1202"/>
      <c r="C42" s="1202"/>
      <c r="D42" s="1202"/>
      <c r="E42" s="1202"/>
      <c r="F42" s="1202"/>
      <c r="G42" s="1202"/>
      <c r="H42" s="1202"/>
      <c r="I42" s="1202"/>
      <c r="J42" s="1203"/>
    </row>
    <row r="43" spans="1:11" s="1204" customFormat="1" ht="24.95" customHeight="1" x14ac:dyDescent="0.2">
      <c r="A43" s="1202"/>
      <c r="B43" s="1206"/>
      <c r="C43" s="1865" t="s">
        <v>37</v>
      </c>
      <c r="D43" s="1865"/>
      <c r="E43" s="1865"/>
      <c r="F43" s="1865"/>
      <c r="G43" s="1865"/>
      <c r="H43" s="1865"/>
      <c r="I43" s="1865"/>
      <c r="J43" s="1865"/>
      <c r="K43" s="1865"/>
    </row>
    <row r="44" spans="1:11" s="1204" customFormat="1" ht="12.95" customHeight="1" x14ac:dyDescent="0.2">
      <c r="A44" s="1207"/>
      <c r="B44" s="1207"/>
      <c r="C44" s="1208"/>
      <c r="D44" s="1208"/>
      <c r="E44" s="1208"/>
      <c r="F44" s="1208"/>
      <c r="G44" s="1209"/>
      <c r="H44" s="1210"/>
      <c r="I44" s="1211"/>
      <c r="J44" s="1211"/>
      <c r="K44" s="1209"/>
    </row>
    <row r="45" spans="1:11" s="1204" customFormat="1" ht="15.95" customHeight="1" x14ac:dyDescent="0.2">
      <c r="A45" s="1202"/>
      <c r="B45" s="1212"/>
      <c r="C45" s="1866" t="s">
        <v>270</v>
      </c>
      <c r="D45" s="1866"/>
      <c r="E45" s="1866"/>
      <c r="F45" s="1866"/>
      <c r="G45" s="1866"/>
      <c r="H45" s="1866"/>
      <c r="I45" s="1866"/>
      <c r="J45" s="1866"/>
      <c r="K45" s="1866"/>
    </row>
    <row r="46" spans="1:11" s="1204" customFormat="1" ht="15.95" customHeight="1" x14ac:dyDescent="0.2">
      <c r="A46" s="1202"/>
      <c r="B46" s="1212"/>
      <c r="C46" s="1866"/>
      <c r="D46" s="1866"/>
      <c r="E46" s="1866"/>
      <c r="F46" s="1866"/>
      <c r="G46" s="1866"/>
      <c r="H46" s="1866"/>
      <c r="I46" s="1866"/>
      <c r="J46" s="1866"/>
      <c r="K46" s="1866"/>
    </row>
    <row r="47" spans="1:11" s="1204" customFormat="1" ht="12.95" customHeight="1" x14ac:dyDescent="0.2">
      <c r="A47" s="1202"/>
      <c r="B47" s="1212"/>
      <c r="C47" s="1213"/>
      <c r="D47" s="1213"/>
      <c r="E47" s="1213"/>
      <c r="F47" s="1213"/>
      <c r="G47" s="1213"/>
      <c r="H47" s="1213"/>
      <c r="I47" s="1213"/>
      <c r="J47" s="1213"/>
      <c r="K47" s="1213"/>
    </row>
    <row r="48" spans="1:11" s="1204" customFormat="1" ht="24.95" customHeight="1" x14ac:dyDescent="0.2">
      <c r="A48" s="1202"/>
      <c r="B48" s="1202"/>
      <c r="C48" s="1865" t="s">
        <v>46</v>
      </c>
      <c r="D48" s="1865"/>
      <c r="E48" s="1865"/>
      <c r="F48" s="1865"/>
      <c r="G48" s="1865"/>
      <c r="H48" s="1865"/>
      <c r="I48" s="1865"/>
      <c r="J48" s="1865"/>
      <c r="K48" s="1865"/>
    </row>
    <row r="49" spans="1:12" s="1204" customFormat="1" ht="12.95" customHeight="1" x14ac:dyDescent="0.2">
      <c r="A49" s="1202"/>
      <c r="B49" s="1202"/>
      <c r="C49" s="1213"/>
      <c r="D49" s="1213"/>
      <c r="E49" s="1213"/>
      <c r="F49" s="1213"/>
      <c r="G49" s="1213"/>
      <c r="H49" s="1213"/>
      <c r="I49" s="1213"/>
      <c r="J49" s="1213"/>
      <c r="K49" s="1213"/>
    </row>
    <row r="50" spans="1:12" s="1204" customFormat="1" ht="24.95" customHeight="1" x14ac:dyDescent="0.2">
      <c r="A50" s="1202"/>
      <c r="B50" s="1202"/>
      <c r="C50" s="1866" t="s">
        <v>271</v>
      </c>
      <c r="D50" s="1866"/>
      <c r="E50" s="1866"/>
      <c r="F50" s="1866"/>
      <c r="G50" s="1866"/>
      <c r="H50" s="1866"/>
      <c r="I50" s="1866"/>
      <c r="J50" s="1866"/>
      <c r="K50" s="1866"/>
    </row>
    <row r="51" spans="1:12" s="1204" customFormat="1" ht="12.95" customHeight="1" x14ac:dyDescent="0.2">
      <c r="A51" s="1202"/>
      <c r="B51" s="1202"/>
      <c r="C51" s="1213"/>
      <c r="D51" s="1213"/>
      <c r="E51" s="1213"/>
      <c r="F51" s="1213"/>
      <c r="G51" s="1213"/>
      <c r="H51" s="1213"/>
      <c r="I51" s="1213"/>
      <c r="J51" s="1213"/>
      <c r="K51" s="1213"/>
    </row>
    <row r="52" spans="1:12" s="1204" customFormat="1" ht="24.95" customHeight="1" x14ac:dyDescent="0.2">
      <c r="A52" s="1202"/>
      <c r="B52" s="1202"/>
      <c r="C52" s="1866" t="s">
        <v>47</v>
      </c>
      <c r="D52" s="1866"/>
      <c r="E52" s="1866"/>
      <c r="F52" s="1866"/>
      <c r="G52" s="1866"/>
      <c r="H52" s="1866"/>
      <c r="I52" s="1866"/>
      <c r="J52" s="1866"/>
      <c r="K52" s="1866"/>
    </row>
    <row r="53" spans="1:12" s="1204" customFormat="1" ht="12.95" customHeight="1" x14ac:dyDescent="0.2">
      <c r="A53" s="1202"/>
      <c r="B53" s="1202"/>
      <c r="C53" s="1866"/>
      <c r="D53" s="1866"/>
      <c r="E53" s="1866"/>
      <c r="F53" s="1866"/>
      <c r="G53" s="1866"/>
      <c r="H53" s="1866"/>
      <c r="I53" s="1866"/>
      <c r="J53" s="1866"/>
      <c r="K53" s="1213"/>
    </row>
    <row r="54" spans="1:12" s="1204" customFormat="1" ht="24.95" customHeight="1" x14ac:dyDescent="0.2">
      <c r="A54" s="1202"/>
      <c r="B54" s="1204" t="s">
        <v>12</v>
      </c>
      <c r="C54" s="1866" t="s">
        <v>48</v>
      </c>
      <c r="D54" s="1866"/>
      <c r="E54" s="1866"/>
      <c r="F54" s="1866"/>
      <c r="G54" s="1866"/>
      <c r="H54" s="1866"/>
      <c r="I54" s="1866"/>
      <c r="J54" s="1866"/>
      <c r="K54" s="1866"/>
    </row>
    <row r="55" spans="1:12" s="1204" customFormat="1" ht="12.95" customHeight="1" x14ac:dyDescent="0.2">
      <c r="A55" s="1202"/>
      <c r="C55" s="1866"/>
      <c r="D55" s="1866"/>
      <c r="E55" s="1866"/>
      <c r="F55" s="1866"/>
      <c r="G55" s="1866"/>
      <c r="H55" s="1866"/>
      <c r="I55" s="1866"/>
      <c r="J55" s="1866"/>
      <c r="K55" s="1213"/>
    </row>
    <row r="56" spans="1:12" s="1204" customFormat="1" ht="24.95" customHeight="1" x14ac:dyDescent="0.2">
      <c r="A56" s="1202"/>
      <c r="B56" s="1202"/>
      <c r="C56" s="1866" t="s">
        <v>49</v>
      </c>
      <c r="D56" s="1866"/>
      <c r="E56" s="1866"/>
      <c r="F56" s="1866"/>
      <c r="G56" s="1866"/>
      <c r="H56" s="1866"/>
      <c r="I56" s="1866"/>
      <c r="J56" s="1866"/>
      <c r="K56" s="1866"/>
    </row>
    <row r="57" spans="1:12" s="1204" customFormat="1" ht="12.95" customHeight="1" x14ac:dyDescent="0.2">
      <c r="A57" s="1202"/>
      <c r="B57" s="1202"/>
      <c r="C57" s="1866"/>
      <c r="D57" s="1866"/>
      <c r="E57" s="1866"/>
      <c r="F57" s="1866"/>
      <c r="G57" s="1866"/>
      <c r="H57" s="1866"/>
      <c r="I57" s="1866"/>
      <c r="J57" s="1866"/>
      <c r="K57" s="1213"/>
    </row>
    <row r="58" spans="1:12" s="1204" customFormat="1" ht="24.95" customHeight="1" x14ac:dyDescent="0.2">
      <c r="A58" s="1202"/>
      <c r="B58" s="1202"/>
      <c r="C58" s="1866" t="s">
        <v>466</v>
      </c>
      <c r="D58" s="1866"/>
      <c r="E58" s="1866"/>
      <c r="F58" s="1866"/>
      <c r="G58" s="1866"/>
      <c r="H58" s="1866"/>
      <c r="I58" s="1866"/>
      <c r="J58" s="1866"/>
      <c r="K58" s="1866"/>
    </row>
    <row r="59" spans="1:12" s="1204" customFormat="1" ht="12.95" customHeight="1" x14ac:dyDescent="0.2">
      <c r="A59" s="1202"/>
      <c r="B59" s="1202"/>
      <c r="C59" s="1866"/>
      <c r="D59" s="1866"/>
      <c r="E59" s="1866"/>
      <c r="F59" s="1866"/>
      <c r="G59" s="1866"/>
      <c r="H59" s="1866"/>
      <c r="I59" s="1866"/>
      <c r="J59" s="1866"/>
      <c r="K59" s="1213"/>
    </row>
    <row r="60" spans="1:12" s="1204" customFormat="1" ht="24.95" customHeight="1" x14ac:dyDescent="0.2">
      <c r="A60" s="1202"/>
      <c r="B60" s="1202"/>
      <c r="C60" s="1876" t="s">
        <v>493</v>
      </c>
      <c r="D60" s="1876"/>
      <c r="E60" s="1876"/>
      <c r="F60" s="1876"/>
      <c r="G60" s="1214">
        <f>'DATOS #'!F15</f>
        <v>0</v>
      </c>
      <c r="H60" s="1215"/>
      <c r="I60" s="1215"/>
      <c r="J60" s="1215"/>
      <c r="K60" s="1215"/>
    </row>
    <row r="61" spans="1:12" s="1204" customFormat="1" ht="12.95" customHeight="1" x14ac:dyDescent="0.2">
      <c r="A61" s="1202"/>
      <c r="B61" s="1202"/>
      <c r="C61" s="1866"/>
      <c r="D61" s="1866"/>
      <c r="E61" s="1866"/>
      <c r="F61" s="1866"/>
      <c r="G61" s="1866"/>
      <c r="H61" s="1866"/>
      <c r="I61" s="1866"/>
      <c r="J61" s="1866"/>
      <c r="K61" s="1213"/>
    </row>
    <row r="62" spans="1:12" s="1204" customFormat="1" ht="24.95" customHeight="1" x14ac:dyDescent="0.2">
      <c r="A62" s="1202"/>
      <c r="B62" s="1202"/>
      <c r="C62" s="1866" t="s">
        <v>362</v>
      </c>
      <c r="D62" s="1866"/>
      <c r="E62" s="1866"/>
      <c r="F62" s="1866"/>
      <c r="G62" s="1866"/>
      <c r="H62" s="1866"/>
      <c r="I62" s="1866"/>
      <c r="J62" s="1866"/>
      <c r="K62" s="1213"/>
    </row>
    <row r="63" spans="1:12" s="1204" customFormat="1" ht="12.95" customHeight="1" x14ac:dyDescent="0.25">
      <c r="A63" s="1202"/>
      <c r="B63" s="1202"/>
      <c r="C63" s="1866"/>
      <c r="D63" s="1866"/>
      <c r="E63" s="1866"/>
      <c r="F63" s="1866"/>
      <c r="G63" s="1866"/>
      <c r="H63" s="1866"/>
      <c r="I63" s="1866"/>
      <c r="J63" s="1866"/>
      <c r="K63" s="1213"/>
      <c r="L63" s="1175"/>
    </row>
    <row r="64" spans="1:12" s="1204" customFormat="1" ht="24.95" customHeight="1" x14ac:dyDescent="0.25">
      <c r="A64" s="1202"/>
      <c r="B64" s="1202"/>
      <c r="C64" s="1865" t="s">
        <v>363</v>
      </c>
      <c r="D64" s="1865"/>
      <c r="E64" s="1865"/>
      <c r="F64" s="1865"/>
      <c r="G64" s="1865"/>
      <c r="H64" s="1865"/>
      <c r="I64" s="1213"/>
      <c r="J64" s="1213"/>
      <c r="K64" s="1213"/>
      <c r="L64" s="1175"/>
    </row>
    <row r="65" spans="1:12" s="1204" customFormat="1" ht="12.95" customHeight="1" x14ac:dyDescent="0.25">
      <c r="A65" s="1202"/>
      <c r="B65" s="1202"/>
      <c r="C65" s="1213"/>
      <c r="D65" s="1213"/>
      <c r="E65" s="1213"/>
      <c r="F65" s="1213"/>
      <c r="G65" s="1213"/>
      <c r="H65" s="1213"/>
      <c r="I65" s="1213"/>
      <c r="J65" s="1213"/>
      <c r="K65" s="1213"/>
      <c r="L65" s="1175"/>
    </row>
    <row r="66" spans="1:12" s="1204" customFormat="1" ht="24.95" customHeight="1" x14ac:dyDescent="0.25">
      <c r="A66" s="1202"/>
      <c r="B66" s="1202"/>
      <c r="C66" s="1865" t="s">
        <v>364</v>
      </c>
      <c r="D66" s="1865"/>
      <c r="E66" s="1865"/>
      <c r="F66" s="1865"/>
      <c r="G66" s="1865"/>
      <c r="H66" s="1865"/>
      <c r="I66" s="1213"/>
      <c r="J66" s="1213"/>
      <c r="K66" s="1213"/>
      <c r="L66" s="1175"/>
    </row>
    <row r="67" spans="1:12" s="1204" customFormat="1" ht="12.95" customHeight="1" x14ac:dyDescent="0.25">
      <c r="A67" s="1202"/>
      <c r="B67" s="1202"/>
      <c r="C67" s="1203"/>
      <c r="D67" s="1203"/>
      <c r="E67" s="1203"/>
      <c r="F67" s="1203"/>
      <c r="G67" s="1203"/>
      <c r="H67" s="1203"/>
      <c r="I67" s="1216"/>
      <c r="J67" s="1216"/>
      <c r="K67" s="1175"/>
      <c r="L67" s="1175"/>
    </row>
    <row r="68" spans="1:12" ht="24.95" customHeight="1" x14ac:dyDescent="0.25">
      <c r="A68" s="1202"/>
      <c r="B68" s="1202"/>
      <c r="C68" s="1203"/>
      <c r="D68" s="1203"/>
      <c r="E68" s="1203"/>
      <c r="F68" s="1203"/>
      <c r="G68" s="1203"/>
      <c r="H68" s="1203"/>
      <c r="I68" s="1216"/>
      <c r="J68" s="1216"/>
    </row>
    <row r="69" spans="1:12" ht="23.1" customHeight="1" x14ac:dyDescent="0.25">
      <c r="A69" s="1875" t="s">
        <v>306</v>
      </c>
      <c r="B69" s="1875"/>
      <c r="C69" s="1875"/>
      <c r="D69" s="1875"/>
      <c r="E69" s="1875"/>
      <c r="F69" s="1195"/>
      <c r="G69" s="1195"/>
    </row>
    <row r="70" spans="1:12" ht="15.95" customHeight="1" x14ac:dyDescent="0.25">
      <c r="A70" s="1217"/>
      <c r="B70" s="1217"/>
      <c r="C70" s="1217"/>
      <c r="D70" s="1217"/>
      <c r="E70" s="1217"/>
      <c r="F70" s="1195"/>
      <c r="G70" s="1195"/>
      <c r="H70" s="1195"/>
      <c r="I70" s="1195"/>
      <c r="J70" s="1218"/>
    </row>
    <row r="71" spans="1:12" ht="20.100000000000001" customHeight="1" x14ac:dyDescent="0.25">
      <c r="A71" s="1880" t="s">
        <v>548</v>
      </c>
      <c r="B71" s="1880"/>
      <c r="C71" s="1880"/>
      <c r="D71" s="1880"/>
      <c r="E71" s="1880"/>
      <c r="F71" s="1880"/>
      <c r="G71" s="1880"/>
      <c r="H71" s="1880"/>
      <c r="I71" s="1880"/>
      <c r="J71" s="1880"/>
      <c r="K71" s="1880"/>
    </row>
    <row r="72" spans="1:12" ht="15" customHeight="1" thickBot="1" x14ac:dyDescent="0.3">
      <c r="A72" s="1219"/>
      <c r="B72" s="1219"/>
      <c r="C72" s="1219"/>
      <c r="D72" s="1219"/>
      <c r="E72" s="1219"/>
      <c r="F72" s="1219"/>
      <c r="G72" s="1219"/>
      <c r="H72" s="1219"/>
      <c r="I72" s="1219"/>
      <c r="J72" s="1219"/>
      <c r="K72" s="1219"/>
    </row>
    <row r="73" spans="1:12" ht="30" customHeight="1" thickBot="1" x14ac:dyDescent="0.3">
      <c r="A73" s="1220"/>
      <c r="B73" s="1220"/>
      <c r="C73" s="1625" t="s">
        <v>524</v>
      </c>
      <c r="D73" s="1627"/>
      <c r="E73" s="1625" t="s">
        <v>525</v>
      </c>
      <c r="F73" s="1627"/>
      <c r="G73" s="1625" t="s">
        <v>535</v>
      </c>
      <c r="H73" s="1627"/>
      <c r="I73" s="1220"/>
      <c r="J73" s="1221"/>
      <c r="K73" s="1222"/>
    </row>
    <row r="74" spans="1:12" ht="30" customHeight="1" thickBot="1" x14ac:dyDescent="0.3">
      <c r="A74" s="1220"/>
      <c r="B74" s="1223"/>
      <c r="C74" s="1224" t="s">
        <v>523</v>
      </c>
      <c r="D74" s="1225" t="s">
        <v>533</v>
      </c>
      <c r="E74" s="1224" t="s">
        <v>523</v>
      </c>
      <c r="F74" s="1225" t="s">
        <v>534</v>
      </c>
      <c r="G74" s="1224" t="s">
        <v>523</v>
      </c>
      <c r="H74" s="1225" t="s">
        <v>534</v>
      </c>
      <c r="I74" s="1877"/>
      <c r="J74" s="1877"/>
      <c r="K74" s="1222"/>
    </row>
    <row r="75" spans="1:12" ht="36" customHeight="1" thickBot="1" x14ac:dyDescent="0.3">
      <c r="A75" s="1226"/>
      <c r="B75" s="1227"/>
      <c r="C75" s="1228" t="e">
        <f>VLOOKUP($B$75,'DATOS #'!Q26:W28,2,FALSE)</f>
        <v>#N/A</v>
      </c>
      <c r="D75" s="1229" t="e">
        <f>VLOOKUP($B$75,'DATOS #'!Q26:W28,3,FALSE)</f>
        <v>#N/A</v>
      </c>
      <c r="E75" s="1229" t="e">
        <f>VLOOKUP($B$75,'DATOS #'!Q26:W28,4,FALSE)</f>
        <v>#N/A</v>
      </c>
      <c r="F75" s="1229" t="e">
        <f>VLOOKUP($B$75,'DATOS #'!Q26:W28,5,FALSE)</f>
        <v>#N/A</v>
      </c>
      <c r="G75" s="1230" t="e">
        <f>VLOOKUP($B$75,'DATOS #'!Q26:W28,6,FALSE)</f>
        <v>#N/A</v>
      </c>
      <c r="H75" s="1231" t="e">
        <f>VLOOKUP($B$75,'DATOS #'!Q26:W28,7,FALSE)</f>
        <v>#N/A</v>
      </c>
      <c r="I75" s="1878"/>
      <c r="J75" s="1878"/>
      <c r="K75" s="1222"/>
    </row>
    <row r="76" spans="1:12" ht="32.1" customHeight="1" x14ac:dyDescent="0.25">
      <c r="A76" s="1195"/>
    </row>
    <row r="77" spans="1:12" ht="125.1" customHeight="1" x14ac:dyDescent="0.25">
      <c r="A77" s="1195"/>
    </row>
    <row r="78" spans="1:12" ht="35.1" customHeight="1" x14ac:dyDescent="0.25">
      <c r="A78" s="1195"/>
    </row>
    <row r="79" spans="1:12" ht="65.099999999999994" customHeight="1" x14ac:dyDescent="0.25">
      <c r="A79" s="1195"/>
      <c r="I79" s="1178" t="s">
        <v>269</v>
      </c>
      <c r="J79" s="1863">
        <f>J3</f>
        <v>0</v>
      </c>
      <c r="K79" s="1863"/>
    </row>
    <row r="80" spans="1:12" ht="24.95" customHeight="1" x14ac:dyDescent="0.25">
      <c r="A80" s="1875" t="s">
        <v>307</v>
      </c>
      <c r="B80" s="1875"/>
      <c r="C80" s="1875"/>
      <c r="D80" s="1875"/>
      <c r="E80" s="1875"/>
      <c r="F80" s="1190"/>
      <c r="G80" s="1190"/>
      <c r="H80" s="1190"/>
      <c r="I80" s="1190"/>
      <c r="J80" s="1232"/>
      <c r="K80" s="1188"/>
    </row>
    <row r="81" spans="1:12" ht="9.9499999999999993" customHeight="1" x14ac:dyDescent="0.25">
      <c r="A81" s="1197"/>
      <c r="B81" s="1190"/>
      <c r="C81" s="1190"/>
      <c r="D81" s="1190"/>
      <c r="E81" s="1190"/>
      <c r="F81" s="1190"/>
      <c r="G81" s="1190"/>
      <c r="H81" s="1190"/>
      <c r="I81" s="1190"/>
      <c r="J81" s="1198"/>
      <c r="K81" s="1188"/>
    </row>
    <row r="82" spans="1:12" ht="17.100000000000001" customHeight="1" x14ac:dyDescent="0.25">
      <c r="A82" s="1879" t="s">
        <v>494</v>
      </c>
      <c r="B82" s="1879"/>
      <c r="C82" s="1879"/>
      <c r="D82" s="1879"/>
      <c r="E82" s="1879"/>
      <c r="F82" s="1879"/>
      <c r="G82" s="1879"/>
      <c r="H82" s="1879"/>
      <c r="I82" s="1879"/>
      <c r="J82" s="1879"/>
      <c r="K82" s="1879"/>
    </row>
    <row r="83" spans="1:12" ht="17.100000000000001" customHeight="1" x14ac:dyDescent="0.25">
      <c r="A83" s="1879"/>
      <c r="B83" s="1879"/>
      <c r="C83" s="1879"/>
      <c r="D83" s="1879"/>
      <c r="E83" s="1879"/>
      <c r="F83" s="1879"/>
      <c r="G83" s="1879"/>
      <c r="H83" s="1879"/>
      <c r="I83" s="1879"/>
      <c r="J83" s="1879"/>
      <c r="K83" s="1879"/>
    </row>
    <row r="84" spans="1:12" ht="15.95" customHeight="1" x14ac:dyDescent="0.25">
      <c r="A84" s="1233"/>
      <c r="B84" s="1233"/>
      <c r="C84" s="1233"/>
      <c r="D84" s="1233"/>
      <c r="E84" s="1233"/>
      <c r="F84" s="1233"/>
      <c r="G84" s="1233"/>
      <c r="H84" s="1233"/>
      <c r="I84" s="1233"/>
      <c r="J84" s="1233"/>
      <c r="K84" s="1222"/>
    </row>
    <row r="85" spans="1:12" s="1234" customFormat="1" ht="24.95" customHeight="1" x14ac:dyDescent="0.3">
      <c r="A85" s="1875" t="s">
        <v>308</v>
      </c>
      <c r="B85" s="1875"/>
      <c r="C85" s="1875"/>
      <c r="D85" s="1875"/>
      <c r="E85" s="1875"/>
      <c r="F85" s="1220"/>
      <c r="G85" s="1220"/>
      <c r="H85" s="1222"/>
      <c r="I85" s="1222"/>
      <c r="J85" s="1221"/>
      <c r="K85" s="1222"/>
    </row>
    <row r="86" spans="1:12" ht="9.9499999999999993" customHeight="1" x14ac:dyDescent="0.25">
      <c r="A86" s="1235"/>
      <c r="B86" s="1235"/>
      <c r="C86" s="1235"/>
      <c r="D86" s="1235"/>
      <c r="E86" s="1235"/>
      <c r="F86" s="1190"/>
      <c r="G86" s="1190"/>
      <c r="H86" s="1188"/>
      <c r="I86" s="1188"/>
      <c r="J86" s="1198"/>
      <c r="K86" s="1188"/>
    </row>
    <row r="87" spans="1:12" ht="42.75" customHeight="1" x14ac:dyDescent="0.25">
      <c r="A87" s="1879" t="s">
        <v>299</v>
      </c>
      <c r="B87" s="1879"/>
      <c r="C87" s="1879"/>
      <c r="D87" s="1879"/>
      <c r="E87" s="1879"/>
      <c r="F87" s="1879"/>
      <c r="G87" s="1879"/>
      <c r="H87" s="1879"/>
      <c r="I87" s="1879"/>
      <c r="J87" s="1879"/>
      <c r="K87" s="1879"/>
    </row>
    <row r="88" spans="1:12" ht="15.95" customHeight="1" thickBot="1" x14ac:dyDescent="0.3">
      <c r="A88" s="1236"/>
      <c r="B88" s="1236"/>
      <c r="C88" s="1236"/>
      <c r="D88" s="1236"/>
      <c r="E88" s="1236"/>
      <c r="F88" s="1236"/>
      <c r="G88" s="1236"/>
      <c r="H88" s="1236"/>
      <c r="I88" s="1236"/>
      <c r="J88" s="1236"/>
    </row>
    <row r="89" spans="1:12" ht="33" customHeight="1" thickBot="1" x14ac:dyDescent="0.3">
      <c r="A89" s="1881" t="s">
        <v>50</v>
      </c>
      <c r="B89" s="1882"/>
      <c r="C89" s="1883"/>
      <c r="D89" s="1237" t="s">
        <v>35</v>
      </c>
      <c r="E89" s="1884" t="s">
        <v>300</v>
      </c>
      <c r="F89" s="1885"/>
      <c r="G89" s="1881" t="s">
        <v>51</v>
      </c>
      <c r="H89" s="1882"/>
      <c r="I89" s="1881" t="s">
        <v>52</v>
      </c>
      <c r="J89" s="1883"/>
      <c r="K89" s="1238"/>
    </row>
    <row r="90" spans="1:12" ht="33" customHeight="1" x14ac:dyDescent="0.25">
      <c r="A90" s="1886" t="s">
        <v>348</v>
      </c>
      <c r="B90" s="1887"/>
      <c r="C90" s="1887"/>
      <c r="D90" s="1338" t="str">
        <f>'DATOS #'!D31</f>
        <v>Serhapin test Measure</v>
      </c>
      <c r="E90" s="1888" t="s">
        <v>365</v>
      </c>
      <c r="F90" s="1889"/>
      <c r="G90" s="1890" t="str">
        <f>'DATOS #'!E31</f>
        <v xml:space="preserve">16-5935702    C-I V-005         </v>
      </c>
      <c r="H90" s="1891"/>
      <c r="I90" s="1890" t="str">
        <f>'DATOS #'!L31</f>
        <v xml:space="preserve">INM 5053 </v>
      </c>
      <c r="J90" s="1892"/>
      <c r="K90" s="1238"/>
    </row>
    <row r="91" spans="1:12" ht="33" customHeight="1" x14ac:dyDescent="0.25">
      <c r="A91" s="1902" t="s">
        <v>287</v>
      </c>
      <c r="B91" s="1903"/>
      <c r="C91" s="1903"/>
      <c r="D91" s="1339" t="str">
        <f>'DATOS #'!D44</f>
        <v xml:space="preserve">Lufft </v>
      </c>
      <c r="E91" s="1904" t="s">
        <v>371</v>
      </c>
      <c r="F91" s="1905"/>
      <c r="G91" s="1906" t="str">
        <f>'DATOS #'!E38</f>
        <v xml:space="preserve">004,0816,1212,006 / pt 347980,002     </v>
      </c>
      <c r="H91" s="1907"/>
      <c r="I91" s="1906" t="str">
        <f>'DATOS #'!L38</f>
        <v>INM 5178</v>
      </c>
      <c r="J91" s="1908"/>
      <c r="K91" s="1238"/>
    </row>
    <row r="92" spans="1:12" ht="33" customHeight="1" x14ac:dyDescent="0.25">
      <c r="A92" s="1902" t="s">
        <v>288</v>
      </c>
      <c r="B92" s="1903"/>
      <c r="C92" s="1903"/>
      <c r="D92" s="1339" t="str">
        <f>'DATOS #'!D38</f>
        <v xml:space="preserve">Lufft </v>
      </c>
      <c r="E92" s="1904" t="s">
        <v>371</v>
      </c>
      <c r="F92" s="1905"/>
      <c r="G92" s="1906" t="str">
        <f>'DATOS #'!E44</f>
        <v xml:space="preserve">22,1014,1212,,005 / pt 347980,004     </v>
      </c>
      <c r="H92" s="1907"/>
      <c r="I92" s="1906" t="str">
        <f>'DATOS #'!L44</f>
        <v>INM 5179</v>
      </c>
      <c r="J92" s="1908"/>
      <c r="K92" s="1238"/>
    </row>
    <row r="93" spans="1:12" ht="33" customHeight="1" thickBot="1" x14ac:dyDescent="0.3">
      <c r="A93" s="1893" t="s">
        <v>28</v>
      </c>
      <c r="B93" s="1894"/>
      <c r="C93" s="1894"/>
      <c r="D93" s="1239" t="e">
        <f>VLOOKUP(K93,'DATOS #'!$C$137:$L$152,2,FALSE)</f>
        <v>#N/A</v>
      </c>
      <c r="E93" s="1895" t="e">
        <f>VLOOKUP(K93,'DATOS #'!$C$137:$M$152,11,FALSE)</f>
        <v>#N/A</v>
      </c>
      <c r="F93" s="1896"/>
      <c r="G93" s="1897" t="e">
        <f>VLOOKUP(K93,'DATOS #'!$C$137:$L$152,3,FALSE)</f>
        <v>#N/A</v>
      </c>
      <c r="H93" s="1898"/>
      <c r="I93" s="1899" t="e">
        <f>VLOOKUP(K93,'DATOS #'!$C$137:$L$152,10,FALSE)</f>
        <v>#N/A</v>
      </c>
      <c r="J93" s="1900"/>
      <c r="K93" s="1241"/>
    </row>
    <row r="94" spans="1:12" ht="24.95" customHeight="1" x14ac:dyDescent="0.25">
      <c r="B94" s="1184"/>
      <c r="C94" s="1184"/>
      <c r="D94" s="1242"/>
      <c r="E94" s="1242"/>
      <c r="F94" s="1186"/>
      <c r="G94" s="1242"/>
      <c r="H94" s="1242"/>
      <c r="I94" s="1242"/>
      <c r="J94" s="1242"/>
      <c r="K94" s="1243"/>
      <c r="L94" s="1243"/>
    </row>
    <row r="95" spans="1:12" s="1234" customFormat="1" ht="24.95" customHeight="1" x14ac:dyDescent="0.3">
      <c r="A95" s="1875" t="s">
        <v>309</v>
      </c>
      <c r="B95" s="1875"/>
      <c r="C95" s="1875"/>
      <c r="D95" s="1875"/>
      <c r="E95" s="1875"/>
      <c r="F95" s="1875"/>
      <c r="G95" s="1875"/>
      <c r="H95" s="1875"/>
      <c r="I95" s="1875"/>
      <c r="J95" s="1875"/>
      <c r="K95" s="1875"/>
      <c r="L95" s="1244"/>
    </row>
    <row r="96" spans="1:12" s="1234" customFormat="1" ht="12" customHeight="1" x14ac:dyDescent="0.3">
      <c r="A96" s="1245"/>
      <c r="B96" s="1245"/>
      <c r="C96" s="1245"/>
      <c r="D96" s="1245"/>
      <c r="E96" s="1245"/>
      <c r="F96" s="1207"/>
      <c r="G96" s="1207"/>
      <c r="H96" s="1207"/>
      <c r="I96" s="1207"/>
      <c r="J96" s="1246"/>
      <c r="K96" s="1244"/>
      <c r="L96" s="1244"/>
    </row>
    <row r="97" spans="1:12" ht="15" hidden="1" customHeight="1" thickBot="1" x14ac:dyDescent="0.3">
      <c r="A97" s="1901" t="s">
        <v>272</v>
      </c>
      <c r="B97" s="1901"/>
      <c r="C97" s="1901"/>
      <c r="D97" s="1901"/>
      <c r="E97" s="1901"/>
      <c r="F97" s="1901"/>
      <c r="G97" s="1901"/>
      <c r="H97" s="1901"/>
      <c r="I97" s="1901"/>
      <c r="J97" s="1246"/>
      <c r="K97" s="1243"/>
      <c r="L97" s="1243"/>
    </row>
    <row r="98" spans="1:12" ht="30" hidden="1" customHeight="1" thickBot="1" x14ac:dyDescent="0.3">
      <c r="A98" s="1884" t="s">
        <v>29</v>
      </c>
      <c r="B98" s="1885"/>
      <c r="C98" s="1884" t="s">
        <v>30</v>
      </c>
      <c r="D98" s="1924"/>
      <c r="E98" s="1885"/>
      <c r="F98" s="1909" t="s">
        <v>592</v>
      </c>
      <c r="G98" s="1925"/>
      <c r="H98" s="1247" t="s">
        <v>349</v>
      </c>
      <c r="I98" s="1248"/>
      <c r="J98" s="1249" t="s">
        <v>375</v>
      </c>
      <c r="K98" s="1250" t="s">
        <v>512</v>
      </c>
    </row>
    <row r="99" spans="1:12" s="1243" customFormat="1" ht="24" hidden="1" customHeight="1" thickBot="1" x14ac:dyDescent="0.3">
      <c r="A99" s="1911">
        <f>G60</f>
        <v>0</v>
      </c>
      <c r="B99" s="1912"/>
      <c r="C99" s="1917">
        <f>'RT03-F11 #'!M30</f>
        <v>18927.055</v>
      </c>
      <c r="D99" s="1917"/>
      <c r="E99" s="1251" t="s">
        <v>4</v>
      </c>
      <c r="F99" s="1252" t="e">
        <f>('RT03-F11 #'!C122)</f>
        <v>#N/A</v>
      </c>
      <c r="G99" s="1253" t="s">
        <v>4</v>
      </c>
      <c r="H99" s="1254" t="e">
        <f>IF('RT03-F11 #'!F122&lt;=('CMC #'!P12),'CMC #'!P12,'RT03-F11 #'!F122)</f>
        <v>#N/A</v>
      </c>
      <c r="I99" s="1253" t="s">
        <v>4</v>
      </c>
      <c r="J99" s="1255" t="e">
        <f>'RT03-F11 #'!I122</f>
        <v>#N/A</v>
      </c>
      <c r="K99" s="1926" t="e">
        <f>IF(AND('Pc #'!H5&gt;=97.5%,'Pc #'!I5&lt;=2.5%),"SI","NO")</f>
        <v>#N/A</v>
      </c>
    </row>
    <row r="100" spans="1:12" s="1243" customFormat="1" ht="24" hidden="1" customHeight="1" thickBot="1" x14ac:dyDescent="0.3">
      <c r="A100" s="1913"/>
      <c r="B100" s="1914"/>
      <c r="C100" s="1921">
        <f>'RT03-F11 #'!M28</f>
        <v>1155.0000427166315</v>
      </c>
      <c r="D100" s="1921"/>
      <c r="E100" s="1256" t="s">
        <v>652</v>
      </c>
      <c r="F100" s="1257" t="e">
        <f>'RT03-F11 #'!C123</f>
        <v>#N/A</v>
      </c>
      <c r="G100" s="1258" t="s">
        <v>652</v>
      </c>
      <c r="H100" s="1259" t="e">
        <f>IF('RT03-F11 #'!F123&lt;=('CMC #'!Q12),'CMC #'!Q12,'RT03-F11 #'!F123)</f>
        <v>#N/A</v>
      </c>
      <c r="I100" s="1258" t="s">
        <v>652</v>
      </c>
      <c r="J100" s="1260" t="e">
        <f>'RT03-F11 #'!I123</f>
        <v>#N/A</v>
      </c>
      <c r="K100" s="1927"/>
    </row>
    <row r="101" spans="1:12" s="1243" customFormat="1" ht="24" hidden="1" customHeight="1" thickBot="1" x14ac:dyDescent="0.3">
      <c r="A101" s="1913"/>
      <c r="B101" s="1914"/>
      <c r="C101" s="1929">
        <f>'RT03-F11 #'!M27</f>
        <v>5</v>
      </c>
      <c r="D101" s="1930"/>
      <c r="E101" s="1256" t="s">
        <v>9</v>
      </c>
      <c r="F101" s="1261" t="e">
        <f>'RT03-F11 #'!C124</f>
        <v>#N/A</v>
      </c>
      <c r="G101" s="1258" t="s">
        <v>9</v>
      </c>
      <c r="H101" s="1262" t="e">
        <f>IF('RT03-F11 #'!F124&lt;=('CMC #'!R12),'CMC #'!R12,'RT03-F11 #'!F124)</f>
        <v>#N/A</v>
      </c>
      <c r="I101" s="1258" t="s">
        <v>9</v>
      </c>
      <c r="J101" s="1261" t="e">
        <f>'RT03-F11 #'!I124</f>
        <v>#N/A</v>
      </c>
      <c r="K101" s="1927"/>
    </row>
    <row r="102" spans="1:12" ht="24" hidden="1" customHeight="1" thickBot="1" x14ac:dyDescent="0.3">
      <c r="A102" s="1915"/>
      <c r="B102" s="1916"/>
      <c r="C102" s="1922">
        <v>100</v>
      </c>
      <c r="D102" s="1923"/>
      <c r="E102" s="1256" t="s">
        <v>246</v>
      </c>
      <c r="F102" s="1263" t="e">
        <f>'RT03-F11 #'!C125</f>
        <v>#N/A</v>
      </c>
      <c r="G102" s="1256" t="s">
        <v>246</v>
      </c>
      <c r="H102" s="1264" t="e">
        <f>IF('RT03-F11 #'!F125&lt;=('CMC #'!S12),'CMC #'!S12,'RT03-F11 #'!F125)</f>
        <v>#N/A</v>
      </c>
      <c r="I102" s="1258" t="s">
        <v>246</v>
      </c>
      <c r="J102" s="1263" t="e">
        <f>'RT03-F11 #'!I125</f>
        <v>#N/A</v>
      </c>
      <c r="K102" s="1928"/>
    </row>
    <row r="103" spans="1:12" ht="20.100000000000001" hidden="1" customHeight="1" x14ac:dyDescent="0.25">
      <c r="A103" s="1265"/>
      <c r="B103" s="1266"/>
      <c r="C103" s="1267"/>
      <c r="D103" s="1267"/>
      <c r="E103" s="1268"/>
      <c r="F103" s="1269"/>
      <c r="G103" s="1268"/>
      <c r="H103" s="1270"/>
      <c r="I103" s="1270"/>
      <c r="J103" s="1270"/>
      <c r="K103" s="1270"/>
      <c r="L103" s="1270"/>
    </row>
    <row r="104" spans="1:12" ht="15" hidden="1" customHeight="1" thickBot="1" x14ac:dyDescent="0.3">
      <c r="A104" s="1271" t="s">
        <v>285</v>
      </c>
      <c r="B104" s="1271"/>
      <c r="C104" s="1271"/>
      <c r="D104" s="1271"/>
      <c r="E104" s="1271"/>
      <c r="F104" s="1271"/>
      <c r="G104" s="1271"/>
      <c r="H104" s="1271"/>
      <c r="I104" s="1271"/>
      <c r="J104" s="1271"/>
      <c r="K104" s="1271"/>
      <c r="L104" s="1271"/>
    </row>
    <row r="105" spans="1:12" s="1238" customFormat="1" ht="30" hidden="1" customHeight="1" thickBot="1" x14ac:dyDescent="0.25">
      <c r="A105" s="1272" t="s">
        <v>29</v>
      </c>
      <c r="B105" s="1273"/>
      <c r="C105" s="1272" t="s">
        <v>30</v>
      </c>
      <c r="D105" s="1273"/>
      <c r="E105" s="1272"/>
      <c r="F105" s="1909" t="s">
        <v>592</v>
      </c>
      <c r="G105" s="1910"/>
      <c r="H105" s="1272" t="s">
        <v>373</v>
      </c>
      <c r="I105" s="1248"/>
      <c r="J105" s="1249" t="s">
        <v>376</v>
      </c>
      <c r="K105" s="1250" t="s">
        <v>512</v>
      </c>
    </row>
    <row r="106" spans="1:12" ht="24" hidden="1" customHeight="1" thickBot="1" x14ac:dyDescent="0.3">
      <c r="A106" s="1911">
        <f>G60</f>
        <v>0</v>
      </c>
      <c r="B106" s="1912"/>
      <c r="C106" s="1917">
        <f>C99</f>
        <v>18927.055</v>
      </c>
      <c r="D106" s="1917"/>
      <c r="E106" s="1256" t="s">
        <v>4</v>
      </c>
      <c r="F106" s="1252" t="e">
        <f>'DESPUES DE AJUSTE # '!C122</f>
        <v>#N/A</v>
      </c>
      <c r="G106" s="1274" t="s">
        <v>4</v>
      </c>
      <c r="H106" s="1254" t="e">
        <f>IF('DESPUES DE AJUSTE # '!F122&lt;=('CMC #'!P19),'CMC #'!P12,'DESPUES DE AJUSTE # '!F122)</f>
        <v>#N/A</v>
      </c>
      <c r="I106" s="1256" t="s">
        <v>4</v>
      </c>
      <c r="J106" s="1255" t="e">
        <f>'DESPUES DE AJUSTE # '!I122</f>
        <v>#N/A</v>
      </c>
      <c r="K106" s="1918" t="e">
        <f>IF(AND('Pc #'!H11&gt;=97.5%,'Pc #'!I11&lt;=2.5%),"SI","NO")</f>
        <v>#N/A</v>
      </c>
    </row>
    <row r="107" spans="1:12" ht="24" hidden="1" customHeight="1" thickBot="1" x14ac:dyDescent="0.3">
      <c r="A107" s="1913"/>
      <c r="B107" s="1914"/>
      <c r="C107" s="1921">
        <f>C100</f>
        <v>1155.0000427166315</v>
      </c>
      <c r="D107" s="1921"/>
      <c r="E107" s="1256" t="s">
        <v>652</v>
      </c>
      <c r="F107" s="1257" t="e">
        <f>'DESPUES DE AJUSTE # '!C123</f>
        <v>#N/A</v>
      </c>
      <c r="G107" s="1274" t="s">
        <v>609</v>
      </c>
      <c r="H107" s="1259" t="e">
        <f>IF('DESPUES DE AJUSTE # '!F123&lt;=('CMC #'!P20),'CMC #'!Q12,'DESPUES DE AJUSTE # '!F123)</f>
        <v>#N/A</v>
      </c>
      <c r="I107" s="1256" t="s">
        <v>609</v>
      </c>
      <c r="J107" s="1255" t="e">
        <f>'DESPUES DE AJUSTE # '!I123</f>
        <v>#N/A</v>
      </c>
      <c r="K107" s="1919"/>
    </row>
    <row r="108" spans="1:12" ht="24" hidden="1" customHeight="1" thickBot="1" x14ac:dyDescent="0.3">
      <c r="A108" s="1913"/>
      <c r="B108" s="1914"/>
      <c r="C108" s="1931">
        <f>C101</f>
        <v>5</v>
      </c>
      <c r="D108" s="1929"/>
      <c r="E108" s="1256" t="s">
        <v>9</v>
      </c>
      <c r="F108" s="1261" t="e">
        <f>'DESPUES DE AJUSTE # '!C124</f>
        <v>#N/A</v>
      </c>
      <c r="G108" s="1274" t="s">
        <v>9</v>
      </c>
      <c r="H108" s="1262" t="e">
        <f>IF('DESPUES DE AJUSTE # '!F124&lt;=('CMC #'!P21),'CMC #'!R12,'DESPUES DE AJUSTE # '!F124)</f>
        <v>#N/A</v>
      </c>
      <c r="I108" s="1256" t="s">
        <v>9</v>
      </c>
      <c r="J108" s="1261" t="e">
        <f>'DESPUES DE AJUSTE # '!I124</f>
        <v>#N/A</v>
      </c>
      <c r="K108" s="1919"/>
    </row>
    <row r="109" spans="1:12" ht="24" hidden="1" customHeight="1" thickBot="1" x14ac:dyDescent="0.3">
      <c r="A109" s="1915"/>
      <c r="B109" s="1916"/>
      <c r="C109" s="1922">
        <f>C102</f>
        <v>100</v>
      </c>
      <c r="D109" s="1923"/>
      <c r="E109" s="1256" t="s">
        <v>246</v>
      </c>
      <c r="F109" s="1263" t="e">
        <f>'DESPUES DE AJUSTE # '!C125</f>
        <v>#N/A</v>
      </c>
      <c r="G109" s="1256" t="s">
        <v>246</v>
      </c>
      <c r="H109" s="1264" t="e">
        <f>IF('DESPUES DE AJUSTE # '!F125&lt;=('CMC #'!P22),'CMC #'!S12,'DESPUES DE AJUSTE # '!F125)</f>
        <v>#N/A</v>
      </c>
      <c r="I109" s="1256" t="s">
        <v>246</v>
      </c>
      <c r="J109" s="1263" t="e">
        <f>'DESPUES DE AJUSTE # '!I125</f>
        <v>#N/A</v>
      </c>
      <c r="K109" s="1920"/>
    </row>
    <row r="110" spans="1:12" ht="11.25" hidden="1" customHeight="1" x14ac:dyDescent="0.25"/>
    <row r="111" spans="1:12" ht="30.75" customHeight="1" x14ac:dyDescent="0.25">
      <c r="A111" s="1934" t="s">
        <v>526</v>
      </c>
      <c r="B111" s="1934"/>
      <c r="C111" s="1934"/>
      <c r="D111" s="1934"/>
      <c r="E111" s="1934"/>
      <c r="F111" s="1934"/>
      <c r="G111" s="1934"/>
      <c r="H111" s="1934"/>
      <c r="I111" s="1934"/>
      <c r="J111" s="1934"/>
      <c r="K111" s="1934"/>
    </row>
    <row r="112" spans="1:12" ht="8.25" customHeight="1" thickBot="1" x14ac:dyDescent="0.3">
      <c r="A112" s="1275"/>
      <c r="B112" s="1275"/>
      <c r="C112" s="1275"/>
      <c r="D112" s="1275"/>
      <c r="E112" s="1275"/>
      <c r="F112" s="1275"/>
      <c r="G112" s="1275"/>
      <c r="H112" s="1275"/>
      <c r="I112" s="1275"/>
      <c r="J112" s="1275"/>
      <c r="K112" s="1275"/>
    </row>
    <row r="113" spans="1:11" ht="24.95" customHeight="1" thickBot="1" x14ac:dyDescent="0.3">
      <c r="A113" s="1275"/>
      <c r="B113" s="1275"/>
      <c r="C113" s="1275"/>
      <c r="D113" s="1243"/>
      <c r="E113" s="1341" t="s">
        <v>374</v>
      </c>
      <c r="F113" s="1342">
        <f>(C99*0.05%)</f>
        <v>9.4635274999999996</v>
      </c>
      <c r="G113" s="1341" t="s">
        <v>4</v>
      </c>
      <c r="H113" s="1275"/>
      <c r="I113" s="1276"/>
      <c r="J113" s="1275"/>
      <c r="K113" s="1275"/>
    </row>
    <row r="114" spans="1:11" ht="24.95" customHeight="1" x14ac:dyDescent="0.25">
      <c r="A114" s="1275"/>
      <c r="B114" s="1275"/>
      <c r="C114" s="1275"/>
      <c r="D114" s="1275"/>
      <c r="E114" s="1275"/>
      <c r="F114" s="1275"/>
      <c r="G114" s="1275"/>
      <c r="H114" s="1275"/>
      <c r="I114" s="1277"/>
      <c r="J114" s="1275"/>
      <c r="K114" s="1275"/>
    </row>
    <row r="115" spans="1:11" ht="15.95" customHeight="1" x14ac:dyDescent="0.25">
      <c r="A115" s="1275"/>
      <c r="B115" s="1275"/>
      <c r="C115" s="1275"/>
      <c r="D115" s="1275"/>
      <c r="E115" s="1275"/>
      <c r="F115" s="1275"/>
      <c r="G115" s="1275"/>
      <c r="H115" s="1275"/>
      <c r="I115" s="1276"/>
      <c r="J115" s="1275"/>
      <c r="K115" s="1275"/>
    </row>
    <row r="116" spans="1:11" ht="125.1" customHeight="1" x14ac:dyDescent="0.25">
      <c r="A116" s="1275"/>
      <c r="B116" s="1275"/>
      <c r="C116" s="1275"/>
      <c r="D116" s="1275"/>
      <c r="E116" s="1275"/>
      <c r="F116" s="1275"/>
      <c r="G116" s="1275"/>
      <c r="H116" s="1275"/>
      <c r="I116" s="1276"/>
      <c r="J116" s="1275"/>
      <c r="K116" s="1275"/>
    </row>
    <row r="117" spans="1:11" ht="35.1" customHeight="1" x14ac:dyDescent="0.25">
      <c r="A117" s="1275"/>
      <c r="B117" s="1275"/>
      <c r="C117" s="1275"/>
      <c r="D117" s="1275"/>
      <c r="E117" s="1275"/>
      <c r="F117" s="1275"/>
      <c r="G117" s="1275"/>
      <c r="H117" s="1275"/>
      <c r="I117" s="1276"/>
      <c r="J117" s="1275"/>
      <c r="K117" s="1275"/>
    </row>
    <row r="118" spans="1:11" ht="65.099999999999994" customHeight="1" thickBot="1" x14ac:dyDescent="0.3">
      <c r="A118" s="1275"/>
      <c r="B118" s="1275"/>
      <c r="C118" s="1275"/>
      <c r="D118" s="1275"/>
      <c r="E118" s="1275"/>
      <c r="F118" s="1275"/>
      <c r="G118" s="1275"/>
      <c r="H118" s="1275"/>
      <c r="I118" s="1278" t="s">
        <v>269</v>
      </c>
      <c r="J118" s="1935">
        <f>J3</f>
        <v>0</v>
      </c>
      <c r="K118" s="1936"/>
    </row>
    <row r="119" spans="1:11" ht="18" customHeight="1" thickBot="1" x14ac:dyDescent="0.3">
      <c r="A119" s="1937" t="s">
        <v>310</v>
      </c>
      <c r="B119" s="1937"/>
      <c r="C119" s="1937"/>
      <c r="D119" s="1937"/>
      <c r="E119" s="1937"/>
      <c r="F119" s="1279"/>
      <c r="G119" s="1188"/>
      <c r="H119" s="1280"/>
    </row>
    <row r="120" spans="1:11" ht="7.5" customHeight="1" thickBot="1" x14ac:dyDescent="0.3">
      <c r="A120" s="681"/>
      <c r="B120" s="681"/>
      <c r="C120" s="681"/>
      <c r="D120" s="681"/>
      <c r="E120" s="681"/>
      <c r="F120" s="1188"/>
      <c r="G120" s="1188"/>
      <c r="H120" s="1188"/>
      <c r="I120" s="1281"/>
      <c r="J120" s="1242"/>
    </row>
    <row r="121" spans="1:11" ht="15" customHeight="1" thickBot="1" x14ac:dyDescent="0.3">
      <c r="A121" s="1938" t="s">
        <v>209</v>
      </c>
      <c r="B121" s="1938"/>
      <c r="C121" s="1938"/>
      <c r="D121" s="1938"/>
      <c r="E121" s="1938"/>
      <c r="F121" s="1282"/>
      <c r="G121" s="1283"/>
      <c r="H121" s="1284"/>
      <c r="I121" s="1283"/>
      <c r="J121" s="1195"/>
    </row>
    <row r="122" spans="1:11" ht="6" customHeight="1" x14ac:dyDescent="0.25">
      <c r="A122" s="1285"/>
      <c r="B122" s="1285"/>
      <c r="C122" s="1285"/>
      <c r="D122" s="1285"/>
      <c r="E122" s="1285"/>
      <c r="F122" s="1285"/>
      <c r="G122" s="1285"/>
      <c r="H122" s="1188"/>
      <c r="I122" s="1188"/>
    </row>
    <row r="123" spans="1:11" ht="16.5" customHeight="1" x14ac:dyDescent="0.25">
      <c r="A123" s="1855" t="s">
        <v>366</v>
      </c>
      <c r="B123" s="1855"/>
      <c r="C123" s="1855"/>
      <c r="D123" s="1855"/>
      <c r="E123" s="1855"/>
      <c r="F123" s="1855"/>
      <c r="G123" s="1855"/>
      <c r="H123" s="1855"/>
      <c r="I123" s="1855"/>
      <c r="J123" s="1186"/>
    </row>
    <row r="124" spans="1:11" ht="20.100000000000001" customHeight="1" thickBot="1" x14ac:dyDescent="0.3">
      <c r="A124" s="1190"/>
      <c r="B124" s="1190"/>
      <c r="C124" s="1190"/>
      <c r="D124" s="1190"/>
      <c r="E124" s="1344"/>
      <c r="F124" s="1939" t="s">
        <v>7</v>
      </c>
      <c r="G124" s="1939"/>
      <c r="H124" s="1188"/>
      <c r="I124" s="1188"/>
      <c r="J124" s="1188"/>
      <c r="K124" s="1188"/>
    </row>
    <row r="125" spans="1:11" ht="16.5" customHeight="1" x14ac:dyDescent="0.25">
      <c r="A125" s="680"/>
      <c r="C125" s="1286" t="e">
        <f>'VERIFICACIÓN DE LA ESCALA #'!C52</f>
        <v>#N/A</v>
      </c>
      <c r="D125" s="1287" t="s">
        <v>4</v>
      </c>
      <c r="E125" s="1932" t="s">
        <v>286</v>
      </c>
      <c r="F125" s="1345" t="e">
        <f>'VERIFICACIÓN DE LA ESCALA #'!F52</f>
        <v>#N/A</v>
      </c>
      <c r="G125" s="1346" t="s">
        <v>4</v>
      </c>
      <c r="I125" s="1188"/>
      <c r="J125" s="1188"/>
      <c r="K125" s="1188"/>
    </row>
    <row r="126" spans="1:11" ht="17.25" customHeight="1" x14ac:dyDescent="0.25">
      <c r="A126" s="1190"/>
      <c r="C126" s="1288" t="e">
        <f>'VERIFICACIÓN DE LA ESCALA #'!C53</f>
        <v>#N/A</v>
      </c>
      <c r="D126" s="1289" t="s">
        <v>521</v>
      </c>
      <c r="E126" s="1932"/>
      <c r="F126" s="1347" t="e">
        <f>'VERIFICACIÓN DE LA ESCALA #'!F53</f>
        <v>#N/A</v>
      </c>
      <c r="G126" s="1346" t="s">
        <v>664</v>
      </c>
      <c r="I126" s="1188"/>
      <c r="J126" s="1188"/>
      <c r="K126" s="1188"/>
    </row>
    <row r="127" spans="1:11" ht="15" customHeight="1" thickBot="1" x14ac:dyDescent="0.3">
      <c r="A127" s="1190"/>
      <c r="C127" s="1290" t="e">
        <f>'VERIFICACIÓN DE LA ESCALA #'!C54</f>
        <v>#N/A</v>
      </c>
      <c r="D127" s="1291" t="s">
        <v>246</v>
      </c>
      <c r="E127" s="1932"/>
      <c r="F127" s="1348" t="e">
        <f>'VERIFICACIÓN DE LA ESCALA #'!F54</f>
        <v>#N/A</v>
      </c>
      <c r="G127" s="1346" t="s">
        <v>246</v>
      </c>
      <c r="I127" s="1188"/>
      <c r="J127" s="1188"/>
      <c r="K127" s="1188"/>
    </row>
    <row r="128" spans="1:11" ht="24.95" customHeight="1" x14ac:dyDescent="0.25">
      <c r="A128" s="1190"/>
      <c r="B128" s="1188"/>
      <c r="C128" s="1188"/>
      <c r="D128" s="1188"/>
      <c r="E128" s="1292"/>
      <c r="F128" s="1292"/>
      <c r="G128" s="1292"/>
      <c r="H128" s="1177"/>
      <c r="I128" s="1293"/>
      <c r="J128" s="1293"/>
      <c r="K128" s="1293"/>
    </row>
    <row r="129" spans="1:12" ht="12" customHeight="1" x14ac:dyDescent="0.25">
      <c r="A129" s="1933" t="s">
        <v>311</v>
      </c>
      <c r="B129" s="1933"/>
      <c r="C129" s="1933"/>
      <c r="D129" s="1933"/>
      <c r="E129" s="1933"/>
      <c r="F129" s="1933"/>
      <c r="G129" s="1189"/>
      <c r="H129" s="1188"/>
      <c r="I129" s="1188"/>
      <c r="J129" s="1188"/>
      <c r="K129" s="1188"/>
    </row>
    <row r="130" spans="1:12" ht="12" customHeight="1" x14ac:dyDescent="0.25">
      <c r="A130" s="1294"/>
      <c r="B130" s="1294"/>
      <c r="C130" s="1294"/>
      <c r="D130" s="1294"/>
      <c r="E130" s="1294"/>
      <c r="F130" s="1294"/>
      <c r="G130" s="1189"/>
      <c r="H130" s="1188"/>
      <c r="I130" s="1188"/>
      <c r="J130" s="1188"/>
      <c r="K130" s="1188"/>
    </row>
    <row r="131" spans="1:12" ht="33" customHeight="1" x14ac:dyDescent="0.25">
      <c r="A131" s="1320" t="s">
        <v>450</v>
      </c>
      <c r="B131" s="1852" t="s">
        <v>451</v>
      </c>
      <c r="C131" s="1852"/>
      <c r="D131" s="1852"/>
      <c r="E131" s="1852"/>
      <c r="F131" s="1852"/>
      <c r="G131" s="1852"/>
      <c r="H131" s="1852"/>
      <c r="I131" s="1852"/>
      <c r="J131" s="1852"/>
      <c r="K131" s="1852"/>
    </row>
    <row r="132" spans="1:12" ht="23.1" customHeight="1" x14ac:dyDescent="0.25">
      <c r="A132" s="1320" t="s">
        <v>450</v>
      </c>
      <c r="B132" s="1852" t="s">
        <v>452</v>
      </c>
      <c r="C132" s="1852"/>
      <c r="D132" s="1852"/>
      <c r="E132" s="1852"/>
      <c r="F132" s="1852"/>
      <c r="G132" s="1852"/>
      <c r="H132" s="1852"/>
      <c r="I132" s="1852"/>
      <c r="J132" s="1852"/>
      <c r="K132" s="1852"/>
    </row>
    <row r="133" spans="1:12" ht="33" customHeight="1" x14ac:dyDescent="0.25">
      <c r="A133" s="1320" t="s">
        <v>450</v>
      </c>
      <c r="B133" s="1852" t="s">
        <v>453</v>
      </c>
      <c r="C133" s="1852"/>
      <c r="D133" s="1852"/>
      <c r="E133" s="1852"/>
      <c r="F133" s="1852"/>
      <c r="G133" s="1852"/>
      <c r="H133" s="1852"/>
      <c r="I133" s="1852"/>
      <c r="J133" s="1852"/>
      <c r="K133" s="1852"/>
    </row>
    <row r="134" spans="1:12" s="1295" customFormat="1" ht="23.1" customHeight="1" x14ac:dyDescent="0.25">
      <c r="A134" s="1320" t="s">
        <v>450</v>
      </c>
      <c r="B134" s="1852" t="s">
        <v>454</v>
      </c>
      <c r="C134" s="1852"/>
      <c r="D134" s="1852"/>
      <c r="E134" s="1852"/>
      <c r="F134" s="1852"/>
      <c r="G134" s="1852"/>
      <c r="H134" s="1852"/>
      <c r="I134" s="1852"/>
      <c r="J134" s="1852"/>
      <c r="K134" s="1852"/>
    </row>
    <row r="135" spans="1:12" s="1295" customFormat="1" ht="23.1" customHeight="1" x14ac:dyDescent="0.25">
      <c r="A135" s="1320" t="s">
        <v>450</v>
      </c>
      <c r="B135" s="1852" t="s">
        <v>610</v>
      </c>
      <c r="C135" s="1852"/>
      <c r="D135" s="1852"/>
      <c r="E135" s="1852"/>
      <c r="F135" s="1852"/>
      <c r="G135" s="1852"/>
      <c r="H135" s="1852"/>
      <c r="I135" s="1852"/>
      <c r="J135" s="1852"/>
      <c r="K135" s="1852"/>
    </row>
    <row r="136" spans="1:12" s="1295" customFormat="1" ht="23.1" customHeight="1" x14ac:dyDescent="0.25">
      <c r="A136" s="1320" t="s">
        <v>450</v>
      </c>
      <c r="B136" s="1852" t="s">
        <v>455</v>
      </c>
      <c r="C136" s="1852"/>
      <c r="D136" s="1852"/>
      <c r="E136" s="1852"/>
      <c r="F136" s="1852"/>
      <c r="G136" s="1852"/>
      <c r="H136" s="1852"/>
      <c r="I136" s="1852"/>
      <c r="J136" s="1852"/>
      <c r="K136" s="1852"/>
    </row>
    <row r="137" spans="1:12" ht="23.1" customHeight="1" x14ac:dyDescent="0.25">
      <c r="A137" s="1320" t="s">
        <v>450</v>
      </c>
      <c r="B137" s="1852" t="s">
        <v>651</v>
      </c>
      <c r="C137" s="1852"/>
      <c r="D137" s="1852"/>
      <c r="E137" s="1852"/>
      <c r="F137" s="1852"/>
      <c r="G137" s="1852"/>
      <c r="H137" s="1852"/>
      <c r="I137" s="1852"/>
      <c r="J137" s="1852"/>
      <c r="K137" s="1852"/>
    </row>
    <row r="138" spans="1:12" s="1295" customFormat="1" ht="23.1" customHeight="1" x14ac:dyDescent="0.25">
      <c r="A138" s="1320" t="s">
        <v>450</v>
      </c>
      <c r="B138" s="1852" t="s">
        <v>456</v>
      </c>
      <c r="C138" s="1852"/>
      <c r="D138" s="1852"/>
      <c r="E138" s="1852"/>
      <c r="F138" s="1852"/>
      <c r="G138" s="1852"/>
      <c r="H138" s="1852"/>
      <c r="I138" s="1852"/>
      <c r="J138" s="1852"/>
      <c r="K138" s="1852"/>
      <c r="L138" s="1296"/>
    </row>
    <row r="139" spans="1:12" s="1295" customFormat="1" ht="23.1" customHeight="1" x14ac:dyDescent="0.25">
      <c r="A139" s="1320" t="s">
        <v>457</v>
      </c>
      <c r="B139" s="1940" t="s">
        <v>458</v>
      </c>
      <c r="C139" s="1940"/>
      <c r="D139" s="1940"/>
      <c r="E139" s="1940"/>
      <c r="F139" s="1940"/>
      <c r="G139" s="1940"/>
      <c r="H139" s="1940"/>
      <c r="I139" s="1940"/>
      <c r="J139" s="1940"/>
      <c r="K139" s="1940"/>
      <c r="L139" s="1296"/>
    </row>
    <row r="140" spans="1:12" ht="23.1" customHeight="1" x14ac:dyDescent="0.25">
      <c r="A140" s="1320" t="s">
        <v>457</v>
      </c>
      <c r="B140" s="1852" t="s">
        <v>501</v>
      </c>
      <c r="C140" s="1852"/>
      <c r="D140" s="1852"/>
      <c r="E140" s="1852"/>
      <c r="F140" s="1852"/>
      <c r="G140" s="1852"/>
      <c r="H140" s="1852"/>
      <c r="I140" s="1852"/>
      <c r="J140" s="1852"/>
      <c r="K140" s="1852"/>
      <c r="L140" s="1297"/>
    </row>
    <row r="141" spans="1:12" ht="23.1" customHeight="1" x14ac:dyDescent="0.25">
      <c r="A141" s="1321" t="s">
        <v>450</v>
      </c>
      <c r="B141" s="1852" t="s">
        <v>459</v>
      </c>
      <c r="C141" s="1852"/>
      <c r="D141" s="1852"/>
      <c r="E141" s="1852"/>
      <c r="F141" s="1852"/>
      <c r="G141" s="1852"/>
      <c r="H141" s="1852"/>
      <c r="I141" s="1852"/>
      <c r="J141" s="1852"/>
      <c r="K141" s="1852"/>
      <c r="L141" s="1299"/>
    </row>
    <row r="142" spans="1:12" ht="33" customHeight="1" x14ac:dyDescent="0.25">
      <c r="A142" s="1320" t="s">
        <v>450</v>
      </c>
      <c r="B142" s="1852" t="s">
        <v>460</v>
      </c>
      <c r="C142" s="1852"/>
      <c r="D142" s="1852"/>
      <c r="E142" s="1852"/>
      <c r="F142" s="1852"/>
      <c r="G142" s="1852"/>
      <c r="H142" s="1852"/>
      <c r="I142" s="1852"/>
      <c r="J142" s="1852"/>
      <c r="K142" s="1852"/>
    </row>
    <row r="143" spans="1:12" ht="23.1" customHeight="1" x14ac:dyDescent="0.25">
      <c r="A143" s="1320" t="s">
        <v>450</v>
      </c>
      <c r="B143" s="1852" t="s">
        <v>461</v>
      </c>
      <c r="C143" s="1852"/>
      <c r="D143" s="1852"/>
      <c r="E143" s="1852"/>
      <c r="F143" s="1852"/>
      <c r="G143" s="1852"/>
      <c r="H143" s="1852"/>
      <c r="I143" s="1852"/>
      <c r="J143" s="1852"/>
      <c r="K143" s="1852"/>
    </row>
    <row r="144" spans="1:12" ht="23.1" customHeight="1" x14ac:dyDescent="0.25">
      <c r="A144" s="1320" t="s">
        <v>450</v>
      </c>
      <c r="B144" s="1852" t="s">
        <v>462</v>
      </c>
      <c r="C144" s="1852"/>
      <c r="D144" s="1852"/>
      <c r="E144" s="1852"/>
      <c r="F144" s="1852"/>
      <c r="G144" s="1852"/>
      <c r="H144" s="1852"/>
      <c r="I144" s="1852"/>
      <c r="J144" s="1852"/>
      <c r="K144" s="1852"/>
    </row>
    <row r="145" spans="1:11" ht="23.1" customHeight="1" x14ac:dyDescent="0.25">
      <c r="A145" s="1320" t="s">
        <v>450</v>
      </c>
      <c r="B145" s="1852" t="s">
        <v>500</v>
      </c>
      <c r="C145" s="1852"/>
      <c r="D145" s="1852"/>
      <c r="E145" s="1852"/>
      <c r="F145" s="1852"/>
      <c r="G145" s="1852"/>
      <c r="H145" s="1852"/>
      <c r="I145" s="1852"/>
      <c r="J145" s="1852"/>
      <c r="K145" s="1852"/>
    </row>
    <row r="146" spans="1:11" ht="23.1" customHeight="1" x14ac:dyDescent="0.25">
      <c r="A146" s="1320" t="s">
        <v>450</v>
      </c>
      <c r="B146" s="1852" t="s">
        <v>463</v>
      </c>
      <c r="C146" s="1852"/>
      <c r="D146" s="1852"/>
      <c r="E146" s="1852"/>
      <c r="F146" s="1852"/>
      <c r="G146" s="1852"/>
      <c r="H146" s="1852"/>
      <c r="I146" s="1852"/>
      <c r="J146" s="1852"/>
      <c r="K146" s="1852"/>
    </row>
    <row r="147" spans="1:11" ht="23.1" customHeight="1" x14ac:dyDescent="0.25">
      <c r="A147" s="1320" t="s">
        <v>450</v>
      </c>
      <c r="B147" s="1852" t="s">
        <v>499</v>
      </c>
      <c r="C147" s="1852"/>
      <c r="D147" s="1852"/>
      <c r="E147" s="1852"/>
      <c r="F147" s="1852"/>
      <c r="G147" s="1852"/>
      <c r="H147" s="1852"/>
      <c r="I147" s="1852"/>
      <c r="J147" s="1852"/>
      <c r="K147" s="1852"/>
    </row>
    <row r="148" spans="1:11" ht="23.1" customHeight="1" x14ac:dyDescent="0.25">
      <c r="A148" s="1320" t="s">
        <v>457</v>
      </c>
      <c r="B148" s="1852" t="s">
        <v>498</v>
      </c>
      <c r="C148" s="1852"/>
      <c r="D148" s="1852"/>
      <c r="E148" s="1852"/>
      <c r="F148" s="1852"/>
      <c r="G148" s="1852"/>
      <c r="H148" s="1852"/>
      <c r="I148" s="1852"/>
      <c r="J148" s="1852"/>
      <c r="K148" s="1852"/>
    </row>
    <row r="149" spans="1:11" ht="15" customHeight="1" x14ac:dyDescent="0.25">
      <c r="E149" s="1188"/>
      <c r="F149" s="1188"/>
      <c r="G149" s="1188"/>
      <c r="H149" s="1188"/>
      <c r="I149" s="1188"/>
      <c r="J149" s="1188"/>
      <c r="K149" s="1188"/>
    </row>
    <row r="150" spans="1:11" ht="15" customHeight="1" x14ac:dyDescent="0.25">
      <c r="A150" s="1942" t="s">
        <v>31</v>
      </c>
      <c r="B150" s="1942"/>
      <c r="C150" s="1942"/>
      <c r="D150" s="1942"/>
      <c r="E150" s="1188"/>
      <c r="F150" s="1188"/>
      <c r="G150" s="1188"/>
      <c r="H150" s="1188"/>
      <c r="I150" s="1188"/>
      <c r="J150" s="1188"/>
      <c r="K150" s="1188"/>
    </row>
    <row r="151" spans="1:11" ht="15" customHeight="1" x14ac:dyDescent="0.25">
      <c r="A151" s="1298"/>
      <c r="B151" s="1298"/>
      <c r="C151" s="1298"/>
      <c r="D151" s="1298"/>
      <c r="E151" s="1188"/>
      <c r="F151" s="1188"/>
      <c r="G151" s="1188"/>
      <c r="H151" s="1188"/>
      <c r="I151" s="1188"/>
      <c r="J151" s="1188"/>
      <c r="K151" s="1188"/>
    </row>
    <row r="152" spans="1:11" ht="15" customHeight="1" x14ac:dyDescent="0.25">
      <c r="A152" s="1188"/>
      <c r="B152" s="1188"/>
      <c r="C152" s="1188"/>
      <c r="D152" s="1188"/>
      <c r="E152" s="1188"/>
      <c r="F152" s="1188"/>
      <c r="G152" s="1188"/>
      <c r="H152" s="1188"/>
      <c r="I152" s="1188"/>
      <c r="J152" s="1188"/>
      <c r="K152" s="1188"/>
    </row>
    <row r="153" spans="1:11" ht="15" customHeight="1" x14ac:dyDescent="0.25">
      <c r="A153" s="1188"/>
      <c r="B153" s="1188"/>
      <c r="C153" s="1188"/>
      <c r="D153" s="1188"/>
      <c r="E153" s="1188"/>
      <c r="F153" s="1188"/>
      <c r="G153" s="1188"/>
      <c r="H153" s="1188"/>
      <c r="I153" s="1188"/>
      <c r="J153" s="1188"/>
      <c r="K153" s="1188"/>
    </row>
    <row r="154" spans="1:11" ht="15" customHeight="1" x14ac:dyDescent="0.25">
      <c r="A154" s="1301"/>
      <c r="B154" s="1943"/>
      <c r="C154" s="1943"/>
      <c r="D154" s="1943"/>
      <c r="E154" s="1943"/>
      <c r="F154" s="1194"/>
      <c r="G154" s="1943"/>
      <c r="H154" s="1943"/>
      <c r="I154" s="1943"/>
      <c r="J154" s="1943"/>
      <c r="K154" s="1301"/>
    </row>
    <row r="155" spans="1:11" ht="15" customHeight="1" x14ac:dyDescent="0.25">
      <c r="A155" s="1188"/>
      <c r="B155" s="1944" t="s">
        <v>32</v>
      </c>
      <c r="C155" s="1944"/>
      <c r="D155" s="1944"/>
      <c r="E155" s="1944"/>
      <c r="F155" s="1194"/>
      <c r="G155" s="1944" t="s">
        <v>449</v>
      </c>
      <c r="H155" s="1944"/>
      <c r="I155" s="1944"/>
      <c r="J155" s="1944"/>
      <c r="K155" s="1188"/>
    </row>
    <row r="156" spans="1:11" ht="21" customHeight="1" x14ac:dyDescent="0.25">
      <c r="B156" s="1947" t="e">
        <f>VLOOKUP(A154,'DATOS #'!P9:S13,4,FALSE)</f>
        <v>#N/A</v>
      </c>
      <c r="C156" s="1947"/>
      <c r="D156" s="1947"/>
      <c r="E156" s="1947"/>
      <c r="F156" s="1332"/>
      <c r="G156" s="1945" t="e">
        <f>VLOOKUP(K154,'DATOS #'!P9:U13,6,FALSE)</f>
        <v>#N/A</v>
      </c>
      <c r="H156" s="1945"/>
      <c r="I156" s="1945"/>
      <c r="J156" s="1945"/>
      <c r="K156" s="1302"/>
    </row>
    <row r="157" spans="1:11" ht="15" customHeight="1" x14ac:dyDescent="0.25">
      <c r="A157" s="1188"/>
      <c r="B157" s="1942" t="e">
        <f>VLOOKUP(A154,'DATOS #'!P9:S13,2,FALSE)</f>
        <v>#N/A</v>
      </c>
      <c r="C157" s="1942"/>
      <c r="D157" s="1942"/>
      <c r="E157" s="1942"/>
      <c r="F157" s="1303"/>
      <c r="G157" s="1942" t="e">
        <f>VLOOKUP(K154,'DATOS #'!P9:U13,2,FALSE)</f>
        <v>#N/A</v>
      </c>
      <c r="H157" s="1942"/>
      <c r="I157" s="1942"/>
      <c r="J157" s="1942"/>
      <c r="K157" s="1303"/>
    </row>
    <row r="158" spans="1:11" ht="15" customHeight="1" x14ac:dyDescent="0.25">
      <c r="D158" s="1188"/>
      <c r="E158" s="1188"/>
      <c r="F158" s="1188"/>
      <c r="G158" s="1188"/>
      <c r="H158" s="1188"/>
      <c r="I158" s="1188"/>
      <c r="J158" s="1188"/>
      <c r="K158" s="1188"/>
    </row>
    <row r="159" spans="1:11" ht="15" customHeight="1" x14ac:dyDescent="0.25">
      <c r="A159" s="1188"/>
      <c r="B159" s="1941" t="s">
        <v>377</v>
      </c>
      <c r="C159" s="1941"/>
      <c r="D159" s="1304"/>
      <c r="E159" s="1305"/>
      <c r="F159" s="1305"/>
      <c r="G159" s="1946" t="s">
        <v>448</v>
      </c>
      <c r="H159" s="1946"/>
      <c r="I159" s="1333"/>
      <c r="J159" s="1302"/>
      <c r="K159" s="682"/>
    </row>
    <row r="160" spans="1:11" ht="15" customHeight="1" x14ac:dyDescent="0.25">
      <c r="A160" s="1188"/>
      <c r="J160" s="1188"/>
      <c r="K160" s="1188"/>
    </row>
    <row r="161" spans="1:11" ht="15.75" customHeight="1" x14ac:dyDescent="0.25">
      <c r="A161" s="1851" t="s">
        <v>210</v>
      </c>
      <c r="B161" s="1851"/>
      <c r="C161" s="1851"/>
      <c r="D161" s="1851"/>
      <c r="E161" s="1851"/>
      <c r="F161" s="1851"/>
      <c r="G161" s="1851"/>
      <c r="H161" s="1851"/>
      <c r="I161" s="1851"/>
      <c r="J161" s="1851"/>
      <c r="K161" s="1851"/>
    </row>
  </sheetData>
  <sheetProtection algorithmName="SHA-512" hashValue="ZSdNNogBdmAQK9cySLUb7nC1K2/tZGtL0JivdZV/cyP12qJ3HIxHtYb+RNZhc5cTcHkktEbQQn3ttuatY2aUEQ==" saltValue="PY/VS+AgnHsPvVmDOlDtvQ==" spinCount="100000" sheet="1" objects="1" scenarios="1"/>
  <mergeCells count="150">
    <mergeCell ref="B159:C159"/>
    <mergeCell ref="B147:K147"/>
    <mergeCell ref="B148:K148"/>
    <mergeCell ref="A150:D150"/>
    <mergeCell ref="B154:E154"/>
    <mergeCell ref="B155:E155"/>
    <mergeCell ref="G154:J154"/>
    <mergeCell ref="G155:J155"/>
    <mergeCell ref="G156:J156"/>
    <mergeCell ref="G157:J157"/>
    <mergeCell ref="G159:H159"/>
    <mergeCell ref="B156:E156"/>
    <mergeCell ref="B157:E157"/>
    <mergeCell ref="B141:K141"/>
    <mergeCell ref="B142:K142"/>
    <mergeCell ref="B143:K143"/>
    <mergeCell ref="B144:K144"/>
    <mergeCell ref="B145:K145"/>
    <mergeCell ref="B146:K146"/>
    <mergeCell ref="B135:K135"/>
    <mergeCell ref="B136:K136"/>
    <mergeCell ref="B137:K137"/>
    <mergeCell ref="B139:K139"/>
    <mergeCell ref="E125:E127"/>
    <mergeCell ref="A129:F129"/>
    <mergeCell ref="B131:K131"/>
    <mergeCell ref="B132:K132"/>
    <mergeCell ref="B133:K133"/>
    <mergeCell ref="B134:K134"/>
    <mergeCell ref="A111:K111"/>
    <mergeCell ref="J118:K118"/>
    <mergeCell ref="A119:E119"/>
    <mergeCell ref="A121:E121"/>
    <mergeCell ref="A123:I123"/>
    <mergeCell ref="F124:G124"/>
    <mergeCell ref="F105:G105"/>
    <mergeCell ref="A106:B109"/>
    <mergeCell ref="C106:D106"/>
    <mergeCell ref="K106:K109"/>
    <mergeCell ref="C107:D107"/>
    <mergeCell ref="C109:D109"/>
    <mergeCell ref="A98:B98"/>
    <mergeCell ref="C98:E98"/>
    <mergeCell ref="F98:G98"/>
    <mergeCell ref="A99:B102"/>
    <mergeCell ref="C99:D99"/>
    <mergeCell ref="K99:K102"/>
    <mergeCell ref="C100:D100"/>
    <mergeCell ref="C101:D101"/>
    <mergeCell ref="C102:D102"/>
    <mergeCell ref="C108:D108"/>
    <mergeCell ref="A93:C93"/>
    <mergeCell ref="E93:F93"/>
    <mergeCell ref="G93:H93"/>
    <mergeCell ref="I93:J93"/>
    <mergeCell ref="A95:K95"/>
    <mergeCell ref="A97:I97"/>
    <mergeCell ref="A91:C91"/>
    <mergeCell ref="E91:F91"/>
    <mergeCell ref="G91:H91"/>
    <mergeCell ref="I91:J91"/>
    <mergeCell ref="A92:C92"/>
    <mergeCell ref="E92:F92"/>
    <mergeCell ref="G92:H92"/>
    <mergeCell ref="I92:J92"/>
    <mergeCell ref="A87:K87"/>
    <mergeCell ref="A89:C89"/>
    <mergeCell ref="E89:F89"/>
    <mergeCell ref="G89:H89"/>
    <mergeCell ref="I89:J89"/>
    <mergeCell ref="A90:C90"/>
    <mergeCell ref="E90:F90"/>
    <mergeCell ref="G90:H90"/>
    <mergeCell ref="I90:J90"/>
    <mergeCell ref="I74:J74"/>
    <mergeCell ref="I75:J75"/>
    <mergeCell ref="J79:K79"/>
    <mergeCell ref="A80:E80"/>
    <mergeCell ref="A82:K83"/>
    <mergeCell ref="A85:E85"/>
    <mergeCell ref="C63:J63"/>
    <mergeCell ref="C64:H64"/>
    <mergeCell ref="C66:H66"/>
    <mergeCell ref="A69:E69"/>
    <mergeCell ref="A71:K71"/>
    <mergeCell ref="C73:D73"/>
    <mergeCell ref="E73:F73"/>
    <mergeCell ref="G73:H73"/>
    <mergeCell ref="A29:H29"/>
    <mergeCell ref="C57:J57"/>
    <mergeCell ref="C58:K58"/>
    <mergeCell ref="C59:J59"/>
    <mergeCell ref="C60:F60"/>
    <mergeCell ref="C61:J61"/>
    <mergeCell ref="C62:J62"/>
    <mergeCell ref="C50:K50"/>
    <mergeCell ref="C52:K52"/>
    <mergeCell ref="C53:J53"/>
    <mergeCell ref="C54:K54"/>
    <mergeCell ref="C55:J55"/>
    <mergeCell ref="C56:K56"/>
    <mergeCell ref="S21:U21"/>
    <mergeCell ref="W21:Y21"/>
    <mergeCell ref="A22:D22"/>
    <mergeCell ref="E22:H22"/>
    <mergeCell ref="A19:D19"/>
    <mergeCell ref="S19:W19"/>
    <mergeCell ref="A26:K26"/>
    <mergeCell ref="A27:D27"/>
    <mergeCell ref="E27:F27"/>
    <mergeCell ref="A1:K1"/>
    <mergeCell ref="J3:K3"/>
    <mergeCell ref="A4:D4"/>
    <mergeCell ref="A6:B6"/>
    <mergeCell ref="D6:K6"/>
    <mergeCell ref="A7:B7"/>
    <mergeCell ref="D7:K7"/>
    <mergeCell ref="A16:D16"/>
    <mergeCell ref="E16:H16"/>
    <mergeCell ref="A11:B11"/>
    <mergeCell ref="D11:F11"/>
    <mergeCell ref="A12:J12"/>
    <mergeCell ref="A14:D14"/>
    <mergeCell ref="E14:H14"/>
    <mergeCell ref="A15:D15"/>
    <mergeCell ref="E15:H15"/>
    <mergeCell ref="A161:K161"/>
    <mergeCell ref="B140:K140"/>
    <mergeCell ref="B138:K138"/>
    <mergeCell ref="A8:B8"/>
    <mergeCell ref="D8:K8"/>
    <mergeCell ref="A10:D10"/>
    <mergeCell ref="E10:F10"/>
    <mergeCell ref="H10:I10"/>
    <mergeCell ref="J10:K10"/>
    <mergeCell ref="A17:D17"/>
    <mergeCell ref="E17:H17"/>
    <mergeCell ref="A18:D18"/>
    <mergeCell ref="E18:H18"/>
    <mergeCell ref="A20:D20"/>
    <mergeCell ref="A21:D21"/>
    <mergeCell ref="E21:H21"/>
    <mergeCell ref="A31:K32"/>
    <mergeCell ref="J36:K36"/>
    <mergeCell ref="A41:B41"/>
    <mergeCell ref="C43:K43"/>
    <mergeCell ref="C45:K46"/>
    <mergeCell ref="C48:K48"/>
    <mergeCell ref="A23:K23"/>
    <mergeCell ref="A25:K25"/>
  </mergeCells>
  <pageMargins left="0.70866141732283472" right="0.70866141732283472" top="0.74803149606299213" bottom="0.74803149606299213" header="0.31496062992125984" footer="0.31496062992125984"/>
  <pageSetup scale="10" pageOrder="overThenDown" orientation="portrait" r:id="rId1"/>
  <headerFooter>
    <oddHeader>&amp;C
CERTIFICADO DE CALIBRACIÓN DE RECIPIENTES VOLUMÉTRICOS</oddHeader>
    <oddFooter>&amp;RRT03-F14 Vr.11(2022-02-28)</oddFooter>
  </headerFooter>
  <rowBreaks count="3" manualBreakCount="3">
    <brk id="33" max="10" man="1"/>
    <brk id="76" max="10" man="1"/>
    <brk id="115" max="10"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630BA5FC-004C-4CA5-8751-1D39215F5808}">
            <xm:f>NOT(ISERROR(SEARCH($F$106,F119)))</xm:f>
            <xm:f>$F$106</xm:f>
            <x14:dxf>
              <font>
                <b/>
                <i val="0"/>
              </font>
            </x14:dxf>
          </x14:cfRule>
          <x14:cfRule type="containsText" priority="2" stopIfTrue="1" operator="containsText" id="{6979F7CE-0828-44AC-B31C-670FA5B17127}">
            <xm:f>NOT(ISERROR(SEARCH($F$106,F119)))</xm:f>
            <xm:f>$F$106</xm:f>
            <x14:dxf>
              <font>
                <b/>
                <i val="0"/>
                <color auto="1"/>
              </font>
              <fill>
                <patternFill>
                  <bgColor rgb="FFFFC7CE"/>
                </patternFill>
              </fill>
            </x14:dxf>
          </x14:cfRule>
          <xm:sqref>F119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0000000}">
          <x14:formula1>
            <xm:f>'DATOS #'!$Q$26:$Q$28</xm:f>
          </x14:formula1>
          <xm:sqref>B75</xm:sqref>
        </x14:dataValidation>
        <x14:dataValidation type="list" allowBlank="1" showInputMessage="1" showErrorMessage="1" xr:uid="{00000000-0002-0000-0700-000001000000}">
          <x14:formula1>
            <xm:f>'DATOS #'!$P$9:$P$13</xm:f>
          </x14:formula1>
          <xm:sqref>K154 A154</xm:sqref>
        </x14:dataValidation>
        <x14:dataValidation type="list" allowBlank="1" showInputMessage="1" showErrorMessage="1" xr:uid="{00000000-0002-0000-0700-000002000000}">
          <x14:formula1>
            <xm:f>'DATOS #'!$C$143:$C$148</xm:f>
          </x14:formula1>
          <xm:sqref>K93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66CC"/>
  </sheetPr>
  <dimension ref="A1:Y161"/>
  <sheetViews>
    <sheetView showGridLines="0" view="pageBreakPreview" zoomScale="90" zoomScaleNormal="100" zoomScaleSheetLayoutView="90" workbookViewId="0">
      <selection activeCell="G157" sqref="G157:J157"/>
    </sheetView>
  </sheetViews>
  <sheetFormatPr baseColWidth="10" defaultColWidth="11.42578125" defaultRowHeight="15.75" x14ac:dyDescent="0.25"/>
  <cols>
    <col min="1" max="1" width="5.7109375" style="1175" customWidth="1"/>
    <col min="2" max="2" width="13.5703125" style="1175" customWidth="1"/>
    <col min="3" max="8" width="12.7109375" style="1175" customWidth="1"/>
    <col min="9" max="9" width="18" style="1175" customWidth="1"/>
    <col min="10" max="10" width="9.42578125" style="1175" customWidth="1"/>
    <col min="11" max="11" width="9" style="1175" customWidth="1"/>
    <col min="12" max="12" width="8.28515625" style="1175" customWidth="1"/>
    <col min="13" max="13" width="10.140625" style="1175" customWidth="1"/>
    <col min="14" max="14" width="8" style="1175" customWidth="1"/>
    <col min="15" max="15" width="13.85546875" style="1175" customWidth="1"/>
    <col min="16" max="16" width="0.5703125" style="1175" customWidth="1"/>
    <col min="17" max="17" width="1.7109375" style="1175" customWidth="1"/>
    <col min="18" max="16384" width="11.42578125" style="1175"/>
  </cols>
  <sheetData>
    <row r="1" spans="1:11" ht="125.1" customHeight="1" x14ac:dyDescent="0.25">
      <c r="A1" s="1869"/>
      <c r="B1" s="1869"/>
      <c r="C1" s="1869"/>
      <c r="D1" s="1869"/>
      <c r="E1" s="1869"/>
      <c r="F1" s="1869"/>
      <c r="G1" s="1869"/>
      <c r="H1" s="1869"/>
      <c r="I1" s="1869"/>
      <c r="J1" s="1869"/>
      <c r="K1" s="1869"/>
    </row>
    <row r="2" spans="1:11" ht="35.1" customHeight="1" x14ac:dyDescent="0.25">
      <c r="A2" s="1176"/>
      <c r="B2" s="1176"/>
      <c r="C2" s="1176"/>
      <c r="D2" s="1176"/>
      <c r="E2" s="1176"/>
      <c r="F2" s="1176"/>
      <c r="G2" s="1176"/>
      <c r="H2" s="1176"/>
      <c r="I2" s="1176"/>
      <c r="J2" s="1176"/>
      <c r="K2" s="1176"/>
    </row>
    <row r="3" spans="1:11" ht="65.099999999999994" customHeight="1" x14ac:dyDescent="0.25">
      <c r="A3" s="1176"/>
      <c r="B3" s="1176"/>
      <c r="C3" s="1176"/>
      <c r="D3" s="1176"/>
      <c r="E3" s="1176"/>
      <c r="F3" s="1176"/>
      <c r="G3" s="1176"/>
      <c r="H3" s="1177"/>
      <c r="I3" s="1178" t="s">
        <v>269</v>
      </c>
      <c r="J3" s="1863">
        <f>'DATOS #'!N15</f>
        <v>0</v>
      </c>
      <c r="K3" s="1863"/>
    </row>
    <row r="4" spans="1:11" ht="26.1" customHeight="1" x14ac:dyDescent="0.25">
      <c r="A4" s="1867" t="s">
        <v>42</v>
      </c>
      <c r="B4" s="1867"/>
      <c r="C4" s="1867"/>
      <c r="D4" s="1867"/>
      <c r="E4" s="1179"/>
      <c r="F4" s="1180"/>
    </row>
    <row r="5" spans="1:11" ht="18" customHeight="1" x14ac:dyDescent="0.25">
      <c r="A5" s="1181"/>
      <c r="B5" s="1181"/>
      <c r="C5" s="1181"/>
      <c r="D5" s="1180"/>
      <c r="E5" s="1180"/>
      <c r="F5" s="1180"/>
    </row>
    <row r="6" spans="1:11" ht="26.1" customHeight="1" x14ac:dyDescent="0.25">
      <c r="A6" s="1855" t="s">
        <v>358</v>
      </c>
      <c r="B6" s="1855"/>
      <c r="C6" s="1182"/>
      <c r="D6" s="1854">
        <f>'DATOS #'!K8</f>
        <v>0</v>
      </c>
      <c r="E6" s="1854"/>
      <c r="F6" s="1854"/>
      <c r="G6" s="1854"/>
      <c r="H6" s="1854"/>
      <c r="I6" s="1854"/>
      <c r="J6" s="1854"/>
      <c r="K6" s="1854"/>
    </row>
    <row r="7" spans="1:11" ht="26.1" customHeight="1" x14ac:dyDescent="0.25">
      <c r="A7" s="1853" t="s">
        <v>359</v>
      </c>
      <c r="B7" s="1853"/>
      <c r="C7" s="1183"/>
      <c r="D7" s="1854">
        <f>'DATOS #'!L8</f>
        <v>0</v>
      </c>
      <c r="E7" s="1854"/>
      <c r="F7" s="1854"/>
      <c r="G7" s="1854"/>
      <c r="H7" s="1854"/>
      <c r="I7" s="1854"/>
      <c r="J7" s="1854"/>
      <c r="K7" s="1854"/>
    </row>
    <row r="8" spans="1:11" ht="26.1" customHeight="1" x14ac:dyDescent="0.25">
      <c r="A8" s="1853" t="s">
        <v>380</v>
      </c>
      <c r="B8" s="1853"/>
      <c r="C8" s="1183"/>
      <c r="D8" s="1854">
        <f>'DATOS #'!M8</f>
        <v>0</v>
      </c>
      <c r="E8" s="1854"/>
      <c r="F8" s="1854"/>
      <c r="G8" s="1854"/>
      <c r="H8" s="1854"/>
      <c r="I8" s="1854"/>
      <c r="J8" s="1854"/>
      <c r="K8" s="1854"/>
    </row>
    <row r="9" spans="1:11" ht="26.1" customHeight="1" x14ac:dyDescent="0.25">
      <c r="A9" s="1185"/>
      <c r="B9" s="1185"/>
      <c r="C9" s="1181"/>
      <c r="D9" s="1180"/>
      <c r="E9" s="1180"/>
      <c r="F9" s="1180"/>
      <c r="G9" s="1180"/>
    </row>
    <row r="10" spans="1:11" ht="26.1" customHeight="1" x14ac:dyDescent="0.25">
      <c r="A10" s="1855" t="s">
        <v>360</v>
      </c>
      <c r="B10" s="1855"/>
      <c r="C10" s="1855"/>
      <c r="D10" s="1855"/>
      <c r="E10" s="1856" t="e">
        <f>'RT03-F11 #'!D3</f>
        <v>#N/A</v>
      </c>
      <c r="F10" s="1856"/>
      <c r="H10" s="1857" t="s">
        <v>361</v>
      </c>
      <c r="I10" s="1857"/>
      <c r="J10" s="1856">
        <f>'DATOS #'!I8</f>
        <v>0</v>
      </c>
      <c r="K10" s="1856"/>
    </row>
    <row r="11" spans="1:11" ht="26.1" customHeight="1" x14ac:dyDescent="0.25">
      <c r="A11" s="1871"/>
      <c r="B11" s="1871"/>
      <c r="C11" s="1186"/>
      <c r="D11" s="1871"/>
      <c r="E11" s="1871"/>
      <c r="F11" s="1871"/>
      <c r="I11" s="1187"/>
      <c r="J11" s="1187"/>
      <c r="K11" s="1187"/>
    </row>
    <row r="12" spans="1:11" ht="26.1" customHeight="1" x14ac:dyDescent="0.25">
      <c r="A12" s="1867" t="s">
        <v>45</v>
      </c>
      <c r="B12" s="1867"/>
      <c r="C12" s="1867"/>
      <c r="D12" s="1867"/>
      <c r="E12" s="1867"/>
      <c r="F12" s="1867"/>
      <c r="G12" s="1867"/>
      <c r="H12" s="1867"/>
      <c r="I12" s="1867"/>
      <c r="J12" s="1867"/>
      <c r="K12" s="1187"/>
    </row>
    <row r="13" spans="1:11" ht="18" customHeight="1" x14ac:dyDescent="0.25">
      <c r="A13" s="1182"/>
      <c r="B13" s="1182"/>
      <c r="C13" s="1182"/>
      <c r="D13" s="1182"/>
      <c r="E13" s="1182"/>
      <c r="F13" s="680"/>
      <c r="G13" s="1188"/>
      <c r="H13" s="1188"/>
      <c r="I13" s="1189"/>
      <c r="J13" s="1189"/>
      <c r="K13" s="1187"/>
    </row>
    <row r="14" spans="1:11" ht="26.1" customHeight="1" x14ac:dyDescent="0.25">
      <c r="A14" s="1855" t="s">
        <v>24</v>
      </c>
      <c r="B14" s="1855"/>
      <c r="C14" s="1855"/>
      <c r="D14" s="1855"/>
      <c r="E14" s="1861" t="s">
        <v>356</v>
      </c>
      <c r="F14" s="1861"/>
      <c r="G14" s="1861"/>
      <c r="H14" s="1861"/>
      <c r="I14" s="1189"/>
      <c r="J14" s="1189"/>
      <c r="K14" s="1187"/>
    </row>
    <row r="15" spans="1:11" ht="26.1" customHeight="1" x14ac:dyDescent="0.25">
      <c r="A15" s="1855" t="s">
        <v>303</v>
      </c>
      <c r="B15" s="1855"/>
      <c r="C15" s="1855"/>
      <c r="D15" s="1855"/>
      <c r="E15" s="1854">
        <f>'DATOS #'!C15</f>
        <v>0</v>
      </c>
      <c r="F15" s="1854"/>
      <c r="G15" s="1854"/>
      <c r="H15" s="1854"/>
      <c r="I15" s="1190"/>
      <c r="J15" s="1189"/>
      <c r="K15" s="1187"/>
    </row>
    <row r="16" spans="1:11" ht="26.1" customHeight="1" x14ac:dyDescent="0.25">
      <c r="A16" s="1855" t="s">
        <v>302</v>
      </c>
      <c r="B16" s="1855"/>
      <c r="C16" s="1855"/>
      <c r="D16" s="1855"/>
      <c r="E16" s="1854">
        <f>'DATOS #'!E15</f>
        <v>0</v>
      </c>
      <c r="F16" s="1854"/>
      <c r="G16" s="1854"/>
      <c r="H16" s="1854"/>
      <c r="I16" s="1190"/>
      <c r="J16" s="1189"/>
      <c r="K16" s="1187"/>
    </row>
    <row r="17" spans="1:25" ht="26.1" customHeight="1" x14ac:dyDescent="0.25">
      <c r="A17" s="1859" t="s">
        <v>280</v>
      </c>
      <c r="B17" s="1859"/>
      <c r="C17" s="1859"/>
      <c r="D17" s="1859"/>
      <c r="E17" s="1948">
        <f>'DATOS #'!D15</f>
        <v>0</v>
      </c>
      <c r="F17" s="1948"/>
      <c r="G17" s="1948"/>
      <c r="H17" s="1948"/>
      <c r="I17" s="1190"/>
      <c r="J17" s="1189"/>
      <c r="K17" s="1187"/>
    </row>
    <row r="18" spans="1:25" ht="26.1" customHeight="1" x14ac:dyDescent="0.25">
      <c r="A18" s="1859" t="s">
        <v>33</v>
      </c>
      <c r="B18" s="1859"/>
      <c r="C18" s="1859"/>
      <c r="D18" s="1859"/>
      <c r="E18" s="1861" t="s">
        <v>347</v>
      </c>
      <c r="F18" s="1861"/>
      <c r="G18" s="1861"/>
      <c r="H18" s="1861"/>
      <c r="I18" s="1190"/>
      <c r="J18" s="1189"/>
      <c r="K18" s="1187"/>
    </row>
    <row r="19" spans="1:25" ht="26.1" customHeight="1" x14ac:dyDescent="0.25">
      <c r="A19" s="1859" t="s">
        <v>301</v>
      </c>
      <c r="B19" s="1859"/>
      <c r="C19" s="1859"/>
      <c r="D19" s="1859"/>
      <c r="E19" s="1336" t="str">
        <f>'DATOS #'!G15</f>
        <v>5 gal</v>
      </c>
      <c r="F19" s="1190"/>
      <c r="G19" s="1190"/>
      <c r="H19" s="1190"/>
      <c r="I19" s="1190"/>
      <c r="J19" s="1188"/>
      <c r="S19" s="1871"/>
      <c r="T19" s="1871"/>
      <c r="U19" s="1871"/>
      <c r="V19" s="1871"/>
      <c r="W19" s="1871"/>
    </row>
    <row r="20" spans="1:25" ht="26.1" customHeight="1" x14ac:dyDescent="0.25">
      <c r="A20" s="1859" t="s">
        <v>208</v>
      </c>
      <c r="B20" s="1859"/>
      <c r="C20" s="1859"/>
      <c r="D20" s="1859"/>
      <c r="E20" s="1337" t="s">
        <v>663</v>
      </c>
      <c r="F20" s="1191" t="e">
        <f>'DATOS #'!H15</f>
        <v>#N/A</v>
      </c>
      <c r="G20" s="1192"/>
      <c r="H20" s="1192"/>
      <c r="I20" s="1190"/>
      <c r="J20" s="1188"/>
      <c r="M20" s="1193"/>
      <c r="N20" s="1193"/>
      <c r="O20" s="1193"/>
      <c r="P20" s="1193"/>
      <c r="Q20" s="1193"/>
      <c r="R20" s="1193"/>
      <c r="S20" s="1193"/>
      <c r="T20" s="1193"/>
      <c r="U20" s="1193"/>
      <c r="V20" s="1193"/>
    </row>
    <row r="21" spans="1:25" ht="26.1" customHeight="1" x14ac:dyDescent="0.25">
      <c r="A21" s="1859" t="s">
        <v>279</v>
      </c>
      <c r="B21" s="1859"/>
      <c r="C21" s="1859"/>
      <c r="D21" s="1859"/>
      <c r="E21" s="1861" t="s">
        <v>304</v>
      </c>
      <c r="F21" s="1861"/>
      <c r="G21" s="1861"/>
      <c r="H21" s="1861"/>
      <c r="I21" s="1190"/>
      <c r="J21" s="1194"/>
      <c r="S21" s="1872"/>
      <c r="T21" s="1873"/>
      <c r="U21" s="1873"/>
      <c r="W21" s="1871"/>
      <c r="X21" s="1871"/>
      <c r="Y21" s="1871"/>
    </row>
    <row r="22" spans="1:25" ht="26.1" customHeight="1" x14ac:dyDescent="0.25">
      <c r="A22" s="1871"/>
      <c r="B22" s="1871"/>
      <c r="C22" s="1871"/>
      <c r="D22" s="1871"/>
      <c r="E22" s="1874"/>
      <c r="F22" s="1874"/>
      <c r="G22" s="1874"/>
      <c r="H22" s="1874"/>
      <c r="I22" s="1195"/>
    </row>
    <row r="23" spans="1:25" ht="23.1" customHeight="1" x14ac:dyDescent="0.25">
      <c r="A23" s="1867" t="s">
        <v>140</v>
      </c>
      <c r="B23" s="1867"/>
      <c r="C23" s="1867"/>
      <c r="D23" s="1867"/>
      <c r="E23" s="1867"/>
      <c r="F23" s="1867"/>
      <c r="G23" s="1867"/>
      <c r="H23" s="1867"/>
      <c r="I23" s="1867"/>
      <c r="J23" s="1867"/>
      <c r="K23" s="1867"/>
    </row>
    <row r="24" spans="1:25" ht="18" customHeight="1" x14ac:dyDescent="0.25">
      <c r="A24" s="1188"/>
      <c r="B24" s="1188"/>
      <c r="C24" s="1188"/>
      <c r="D24" s="1188"/>
      <c r="E24" s="1188"/>
      <c r="F24" s="1188"/>
      <c r="G24" s="1188"/>
      <c r="H24" s="1188"/>
      <c r="I24" s="1188"/>
      <c r="J24" s="1188"/>
      <c r="K24" s="1188"/>
    </row>
    <row r="25" spans="1:25" ht="23.1" customHeight="1" x14ac:dyDescent="0.25">
      <c r="A25" s="1868">
        <f>'DATOS #'!G8</f>
        <v>0</v>
      </c>
      <c r="B25" s="1868"/>
      <c r="C25" s="1868"/>
      <c r="D25" s="1868"/>
      <c r="E25" s="1868"/>
      <c r="F25" s="1868"/>
      <c r="G25" s="1868"/>
      <c r="H25" s="1868"/>
      <c r="I25" s="1868"/>
      <c r="J25" s="1868"/>
      <c r="K25" s="1868"/>
    </row>
    <row r="26" spans="1:25" ht="26.1" customHeight="1" x14ac:dyDescent="0.25">
      <c r="A26" s="1868"/>
      <c r="B26" s="1868"/>
      <c r="C26" s="1868"/>
      <c r="D26" s="1868"/>
      <c r="E26" s="1868"/>
      <c r="F26" s="1868"/>
      <c r="G26" s="1868"/>
      <c r="H26" s="1868"/>
      <c r="I26" s="1868"/>
      <c r="J26" s="1868"/>
      <c r="K26" s="1868"/>
    </row>
    <row r="27" spans="1:25" ht="34.5" customHeight="1" x14ac:dyDescent="0.25">
      <c r="A27" s="1867" t="s">
        <v>273</v>
      </c>
      <c r="B27" s="1867"/>
      <c r="C27" s="1867"/>
      <c r="D27" s="1867"/>
      <c r="E27" s="1868">
        <f>'DATOS #'!J8</f>
        <v>0</v>
      </c>
      <c r="F27" s="1868"/>
      <c r="G27" s="1192"/>
      <c r="H27" s="1188"/>
      <c r="I27" s="1188"/>
      <c r="J27" s="1188"/>
      <c r="K27" s="1188"/>
    </row>
    <row r="28" spans="1:25" ht="26.1" customHeight="1" x14ac:dyDescent="0.25">
      <c r="A28" s="1188"/>
      <c r="B28" s="1188"/>
      <c r="C28" s="1188"/>
      <c r="D28" s="1188"/>
      <c r="E28" s="1188"/>
      <c r="F28" s="1196"/>
      <c r="G28" s="1196"/>
      <c r="H28" s="1188"/>
      <c r="I28" s="1188"/>
      <c r="J28" s="1188"/>
      <c r="K28" s="1188"/>
    </row>
    <row r="29" spans="1:25" ht="23.1" customHeight="1" x14ac:dyDescent="0.25">
      <c r="A29" s="1875" t="s">
        <v>305</v>
      </c>
      <c r="B29" s="1875"/>
      <c r="C29" s="1875"/>
      <c r="D29" s="1875"/>
      <c r="E29" s="1875"/>
      <c r="F29" s="1875"/>
      <c r="G29" s="1875"/>
      <c r="H29" s="1875"/>
      <c r="I29" s="819"/>
      <c r="J29" s="1197"/>
      <c r="K29" s="1188"/>
    </row>
    <row r="30" spans="1:25" ht="18" customHeight="1" x14ac:dyDescent="0.25">
      <c r="A30" s="1190"/>
      <c r="B30" s="1190"/>
      <c r="C30" s="1190"/>
      <c r="D30" s="1190"/>
      <c r="E30" s="1190"/>
      <c r="F30" s="1190"/>
      <c r="G30" s="1190"/>
      <c r="H30" s="1190"/>
      <c r="I30" s="1190"/>
      <c r="J30" s="1188"/>
      <c r="K30" s="1188"/>
    </row>
    <row r="31" spans="1:25" ht="20.100000000000001" customHeight="1" x14ac:dyDescent="0.25">
      <c r="A31" s="1862" t="s">
        <v>464</v>
      </c>
      <c r="B31" s="1862"/>
      <c r="C31" s="1862"/>
      <c r="D31" s="1862"/>
      <c r="E31" s="1862"/>
      <c r="F31" s="1862"/>
      <c r="G31" s="1862"/>
      <c r="H31" s="1862"/>
      <c r="I31" s="1862"/>
      <c r="J31" s="1862"/>
      <c r="K31" s="1862"/>
    </row>
    <row r="32" spans="1:25" ht="20.100000000000001" customHeight="1" x14ac:dyDescent="0.25">
      <c r="A32" s="1862"/>
      <c r="B32" s="1862"/>
      <c r="C32" s="1862"/>
      <c r="D32" s="1862"/>
      <c r="E32" s="1862"/>
      <c r="F32" s="1862"/>
      <c r="G32" s="1862"/>
      <c r="H32" s="1862"/>
      <c r="I32" s="1862"/>
      <c r="J32" s="1862"/>
      <c r="K32" s="1862"/>
    </row>
    <row r="33" spans="1:11" ht="18" customHeight="1" x14ac:dyDescent="0.25">
      <c r="A33" s="1198"/>
      <c r="B33" s="1198"/>
      <c r="C33" s="1198"/>
      <c r="D33" s="1198"/>
      <c r="E33" s="1198"/>
      <c r="F33" s="1198"/>
      <c r="G33" s="1198"/>
      <c r="H33" s="1198"/>
      <c r="I33" s="1198"/>
      <c r="J33" s="1198"/>
      <c r="K33" s="1198"/>
    </row>
    <row r="34" spans="1:11" ht="125.1" customHeight="1" x14ac:dyDescent="0.25">
      <c r="A34" s="1198"/>
      <c r="B34" s="1198"/>
      <c r="C34" s="1198"/>
      <c r="D34" s="1198"/>
      <c r="E34" s="1198"/>
      <c r="F34" s="1198"/>
      <c r="G34" s="1198"/>
      <c r="H34" s="1198"/>
      <c r="I34" s="1198"/>
      <c r="J34" s="1198"/>
      <c r="K34" s="1198"/>
    </row>
    <row r="35" spans="1:11" ht="35.1" customHeight="1" x14ac:dyDescent="0.25">
      <c r="A35" s="1198"/>
      <c r="B35" s="1198"/>
      <c r="C35" s="1198"/>
      <c r="D35" s="1198"/>
      <c r="E35" s="1198"/>
      <c r="F35" s="1198"/>
      <c r="G35" s="1198"/>
      <c r="H35" s="1198"/>
      <c r="I35" s="1198"/>
      <c r="J35" s="1198"/>
      <c r="K35" s="1198"/>
    </row>
    <row r="36" spans="1:11" ht="65.099999999999994" customHeight="1" x14ac:dyDescent="0.25">
      <c r="A36" s="1199"/>
      <c r="B36" s="1199"/>
      <c r="C36" s="1199"/>
      <c r="D36" s="1199"/>
      <c r="E36" s="1199"/>
      <c r="F36" s="1199"/>
      <c r="G36" s="1199"/>
      <c r="H36" s="1177"/>
      <c r="I36" s="1200" t="s">
        <v>269</v>
      </c>
      <c r="J36" s="1863">
        <f>J3</f>
        <v>0</v>
      </c>
      <c r="K36" s="1863"/>
    </row>
    <row r="37" spans="1:11" ht="24.95" customHeight="1" x14ac:dyDescent="0.25">
      <c r="A37" s="1199"/>
      <c r="B37" s="1199"/>
      <c r="C37" s="1199"/>
      <c r="D37" s="1199"/>
      <c r="E37" s="1199"/>
      <c r="F37" s="1199"/>
      <c r="G37" s="1199"/>
      <c r="H37" s="1177"/>
      <c r="I37" s="1201"/>
      <c r="J37" s="1201"/>
      <c r="K37" s="1176"/>
    </row>
    <row r="38" spans="1:11" ht="18" customHeight="1" x14ac:dyDescent="0.25">
      <c r="A38" s="1199"/>
      <c r="B38" s="1199"/>
      <c r="C38" s="1199"/>
      <c r="D38" s="1199"/>
      <c r="E38" s="1199"/>
      <c r="F38" s="1199"/>
      <c r="G38" s="1199"/>
      <c r="H38" s="1177"/>
      <c r="I38" s="1201"/>
      <c r="J38" s="1201"/>
      <c r="K38" s="1176"/>
    </row>
    <row r="39" spans="1:11" ht="18" customHeight="1" x14ac:dyDescent="0.25">
      <c r="A39" s="1199"/>
      <c r="B39" s="1199"/>
      <c r="C39" s="1199"/>
      <c r="D39" s="1199"/>
      <c r="E39" s="1199"/>
      <c r="F39" s="1199"/>
      <c r="G39" s="1199"/>
      <c r="H39" s="1177"/>
      <c r="I39" s="1201"/>
      <c r="J39" s="1201"/>
      <c r="K39" s="1176"/>
    </row>
    <row r="40" spans="1:11" ht="15.75" customHeight="1" x14ac:dyDescent="0.25">
      <c r="A40" s="1199"/>
      <c r="B40" s="1199"/>
      <c r="C40" s="1199"/>
      <c r="D40" s="1199"/>
      <c r="E40" s="1199"/>
      <c r="F40" s="1199"/>
      <c r="G40" s="1199"/>
      <c r="H40" s="1177"/>
      <c r="I40" s="1201"/>
      <c r="J40" s="1201"/>
      <c r="K40" s="1176"/>
    </row>
    <row r="41" spans="1:11" s="1204" customFormat="1" ht="23.1" customHeight="1" x14ac:dyDescent="0.2">
      <c r="A41" s="1864" t="s">
        <v>38</v>
      </c>
      <c r="B41" s="1864"/>
      <c r="C41" s="1202"/>
      <c r="D41" s="1202"/>
      <c r="E41" s="1202"/>
      <c r="F41" s="1202"/>
      <c r="G41" s="1202"/>
      <c r="H41" s="1202"/>
      <c r="I41" s="1202"/>
      <c r="J41" s="1203"/>
    </row>
    <row r="42" spans="1:11" s="1204" customFormat="1" ht="24.95" customHeight="1" x14ac:dyDescent="0.2">
      <c r="A42" s="1205"/>
      <c r="B42" s="1202"/>
      <c r="C42" s="1202"/>
      <c r="D42" s="1202"/>
      <c r="E42" s="1202"/>
      <c r="F42" s="1202"/>
      <c r="G42" s="1202"/>
      <c r="H42" s="1202"/>
      <c r="I42" s="1202"/>
      <c r="J42" s="1203"/>
    </row>
    <row r="43" spans="1:11" s="1204" customFormat="1" ht="24.95" customHeight="1" x14ac:dyDescent="0.2">
      <c r="A43" s="1202"/>
      <c r="B43" s="1206"/>
      <c r="C43" s="1865" t="s">
        <v>37</v>
      </c>
      <c r="D43" s="1865"/>
      <c r="E43" s="1865"/>
      <c r="F43" s="1865"/>
      <c r="G43" s="1865"/>
      <c r="H43" s="1865"/>
      <c r="I43" s="1865"/>
      <c r="J43" s="1865"/>
      <c r="K43" s="1865"/>
    </row>
    <row r="44" spans="1:11" s="1204" customFormat="1" ht="12.95" customHeight="1" x14ac:dyDescent="0.2">
      <c r="A44" s="1207"/>
      <c r="B44" s="1207"/>
      <c r="C44" s="1208"/>
      <c r="D44" s="1208"/>
      <c r="E44" s="1208"/>
      <c r="F44" s="1208"/>
      <c r="G44" s="1209"/>
      <c r="H44" s="1210"/>
      <c r="I44" s="1211"/>
      <c r="J44" s="1211"/>
      <c r="K44" s="1209"/>
    </row>
    <row r="45" spans="1:11" s="1204" customFormat="1" ht="15.95" customHeight="1" x14ac:dyDescent="0.2">
      <c r="A45" s="1202"/>
      <c r="B45" s="1212"/>
      <c r="C45" s="1866" t="s">
        <v>270</v>
      </c>
      <c r="D45" s="1866"/>
      <c r="E45" s="1866"/>
      <c r="F45" s="1866"/>
      <c r="G45" s="1866"/>
      <c r="H45" s="1866"/>
      <c r="I45" s="1866"/>
      <c r="J45" s="1866"/>
      <c r="K45" s="1866"/>
    </row>
    <row r="46" spans="1:11" s="1204" customFormat="1" ht="15.95" customHeight="1" x14ac:dyDescent="0.2">
      <c r="A46" s="1202"/>
      <c r="B46" s="1212"/>
      <c r="C46" s="1866"/>
      <c r="D46" s="1866"/>
      <c r="E46" s="1866"/>
      <c r="F46" s="1866"/>
      <c r="G46" s="1866"/>
      <c r="H46" s="1866"/>
      <c r="I46" s="1866"/>
      <c r="J46" s="1866"/>
      <c r="K46" s="1866"/>
    </row>
    <row r="47" spans="1:11" s="1204" customFormat="1" ht="12.95" customHeight="1" x14ac:dyDescent="0.2">
      <c r="A47" s="1202"/>
      <c r="B47" s="1212"/>
      <c r="C47" s="1213"/>
      <c r="D47" s="1213"/>
      <c r="E47" s="1213"/>
      <c r="F47" s="1213"/>
      <c r="G47" s="1213"/>
      <c r="H47" s="1213"/>
      <c r="I47" s="1213"/>
      <c r="J47" s="1213"/>
      <c r="K47" s="1213"/>
    </row>
    <row r="48" spans="1:11" s="1204" customFormat="1" ht="24.95" customHeight="1" x14ac:dyDescent="0.2">
      <c r="A48" s="1202"/>
      <c r="B48" s="1202"/>
      <c r="C48" s="1865" t="s">
        <v>46</v>
      </c>
      <c r="D48" s="1865"/>
      <c r="E48" s="1865"/>
      <c r="F48" s="1865"/>
      <c r="G48" s="1865"/>
      <c r="H48" s="1865"/>
      <c r="I48" s="1865"/>
      <c r="J48" s="1865"/>
      <c r="K48" s="1865"/>
    </row>
    <row r="49" spans="1:12" s="1204" customFormat="1" ht="12.95" customHeight="1" x14ac:dyDescent="0.2">
      <c r="A49" s="1202"/>
      <c r="B49" s="1202"/>
      <c r="C49" s="1213"/>
      <c r="D49" s="1213"/>
      <c r="E49" s="1213"/>
      <c r="F49" s="1213"/>
      <c r="G49" s="1213"/>
      <c r="H49" s="1213"/>
      <c r="I49" s="1213"/>
      <c r="J49" s="1213"/>
      <c r="K49" s="1213"/>
    </row>
    <row r="50" spans="1:12" s="1204" customFormat="1" ht="24.95" customHeight="1" x14ac:dyDescent="0.2">
      <c r="A50" s="1202"/>
      <c r="B50" s="1202"/>
      <c r="C50" s="1866" t="s">
        <v>271</v>
      </c>
      <c r="D50" s="1866"/>
      <c r="E50" s="1866"/>
      <c r="F50" s="1866"/>
      <c r="G50" s="1866"/>
      <c r="H50" s="1866"/>
      <c r="I50" s="1866"/>
      <c r="J50" s="1866"/>
      <c r="K50" s="1866"/>
    </row>
    <row r="51" spans="1:12" s="1204" customFormat="1" ht="12.95" customHeight="1" x14ac:dyDescent="0.2">
      <c r="A51" s="1202"/>
      <c r="B51" s="1202"/>
      <c r="C51" s="1213"/>
      <c r="D51" s="1213"/>
      <c r="E51" s="1213"/>
      <c r="F51" s="1213"/>
      <c r="G51" s="1213"/>
      <c r="H51" s="1213"/>
      <c r="I51" s="1213"/>
      <c r="J51" s="1213"/>
      <c r="K51" s="1213"/>
    </row>
    <row r="52" spans="1:12" s="1204" customFormat="1" ht="24.95" customHeight="1" x14ac:dyDescent="0.2">
      <c r="A52" s="1202"/>
      <c r="B52" s="1202"/>
      <c r="C52" s="1866" t="s">
        <v>47</v>
      </c>
      <c r="D52" s="1866"/>
      <c r="E52" s="1866"/>
      <c r="F52" s="1866"/>
      <c r="G52" s="1866"/>
      <c r="H52" s="1866"/>
      <c r="I52" s="1866"/>
      <c r="J52" s="1866"/>
      <c r="K52" s="1866"/>
    </row>
    <row r="53" spans="1:12" s="1204" customFormat="1" ht="12.95" customHeight="1" x14ac:dyDescent="0.2">
      <c r="A53" s="1202"/>
      <c r="B53" s="1202"/>
      <c r="C53" s="1866"/>
      <c r="D53" s="1866"/>
      <c r="E53" s="1866"/>
      <c r="F53" s="1866"/>
      <c r="G53" s="1866"/>
      <c r="H53" s="1866"/>
      <c r="I53" s="1866"/>
      <c r="J53" s="1866"/>
      <c r="K53" s="1213"/>
    </row>
    <row r="54" spans="1:12" s="1204" customFormat="1" ht="24.95" customHeight="1" x14ac:dyDescent="0.2">
      <c r="A54" s="1202"/>
      <c r="B54" s="1204" t="s">
        <v>12</v>
      </c>
      <c r="C54" s="1866" t="s">
        <v>48</v>
      </c>
      <c r="D54" s="1866"/>
      <c r="E54" s="1866"/>
      <c r="F54" s="1866"/>
      <c r="G54" s="1866"/>
      <c r="H54" s="1866"/>
      <c r="I54" s="1866"/>
      <c r="J54" s="1866"/>
      <c r="K54" s="1866"/>
    </row>
    <row r="55" spans="1:12" s="1204" customFormat="1" ht="12.95" customHeight="1" x14ac:dyDescent="0.2">
      <c r="A55" s="1202"/>
      <c r="C55" s="1866"/>
      <c r="D55" s="1866"/>
      <c r="E55" s="1866"/>
      <c r="F55" s="1866"/>
      <c r="G55" s="1866"/>
      <c r="H55" s="1866"/>
      <c r="I55" s="1866"/>
      <c r="J55" s="1866"/>
      <c r="K55" s="1213"/>
    </row>
    <row r="56" spans="1:12" s="1204" customFormat="1" ht="24.95" customHeight="1" x14ac:dyDescent="0.2">
      <c r="A56" s="1202"/>
      <c r="B56" s="1202"/>
      <c r="C56" s="1866" t="s">
        <v>49</v>
      </c>
      <c r="D56" s="1866"/>
      <c r="E56" s="1866"/>
      <c r="F56" s="1866"/>
      <c r="G56" s="1866"/>
      <c r="H56" s="1866"/>
      <c r="I56" s="1866"/>
      <c r="J56" s="1866"/>
      <c r="K56" s="1866"/>
    </row>
    <row r="57" spans="1:12" s="1204" customFormat="1" ht="12.95" customHeight="1" x14ac:dyDescent="0.2">
      <c r="A57" s="1202"/>
      <c r="B57" s="1202"/>
      <c r="C57" s="1866"/>
      <c r="D57" s="1866"/>
      <c r="E57" s="1866"/>
      <c r="F57" s="1866"/>
      <c r="G57" s="1866"/>
      <c r="H57" s="1866"/>
      <c r="I57" s="1866"/>
      <c r="J57" s="1866"/>
      <c r="K57" s="1213"/>
    </row>
    <row r="58" spans="1:12" s="1204" customFormat="1" ht="24.95" customHeight="1" x14ac:dyDescent="0.2">
      <c r="A58" s="1202"/>
      <c r="B58" s="1202"/>
      <c r="C58" s="1866" t="s">
        <v>466</v>
      </c>
      <c r="D58" s="1866"/>
      <c r="E58" s="1866"/>
      <c r="F58" s="1866"/>
      <c r="G58" s="1866"/>
      <c r="H58" s="1866"/>
      <c r="I58" s="1866"/>
      <c r="J58" s="1866"/>
      <c r="K58" s="1866"/>
    </row>
    <row r="59" spans="1:12" s="1204" customFormat="1" ht="12.95" customHeight="1" x14ac:dyDescent="0.2">
      <c r="A59" s="1202"/>
      <c r="B59" s="1202"/>
      <c r="C59" s="1866"/>
      <c r="D59" s="1866"/>
      <c r="E59" s="1866"/>
      <c r="F59" s="1866"/>
      <c r="G59" s="1866"/>
      <c r="H59" s="1866"/>
      <c r="I59" s="1866"/>
      <c r="J59" s="1866"/>
      <c r="K59" s="1213"/>
    </row>
    <row r="60" spans="1:12" s="1204" customFormat="1" ht="24.95" customHeight="1" x14ac:dyDescent="0.2">
      <c r="A60" s="1202"/>
      <c r="B60" s="1202"/>
      <c r="C60" s="1876" t="s">
        <v>493</v>
      </c>
      <c r="D60" s="1876"/>
      <c r="E60" s="1876"/>
      <c r="F60" s="1876"/>
      <c r="G60" s="1214">
        <f>'DATOS #'!F15</f>
        <v>0</v>
      </c>
      <c r="H60" s="1215"/>
      <c r="I60" s="1215"/>
      <c r="J60" s="1215"/>
      <c r="K60" s="1215"/>
    </row>
    <row r="61" spans="1:12" s="1204" customFormat="1" ht="12.95" customHeight="1" x14ac:dyDescent="0.2">
      <c r="A61" s="1202"/>
      <c r="B61" s="1202"/>
      <c r="C61" s="1866"/>
      <c r="D61" s="1866"/>
      <c r="E61" s="1866"/>
      <c r="F61" s="1866"/>
      <c r="G61" s="1866"/>
      <c r="H61" s="1866"/>
      <c r="I61" s="1866"/>
      <c r="J61" s="1866"/>
      <c r="K61" s="1213"/>
    </row>
    <row r="62" spans="1:12" s="1204" customFormat="1" ht="24.95" customHeight="1" x14ac:dyDescent="0.2">
      <c r="A62" s="1202"/>
      <c r="B62" s="1202"/>
      <c r="C62" s="1866" t="s">
        <v>362</v>
      </c>
      <c r="D62" s="1866"/>
      <c r="E62" s="1866"/>
      <c r="F62" s="1866"/>
      <c r="G62" s="1866"/>
      <c r="H62" s="1866"/>
      <c r="I62" s="1866"/>
      <c r="J62" s="1866"/>
      <c r="K62" s="1213"/>
    </row>
    <row r="63" spans="1:12" s="1204" customFormat="1" ht="12.95" customHeight="1" x14ac:dyDescent="0.25">
      <c r="A63" s="1202"/>
      <c r="B63" s="1202"/>
      <c r="C63" s="1866"/>
      <c r="D63" s="1866"/>
      <c r="E63" s="1866"/>
      <c r="F63" s="1866"/>
      <c r="G63" s="1866"/>
      <c r="H63" s="1866"/>
      <c r="I63" s="1866"/>
      <c r="J63" s="1866"/>
      <c r="K63" s="1213"/>
      <c r="L63" s="1175"/>
    </row>
    <row r="64" spans="1:12" s="1204" customFormat="1" ht="24.95" customHeight="1" x14ac:dyDescent="0.25">
      <c r="A64" s="1202"/>
      <c r="B64" s="1202"/>
      <c r="C64" s="1865" t="s">
        <v>363</v>
      </c>
      <c r="D64" s="1865"/>
      <c r="E64" s="1865"/>
      <c r="F64" s="1865"/>
      <c r="G64" s="1865"/>
      <c r="H64" s="1865"/>
      <c r="I64" s="1213"/>
      <c r="J64" s="1213"/>
      <c r="K64" s="1213"/>
      <c r="L64" s="1175"/>
    </row>
    <row r="65" spans="1:12" s="1204" customFormat="1" ht="12.95" customHeight="1" x14ac:dyDescent="0.25">
      <c r="A65" s="1202"/>
      <c r="B65" s="1202"/>
      <c r="C65" s="1213"/>
      <c r="D65" s="1213"/>
      <c r="E65" s="1213"/>
      <c r="F65" s="1213"/>
      <c r="G65" s="1213"/>
      <c r="H65" s="1213"/>
      <c r="I65" s="1213"/>
      <c r="J65" s="1213"/>
      <c r="K65" s="1213"/>
      <c r="L65" s="1175"/>
    </row>
    <row r="66" spans="1:12" s="1204" customFormat="1" ht="24.95" customHeight="1" x14ac:dyDescent="0.25">
      <c r="A66" s="1202"/>
      <c r="B66" s="1202"/>
      <c r="C66" s="1865" t="s">
        <v>364</v>
      </c>
      <c r="D66" s="1865"/>
      <c r="E66" s="1865"/>
      <c r="F66" s="1865"/>
      <c r="G66" s="1865"/>
      <c r="H66" s="1865"/>
      <c r="I66" s="1213"/>
      <c r="J66" s="1213"/>
      <c r="K66" s="1213"/>
      <c r="L66" s="1175"/>
    </row>
    <row r="67" spans="1:12" s="1204" customFormat="1" ht="12.95" customHeight="1" x14ac:dyDescent="0.25">
      <c r="A67" s="1202"/>
      <c r="B67" s="1202"/>
      <c r="C67" s="1203"/>
      <c r="D67" s="1203"/>
      <c r="E67" s="1203"/>
      <c r="F67" s="1203"/>
      <c r="G67" s="1203"/>
      <c r="H67" s="1203"/>
      <c r="I67" s="1216"/>
      <c r="J67" s="1216"/>
      <c r="K67" s="1175"/>
      <c r="L67" s="1175"/>
    </row>
    <row r="68" spans="1:12" ht="24.95" customHeight="1" x14ac:dyDescent="0.25">
      <c r="A68" s="1202"/>
      <c r="B68" s="1202"/>
      <c r="C68" s="1203"/>
      <c r="D68" s="1203"/>
      <c r="E68" s="1203"/>
      <c r="F68" s="1203"/>
      <c r="G68" s="1203"/>
      <c r="H68" s="1203"/>
      <c r="I68" s="1216"/>
      <c r="J68" s="1216"/>
    </row>
    <row r="69" spans="1:12" ht="23.1" customHeight="1" x14ac:dyDescent="0.25">
      <c r="A69" s="1875" t="s">
        <v>306</v>
      </c>
      <c r="B69" s="1875"/>
      <c r="C69" s="1875"/>
      <c r="D69" s="1875"/>
      <c r="E69" s="1875"/>
      <c r="F69" s="1195"/>
      <c r="G69" s="1195"/>
    </row>
    <row r="70" spans="1:12" ht="15.95" customHeight="1" x14ac:dyDescent="0.25">
      <c r="A70" s="1217"/>
      <c r="B70" s="1217"/>
      <c r="C70" s="1217"/>
      <c r="D70" s="1217"/>
      <c r="E70" s="1217"/>
      <c r="F70" s="1195"/>
      <c r="G70" s="1195"/>
      <c r="H70" s="1195"/>
      <c r="I70" s="1195"/>
      <c r="J70" s="1218"/>
    </row>
    <row r="71" spans="1:12" ht="20.100000000000001" customHeight="1" x14ac:dyDescent="0.25">
      <c r="A71" s="1880" t="s">
        <v>548</v>
      </c>
      <c r="B71" s="1880"/>
      <c r="C71" s="1880"/>
      <c r="D71" s="1880"/>
      <c r="E71" s="1880"/>
      <c r="F71" s="1880"/>
      <c r="G71" s="1880"/>
      <c r="H71" s="1880"/>
      <c r="I71" s="1880"/>
      <c r="J71" s="1880"/>
      <c r="K71" s="1880"/>
    </row>
    <row r="72" spans="1:12" ht="15" customHeight="1" thickBot="1" x14ac:dyDescent="0.3">
      <c r="A72" s="1219"/>
      <c r="B72" s="1219"/>
      <c r="C72" s="1219"/>
      <c r="D72" s="1219"/>
      <c r="E72" s="1219"/>
      <c r="F72" s="1219"/>
      <c r="G72" s="1219"/>
      <c r="H72" s="1219"/>
      <c r="I72" s="1219"/>
      <c r="J72" s="1219"/>
      <c r="K72" s="1219"/>
    </row>
    <row r="73" spans="1:12" ht="30" customHeight="1" thickBot="1" x14ac:dyDescent="0.3">
      <c r="A73" s="1220"/>
      <c r="B73" s="1220"/>
      <c r="C73" s="1625" t="s">
        <v>524</v>
      </c>
      <c r="D73" s="1627"/>
      <c r="E73" s="1625" t="s">
        <v>525</v>
      </c>
      <c r="F73" s="1627"/>
      <c r="G73" s="1625" t="s">
        <v>535</v>
      </c>
      <c r="H73" s="1627"/>
      <c r="I73" s="1220"/>
      <c r="J73" s="1221"/>
      <c r="K73" s="1222"/>
    </row>
    <row r="74" spans="1:12" ht="30" customHeight="1" thickBot="1" x14ac:dyDescent="0.3">
      <c r="A74" s="1220"/>
      <c r="B74" s="1223"/>
      <c r="C74" s="1224" t="s">
        <v>523</v>
      </c>
      <c r="D74" s="1225" t="s">
        <v>533</v>
      </c>
      <c r="E74" s="1224" t="s">
        <v>523</v>
      </c>
      <c r="F74" s="1225" t="s">
        <v>534</v>
      </c>
      <c r="G74" s="1224" t="s">
        <v>523</v>
      </c>
      <c r="H74" s="1225" t="s">
        <v>534</v>
      </c>
      <c r="I74" s="1877"/>
      <c r="J74" s="1877"/>
      <c r="K74" s="1222"/>
    </row>
    <row r="75" spans="1:12" ht="36" customHeight="1" thickBot="1" x14ac:dyDescent="0.3">
      <c r="A75" s="1226"/>
      <c r="B75" s="1227"/>
      <c r="C75" s="1228" t="e">
        <f>VLOOKUP($B$75,'DATOS #'!Q26:W28,2,FALSE)</f>
        <v>#N/A</v>
      </c>
      <c r="D75" s="1229" t="e">
        <f>VLOOKUP($B$75,'DATOS #'!Q26:W28,3,FALSE)</f>
        <v>#N/A</v>
      </c>
      <c r="E75" s="1229" t="e">
        <f>VLOOKUP($B$75,'DATOS #'!Q26:W28,4,FALSE)</f>
        <v>#N/A</v>
      </c>
      <c r="F75" s="1229" t="e">
        <f>VLOOKUP($B$75,'DATOS #'!Q26:W28,5,FALSE)</f>
        <v>#N/A</v>
      </c>
      <c r="G75" s="1230" t="e">
        <f>VLOOKUP($B$75,'DATOS #'!Q26:W28,6,FALSE)</f>
        <v>#N/A</v>
      </c>
      <c r="H75" s="1231" t="e">
        <f>VLOOKUP($B$75,'DATOS #'!Q26:W28,7,FALSE)</f>
        <v>#N/A</v>
      </c>
      <c r="I75" s="1878"/>
      <c r="J75" s="1878"/>
      <c r="K75" s="1222"/>
    </row>
    <row r="76" spans="1:12" ht="32.1" customHeight="1" x14ac:dyDescent="0.25">
      <c r="A76" s="1195"/>
    </row>
    <row r="77" spans="1:12" ht="125.1" customHeight="1" x14ac:dyDescent="0.25">
      <c r="A77" s="1195"/>
    </row>
    <row r="78" spans="1:12" ht="35.1" customHeight="1" x14ac:dyDescent="0.25">
      <c r="A78" s="1195"/>
    </row>
    <row r="79" spans="1:12" ht="65.099999999999994" customHeight="1" x14ac:dyDescent="0.25">
      <c r="A79" s="1195"/>
      <c r="I79" s="1178" t="s">
        <v>269</v>
      </c>
      <c r="J79" s="1863">
        <f>J3</f>
        <v>0</v>
      </c>
      <c r="K79" s="1863"/>
    </row>
    <row r="80" spans="1:12" ht="24.95" customHeight="1" x14ac:dyDescent="0.25">
      <c r="A80" s="1875" t="s">
        <v>307</v>
      </c>
      <c r="B80" s="1875"/>
      <c r="C80" s="1875"/>
      <c r="D80" s="1875"/>
      <c r="E80" s="1875"/>
      <c r="F80" s="1190"/>
      <c r="G80" s="1190"/>
      <c r="H80" s="1190"/>
      <c r="I80" s="1190"/>
      <c r="J80" s="1232"/>
      <c r="K80" s="1188"/>
    </row>
    <row r="81" spans="1:12" ht="9.9499999999999993" customHeight="1" x14ac:dyDescent="0.25">
      <c r="A81" s="1197"/>
      <c r="B81" s="1190"/>
      <c r="C81" s="1190"/>
      <c r="D81" s="1190"/>
      <c r="E81" s="1190"/>
      <c r="F81" s="1190"/>
      <c r="G81" s="1190"/>
      <c r="H81" s="1190"/>
      <c r="I81" s="1190"/>
      <c r="J81" s="1198"/>
      <c r="K81" s="1188"/>
    </row>
    <row r="82" spans="1:12" ht="17.100000000000001" customHeight="1" x14ac:dyDescent="0.25">
      <c r="A82" s="1879" t="s">
        <v>494</v>
      </c>
      <c r="B82" s="1879"/>
      <c r="C82" s="1879"/>
      <c r="D82" s="1879"/>
      <c r="E82" s="1879"/>
      <c r="F82" s="1879"/>
      <c r="G82" s="1879"/>
      <c r="H82" s="1879"/>
      <c r="I82" s="1879"/>
      <c r="J82" s="1879"/>
      <c r="K82" s="1879"/>
    </row>
    <row r="83" spans="1:12" ht="17.100000000000001" customHeight="1" x14ac:dyDescent="0.25">
      <c r="A83" s="1879"/>
      <c r="B83" s="1879"/>
      <c r="C83" s="1879"/>
      <c r="D83" s="1879"/>
      <c r="E83" s="1879"/>
      <c r="F83" s="1879"/>
      <c r="G83" s="1879"/>
      <c r="H83" s="1879"/>
      <c r="I83" s="1879"/>
      <c r="J83" s="1879"/>
      <c r="K83" s="1879"/>
    </row>
    <row r="84" spans="1:12" ht="15.95" customHeight="1" x14ac:dyDescent="0.25">
      <c r="A84" s="1233"/>
      <c r="B84" s="1233"/>
      <c r="C84" s="1233"/>
      <c r="D84" s="1233"/>
      <c r="E84" s="1233"/>
      <c r="F84" s="1233"/>
      <c r="G84" s="1233"/>
      <c r="H84" s="1233"/>
      <c r="I84" s="1233"/>
      <c r="J84" s="1233"/>
      <c r="K84" s="1222"/>
    </row>
    <row r="85" spans="1:12" s="1234" customFormat="1" ht="24.95" customHeight="1" x14ac:dyDescent="0.3">
      <c r="A85" s="1875" t="s">
        <v>308</v>
      </c>
      <c r="B85" s="1875"/>
      <c r="C85" s="1875"/>
      <c r="D85" s="1875"/>
      <c r="E85" s="1875"/>
      <c r="F85" s="1220"/>
      <c r="G85" s="1220"/>
      <c r="H85" s="1222"/>
      <c r="I85" s="1222"/>
      <c r="J85" s="1221"/>
      <c r="K85" s="1222"/>
    </row>
    <row r="86" spans="1:12" ht="9.9499999999999993" customHeight="1" x14ac:dyDescent="0.25">
      <c r="A86" s="1235"/>
      <c r="B86" s="1235"/>
      <c r="C86" s="1235"/>
      <c r="D86" s="1235"/>
      <c r="E86" s="1235"/>
      <c r="F86" s="1190"/>
      <c r="G86" s="1190"/>
      <c r="H86" s="1188"/>
      <c r="I86" s="1188"/>
      <c r="J86" s="1198"/>
      <c r="K86" s="1188"/>
    </row>
    <row r="87" spans="1:12" ht="42.75" customHeight="1" x14ac:dyDescent="0.25">
      <c r="A87" s="1879" t="s">
        <v>299</v>
      </c>
      <c r="B87" s="1879"/>
      <c r="C87" s="1879"/>
      <c r="D87" s="1879"/>
      <c r="E87" s="1879"/>
      <c r="F87" s="1879"/>
      <c r="G87" s="1879"/>
      <c r="H87" s="1879"/>
      <c r="I87" s="1879"/>
      <c r="J87" s="1879"/>
      <c r="K87" s="1879"/>
    </row>
    <row r="88" spans="1:12" ht="15.95" customHeight="1" thickBot="1" x14ac:dyDescent="0.3">
      <c r="A88" s="1236"/>
      <c r="B88" s="1236"/>
      <c r="C88" s="1236"/>
      <c r="D88" s="1236"/>
      <c r="E88" s="1236"/>
      <c r="F88" s="1236"/>
      <c r="G88" s="1236"/>
      <c r="H88" s="1236"/>
      <c r="I88" s="1236"/>
      <c r="J88" s="1236"/>
    </row>
    <row r="89" spans="1:12" ht="33" customHeight="1" thickBot="1" x14ac:dyDescent="0.3">
      <c r="A89" s="1881" t="s">
        <v>50</v>
      </c>
      <c r="B89" s="1882"/>
      <c r="C89" s="1883"/>
      <c r="D89" s="1237" t="s">
        <v>35</v>
      </c>
      <c r="E89" s="1884" t="s">
        <v>300</v>
      </c>
      <c r="F89" s="1885"/>
      <c r="G89" s="1881" t="s">
        <v>51</v>
      </c>
      <c r="H89" s="1882"/>
      <c r="I89" s="1881" t="s">
        <v>52</v>
      </c>
      <c r="J89" s="1883"/>
      <c r="K89" s="1238"/>
    </row>
    <row r="90" spans="1:12" ht="33" customHeight="1" x14ac:dyDescent="0.25">
      <c r="A90" s="1886" t="s">
        <v>348</v>
      </c>
      <c r="B90" s="1887"/>
      <c r="C90" s="1887"/>
      <c r="D90" s="1338" t="str">
        <f>'DATOS #'!D31</f>
        <v>Serhapin test Measure</v>
      </c>
      <c r="E90" s="1888" t="s">
        <v>365</v>
      </c>
      <c r="F90" s="1889"/>
      <c r="G90" s="1890" t="str">
        <f>'DATOS #'!E31</f>
        <v xml:space="preserve">16-5935702    C-I V-005         </v>
      </c>
      <c r="H90" s="1891"/>
      <c r="I90" s="1890" t="str">
        <f>'DATOS #'!L31</f>
        <v xml:space="preserve">INM 5053 </v>
      </c>
      <c r="J90" s="1892"/>
      <c r="K90" s="1238"/>
    </row>
    <row r="91" spans="1:12" ht="33" customHeight="1" x14ac:dyDescent="0.25">
      <c r="A91" s="1902" t="s">
        <v>287</v>
      </c>
      <c r="B91" s="1903"/>
      <c r="C91" s="1903"/>
      <c r="D91" s="1339" t="str">
        <f>'DATOS #'!D44</f>
        <v xml:space="preserve">Lufft </v>
      </c>
      <c r="E91" s="1904" t="s">
        <v>371</v>
      </c>
      <c r="F91" s="1905"/>
      <c r="G91" s="1906" t="str">
        <f>'DATOS #'!E38</f>
        <v xml:space="preserve">004,0816,1212,006 / pt 347980,002     </v>
      </c>
      <c r="H91" s="1907"/>
      <c r="I91" s="1906" t="str">
        <f>'DATOS #'!L38</f>
        <v>INM 5178</v>
      </c>
      <c r="J91" s="1908"/>
      <c r="K91" s="1238"/>
    </row>
    <row r="92" spans="1:12" ht="33" customHeight="1" x14ac:dyDescent="0.25">
      <c r="A92" s="1902" t="s">
        <v>288</v>
      </c>
      <c r="B92" s="1903"/>
      <c r="C92" s="1903"/>
      <c r="D92" s="1339" t="str">
        <f>'DATOS #'!D38</f>
        <v xml:space="preserve">Lufft </v>
      </c>
      <c r="E92" s="1904" t="s">
        <v>371</v>
      </c>
      <c r="F92" s="1905"/>
      <c r="G92" s="1906" t="str">
        <f>'DATOS #'!E44</f>
        <v xml:space="preserve">22,1014,1212,,005 / pt 347980,004     </v>
      </c>
      <c r="H92" s="1907"/>
      <c r="I92" s="1906" t="str">
        <f>'DATOS #'!L44</f>
        <v>INM 5179</v>
      </c>
      <c r="J92" s="1908"/>
      <c r="K92" s="1238"/>
    </row>
    <row r="93" spans="1:12" ht="33" customHeight="1" thickBot="1" x14ac:dyDescent="0.3">
      <c r="A93" s="1893" t="s">
        <v>28</v>
      </c>
      <c r="B93" s="1894"/>
      <c r="C93" s="1894"/>
      <c r="D93" s="1240" t="e">
        <f>VLOOKUP(K93,'DATOS #'!$C$137:$L$152,2,FALSE)</f>
        <v>#N/A</v>
      </c>
      <c r="E93" s="1895" t="e">
        <f>VLOOKUP(K93,'DATOS #'!$C$137:$M$152,11,FALSE)</f>
        <v>#N/A</v>
      </c>
      <c r="F93" s="1896"/>
      <c r="G93" s="1897" t="e">
        <f>VLOOKUP(K93,'DATOS #'!$C$137:$L$152,3,FALSE)</f>
        <v>#N/A</v>
      </c>
      <c r="H93" s="1898"/>
      <c r="I93" s="1899" t="e">
        <f>VLOOKUP(K93,'DATOS #'!$C$137:$L$152,10,FALSE)</f>
        <v>#N/A</v>
      </c>
      <c r="J93" s="1900"/>
      <c r="K93" s="1241"/>
    </row>
    <row r="94" spans="1:12" ht="24.95" customHeight="1" x14ac:dyDescent="0.25">
      <c r="B94" s="1185"/>
      <c r="C94" s="1185"/>
      <c r="D94" s="1242"/>
      <c r="E94" s="1242"/>
      <c r="F94" s="1186"/>
      <c r="G94" s="1242"/>
      <c r="H94" s="1242"/>
      <c r="I94" s="1242"/>
      <c r="J94" s="1242"/>
      <c r="K94" s="1243"/>
      <c r="L94" s="1243"/>
    </row>
    <row r="95" spans="1:12" s="1234" customFormat="1" ht="24.95" customHeight="1" x14ac:dyDescent="0.3">
      <c r="A95" s="1875" t="s">
        <v>309</v>
      </c>
      <c r="B95" s="1875"/>
      <c r="C95" s="1875"/>
      <c r="D95" s="1875"/>
      <c r="E95" s="1875"/>
      <c r="F95" s="1875"/>
      <c r="G95" s="1875"/>
      <c r="H95" s="1875"/>
      <c r="I95" s="1875"/>
      <c r="J95" s="1875"/>
      <c r="K95" s="1875"/>
      <c r="L95" s="1244"/>
    </row>
    <row r="96" spans="1:12" s="1234" customFormat="1" ht="12" customHeight="1" x14ac:dyDescent="0.3">
      <c r="A96" s="1245"/>
      <c r="B96" s="1245"/>
      <c r="C96" s="1245"/>
      <c r="D96" s="1245"/>
      <c r="E96" s="1245"/>
      <c r="F96" s="1207"/>
      <c r="G96" s="1207"/>
      <c r="H96" s="1207"/>
      <c r="I96" s="1207"/>
      <c r="J96" s="1246"/>
      <c r="K96" s="1244"/>
      <c r="L96" s="1244"/>
    </row>
    <row r="97" spans="1:12" ht="15" hidden="1" customHeight="1" thickBot="1" x14ac:dyDescent="0.3">
      <c r="A97" s="1901" t="s">
        <v>272</v>
      </c>
      <c r="B97" s="1901"/>
      <c r="C97" s="1901"/>
      <c r="D97" s="1901"/>
      <c r="E97" s="1901"/>
      <c r="F97" s="1901"/>
      <c r="G97" s="1901"/>
      <c r="H97" s="1901"/>
      <c r="I97" s="1901"/>
      <c r="J97" s="1246"/>
      <c r="K97" s="1243"/>
      <c r="L97" s="1243"/>
    </row>
    <row r="98" spans="1:12" ht="30" hidden="1" customHeight="1" thickBot="1" x14ac:dyDescent="0.3">
      <c r="A98" s="1884" t="s">
        <v>29</v>
      </c>
      <c r="B98" s="1885"/>
      <c r="C98" s="1884" t="s">
        <v>30</v>
      </c>
      <c r="D98" s="1924"/>
      <c r="E98" s="1885"/>
      <c r="F98" s="1909" t="s">
        <v>592</v>
      </c>
      <c r="G98" s="1925"/>
      <c r="H98" s="1247" t="s">
        <v>349</v>
      </c>
      <c r="I98" s="1248"/>
      <c r="J98" s="1249" t="s">
        <v>375</v>
      </c>
      <c r="K98" s="1250" t="s">
        <v>512</v>
      </c>
    </row>
    <row r="99" spans="1:12" s="1243" customFormat="1" ht="24" hidden="1" customHeight="1" thickBot="1" x14ac:dyDescent="0.3">
      <c r="A99" s="1911">
        <f>G60</f>
        <v>0</v>
      </c>
      <c r="B99" s="1912"/>
      <c r="C99" s="1917">
        <f>'RT03-F11 #'!M30</f>
        <v>18927.055</v>
      </c>
      <c r="D99" s="1917"/>
      <c r="E99" s="1251" t="s">
        <v>4</v>
      </c>
      <c r="F99" s="1252" t="e">
        <f>('RT03-F11 #'!C122)</f>
        <v>#N/A</v>
      </c>
      <c r="G99" s="1253" t="s">
        <v>4</v>
      </c>
      <c r="H99" s="1254" t="e">
        <f>IF('RT03-F11 #'!F122&lt;=('CMC #'!P12),'CMC #'!P12,'RT03-F11 #'!F122)</f>
        <v>#N/A</v>
      </c>
      <c r="I99" s="1253" t="s">
        <v>4</v>
      </c>
      <c r="J99" s="1255" t="e">
        <f>'RT03-F11 #'!I122</f>
        <v>#N/A</v>
      </c>
      <c r="K99" s="1926" t="e">
        <f>IF(AND('Pc #'!H5&gt;=97.5%,'Pc #'!I5&lt;=2.5%),"SI","NO")</f>
        <v>#N/A</v>
      </c>
    </row>
    <row r="100" spans="1:12" s="1243" customFormat="1" ht="24" hidden="1" customHeight="1" thickBot="1" x14ac:dyDescent="0.3">
      <c r="A100" s="1913"/>
      <c r="B100" s="1914"/>
      <c r="C100" s="1921">
        <f>'RT03-F11 #'!M28</f>
        <v>1155.0000427166315</v>
      </c>
      <c r="D100" s="1921"/>
      <c r="E100" s="1256" t="s">
        <v>652</v>
      </c>
      <c r="F100" s="1257" t="e">
        <f>'RT03-F11 #'!C123</f>
        <v>#N/A</v>
      </c>
      <c r="G100" s="1258" t="s">
        <v>652</v>
      </c>
      <c r="H100" s="1259" t="e">
        <f>IF('RT03-F11 #'!F123&lt;=('CMC #'!Q12),'CMC #'!Q12,'RT03-F11 #'!F123)</f>
        <v>#N/A</v>
      </c>
      <c r="I100" s="1258" t="s">
        <v>652</v>
      </c>
      <c r="J100" s="1260" t="e">
        <f>'RT03-F11 #'!I123</f>
        <v>#N/A</v>
      </c>
      <c r="K100" s="1927"/>
    </row>
    <row r="101" spans="1:12" s="1243" customFormat="1" ht="24" hidden="1" customHeight="1" thickBot="1" x14ac:dyDescent="0.3">
      <c r="A101" s="1913"/>
      <c r="B101" s="1914"/>
      <c r="C101" s="1929">
        <f>'RT03-F11 #'!M27</f>
        <v>5</v>
      </c>
      <c r="D101" s="1930"/>
      <c r="E101" s="1256" t="s">
        <v>9</v>
      </c>
      <c r="F101" s="1261" t="e">
        <f>'RT03-F11 #'!C124</f>
        <v>#N/A</v>
      </c>
      <c r="G101" s="1258" t="s">
        <v>9</v>
      </c>
      <c r="H101" s="1262" t="e">
        <f>IF('RT03-F11 #'!F124&lt;=('CMC #'!R12),'CMC #'!R12,'RT03-F11 #'!F124)</f>
        <v>#N/A</v>
      </c>
      <c r="I101" s="1258" t="s">
        <v>9</v>
      </c>
      <c r="J101" s="1261" t="e">
        <f>'RT03-F11 #'!I124</f>
        <v>#N/A</v>
      </c>
      <c r="K101" s="1927"/>
    </row>
    <row r="102" spans="1:12" ht="24" hidden="1" customHeight="1" thickBot="1" x14ac:dyDescent="0.3">
      <c r="A102" s="1915"/>
      <c r="B102" s="1916"/>
      <c r="C102" s="1922">
        <v>100</v>
      </c>
      <c r="D102" s="1923"/>
      <c r="E102" s="1256" t="s">
        <v>246</v>
      </c>
      <c r="F102" s="1263" t="e">
        <f>'RT03-F11 #'!C125</f>
        <v>#N/A</v>
      </c>
      <c r="G102" s="1256" t="s">
        <v>246</v>
      </c>
      <c r="H102" s="1264" t="e">
        <f>IF('RT03-F11 #'!F125&lt;=('CMC #'!S12),'CMC #'!S12,'RT03-F11 #'!F125)</f>
        <v>#N/A</v>
      </c>
      <c r="I102" s="1258" t="s">
        <v>246</v>
      </c>
      <c r="J102" s="1263" t="e">
        <f>'RT03-F11 #'!I125</f>
        <v>#N/A</v>
      </c>
      <c r="K102" s="1928"/>
    </row>
    <row r="103" spans="1:12" ht="20.100000000000001" hidden="1" customHeight="1" x14ac:dyDescent="0.25">
      <c r="A103" s="1265"/>
      <c r="B103" s="1266"/>
      <c r="C103" s="1267"/>
      <c r="D103" s="1267"/>
      <c r="E103" s="1268"/>
      <c r="F103" s="1269"/>
      <c r="G103" s="1268"/>
      <c r="H103" s="1270"/>
      <c r="I103" s="1270"/>
      <c r="J103" s="1270"/>
      <c r="K103" s="1270"/>
      <c r="L103" s="1270"/>
    </row>
    <row r="104" spans="1:12" ht="15" hidden="1" customHeight="1" thickBot="1" x14ac:dyDescent="0.3">
      <c r="A104" s="1271" t="s">
        <v>285</v>
      </c>
      <c r="B104" s="1271"/>
      <c r="C104" s="1271"/>
      <c r="D104" s="1271"/>
      <c r="E104" s="1271"/>
      <c r="F104" s="1271"/>
      <c r="G104" s="1271"/>
      <c r="H104" s="1271"/>
      <c r="I104" s="1271"/>
      <c r="J104" s="1271"/>
      <c r="K104" s="1271"/>
      <c r="L104" s="1271"/>
    </row>
    <row r="105" spans="1:12" s="1238" customFormat="1" ht="30" hidden="1" customHeight="1" thickBot="1" x14ac:dyDescent="0.25">
      <c r="A105" s="1272" t="s">
        <v>29</v>
      </c>
      <c r="B105" s="1273"/>
      <c r="C105" s="1272" t="s">
        <v>30</v>
      </c>
      <c r="D105" s="1273"/>
      <c r="E105" s="1272"/>
      <c r="F105" s="1909" t="s">
        <v>592</v>
      </c>
      <c r="G105" s="1910"/>
      <c r="H105" s="1272" t="s">
        <v>373</v>
      </c>
      <c r="I105" s="1248"/>
      <c r="J105" s="1249" t="s">
        <v>376</v>
      </c>
      <c r="K105" s="1250" t="s">
        <v>512</v>
      </c>
    </row>
    <row r="106" spans="1:12" ht="24" hidden="1" customHeight="1" thickBot="1" x14ac:dyDescent="0.3">
      <c r="A106" s="1911">
        <f>G60</f>
        <v>0</v>
      </c>
      <c r="B106" s="1912"/>
      <c r="C106" s="1917">
        <f>C99</f>
        <v>18927.055</v>
      </c>
      <c r="D106" s="1917"/>
      <c r="E106" s="1256" t="s">
        <v>4</v>
      </c>
      <c r="F106" s="1252" t="e">
        <f>'DESPUES DE AJUSTE # '!C122</f>
        <v>#N/A</v>
      </c>
      <c r="G106" s="1274" t="s">
        <v>4</v>
      </c>
      <c r="H106" s="1254" t="e">
        <f>IF('DESPUES DE AJUSTE # '!F122&lt;=('CMC #'!P19),'CMC #'!P12,'DESPUES DE AJUSTE # '!F122)</f>
        <v>#N/A</v>
      </c>
      <c r="I106" s="1256" t="s">
        <v>4</v>
      </c>
      <c r="J106" s="1255" t="e">
        <f>'DESPUES DE AJUSTE # '!I122</f>
        <v>#N/A</v>
      </c>
      <c r="K106" s="1918" t="e">
        <f>IF(AND('Pc #'!H11&gt;=97.5%,'Pc #'!I11&lt;=2.5%),"SI","NO")</f>
        <v>#N/A</v>
      </c>
    </row>
    <row r="107" spans="1:12" ht="24" hidden="1" customHeight="1" thickBot="1" x14ac:dyDescent="0.3">
      <c r="A107" s="1913"/>
      <c r="B107" s="1914"/>
      <c r="C107" s="1921">
        <f>C100</f>
        <v>1155.0000427166315</v>
      </c>
      <c r="D107" s="1921"/>
      <c r="E107" s="1256" t="s">
        <v>652</v>
      </c>
      <c r="F107" s="1257" t="e">
        <f>'DESPUES DE AJUSTE # '!C123</f>
        <v>#N/A</v>
      </c>
      <c r="G107" s="1274" t="s">
        <v>609</v>
      </c>
      <c r="H107" s="1259" t="e">
        <f>IF('DESPUES DE AJUSTE # '!F123&lt;=('CMC #'!P20),'CMC #'!Q12,'DESPUES DE AJUSTE # '!F123)</f>
        <v>#N/A</v>
      </c>
      <c r="I107" s="1256" t="s">
        <v>609</v>
      </c>
      <c r="J107" s="1255" t="e">
        <f>'DESPUES DE AJUSTE # '!I123</f>
        <v>#N/A</v>
      </c>
      <c r="K107" s="1919"/>
    </row>
    <row r="108" spans="1:12" ht="24" hidden="1" customHeight="1" thickBot="1" x14ac:dyDescent="0.3">
      <c r="A108" s="1913"/>
      <c r="B108" s="1914"/>
      <c r="C108" s="1931">
        <f>C101</f>
        <v>5</v>
      </c>
      <c r="D108" s="1929"/>
      <c r="E108" s="1256" t="s">
        <v>9</v>
      </c>
      <c r="F108" s="1261" t="e">
        <f>'DESPUES DE AJUSTE # '!C124</f>
        <v>#N/A</v>
      </c>
      <c r="G108" s="1274" t="s">
        <v>9</v>
      </c>
      <c r="H108" s="1262" t="e">
        <f>IF('DESPUES DE AJUSTE # '!F124&lt;=('CMC #'!P21),'CMC #'!R12,'DESPUES DE AJUSTE # '!F124)</f>
        <v>#N/A</v>
      </c>
      <c r="I108" s="1256" t="s">
        <v>9</v>
      </c>
      <c r="J108" s="1261" t="e">
        <f>'DESPUES DE AJUSTE # '!I124</f>
        <v>#N/A</v>
      </c>
      <c r="K108" s="1919"/>
    </row>
    <row r="109" spans="1:12" ht="24" hidden="1" customHeight="1" thickBot="1" x14ac:dyDescent="0.3">
      <c r="A109" s="1915"/>
      <c r="B109" s="1916"/>
      <c r="C109" s="1922">
        <f>C102</f>
        <v>100</v>
      </c>
      <c r="D109" s="1923"/>
      <c r="E109" s="1256" t="s">
        <v>246</v>
      </c>
      <c r="F109" s="1263" t="e">
        <f>'DESPUES DE AJUSTE # '!C125</f>
        <v>#N/A</v>
      </c>
      <c r="G109" s="1256" t="s">
        <v>246</v>
      </c>
      <c r="H109" s="1264" t="e">
        <f>IF('DESPUES DE AJUSTE # '!F125&lt;=('CMC #'!P22),'CMC #'!S12,'DESPUES DE AJUSTE # '!F125)</f>
        <v>#N/A</v>
      </c>
      <c r="I109" s="1256" t="s">
        <v>246</v>
      </c>
      <c r="J109" s="1263" t="e">
        <f>'DESPUES DE AJUSTE # '!I125</f>
        <v>#N/A</v>
      </c>
      <c r="K109" s="1920"/>
    </row>
    <row r="110" spans="1:12" ht="11.25" hidden="1" customHeight="1" x14ac:dyDescent="0.25"/>
    <row r="111" spans="1:12" ht="30.75" customHeight="1" x14ac:dyDescent="0.25">
      <c r="A111" s="1934" t="s">
        <v>526</v>
      </c>
      <c r="B111" s="1934"/>
      <c r="C111" s="1934"/>
      <c r="D111" s="1934"/>
      <c r="E111" s="1934"/>
      <c r="F111" s="1934"/>
      <c r="G111" s="1934"/>
      <c r="H111" s="1934"/>
      <c r="I111" s="1934"/>
      <c r="J111" s="1934"/>
      <c r="K111" s="1934"/>
    </row>
    <row r="112" spans="1:12" ht="8.25" customHeight="1" thickBot="1" x14ac:dyDescent="0.3">
      <c r="A112" s="1275"/>
      <c r="B112" s="1275"/>
      <c r="C112" s="1275"/>
      <c r="D112" s="1275"/>
      <c r="E112" s="1275"/>
      <c r="F112" s="1275"/>
      <c r="G112" s="1275"/>
      <c r="H112" s="1275"/>
      <c r="I112" s="1275"/>
      <c r="J112" s="1275"/>
      <c r="K112" s="1275"/>
    </row>
    <row r="113" spans="1:11" ht="24.95" customHeight="1" thickBot="1" x14ac:dyDescent="0.3">
      <c r="A113" s="1275"/>
      <c r="B113" s="1275"/>
      <c r="C113" s="1275"/>
      <c r="D113" s="1340"/>
      <c r="E113" s="1341" t="s">
        <v>374</v>
      </c>
      <c r="F113" s="1342">
        <f>(C99*0.05%)</f>
        <v>9.4635274999999996</v>
      </c>
      <c r="G113" s="1341" t="s">
        <v>4</v>
      </c>
      <c r="H113" s="1343"/>
      <c r="I113" s="1276"/>
      <c r="J113" s="1275"/>
      <c r="K113" s="1275"/>
    </row>
    <row r="114" spans="1:11" ht="24.95" customHeight="1" x14ac:dyDescent="0.25">
      <c r="A114" s="1275"/>
      <c r="B114" s="1275"/>
      <c r="C114" s="1275"/>
      <c r="D114" s="1343"/>
      <c r="E114" s="1343"/>
      <c r="F114" s="1343"/>
      <c r="G114" s="1343"/>
      <c r="H114" s="1343"/>
      <c r="I114" s="1277"/>
      <c r="J114" s="1275"/>
      <c r="K114" s="1275"/>
    </row>
    <row r="115" spans="1:11" ht="15.95" customHeight="1" x14ac:dyDescent="0.25">
      <c r="A115" s="1275"/>
      <c r="B115" s="1275"/>
      <c r="C115" s="1275"/>
      <c r="D115" s="1343"/>
      <c r="E115" s="1343"/>
      <c r="F115" s="1343"/>
      <c r="G115" s="1343"/>
      <c r="H115" s="1343"/>
      <c r="I115" s="1276"/>
      <c r="J115" s="1275"/>
      <c r="K115" s="1275"/>
    </row>
    <row r="116" spans="1:11" ht="125.1" customHeight="1" x14ac:dyDescent="0.25">
      <c r="A116" s="1275"/>
      <c r="B116" s="1275"/>
      <c r="C116" s="1275"/>
      <c r="D116" s="1275"/>
      <c r="E116" s="1275"/>
      <c r="F116" s="1275"/>
      <c r="G116" s="1275"/>
      <c r="H116" s="1275"/>
      <c r="I116" s="1276"/>
      <c r="J116" s="1275"/>
      <c r="K116" s="1275"/>
    </row>
    <row r="117" spans="1:11" ht="35.1" customHeight="1" x14ac:dyDescent="0.25">
      <c r="A117" s="1275"/>
      <c r="B117" s="1275"/>
      <c r="C117" s="1275"/>
      <c r="D117" s="1275"/>
      <c r="E117" s="1275"/>
      <c r="F117" s="1275"/>
      <c r="G117" s="1275"/>
      <c r="H117" s="1275"/>
      <c r="I117" s="1276"/>
      <c r="J117" s="1275"/>
      <c r="K117" s="1275"/>
    </row>
    <row r="118" spans="1:11" ht="65.099999999999994" customHeight="1" thickBot="1" x14ac:dyDescent="0.3">
      <c r="A118" s="1275"/>
      <c r="B118" s="1275"/>
      <c r="C118" s="1275"/>
      <c r="D118" s="1275"/>
      <c r="E118" s="1275"/>
      <c r="F118" s="1275"/>
      <c r="G118" s="1275"/>
      <c r="H118" s="1275"/>
      <c r="I118" s="1278" t="s">
        <v>269</v>
      </c>
      <c r="J118" s="1935">
        <f>J3</f>
        <v>0</v>
      </c>
      <c r="K118" s="1936"/>
    </row>
    <row r="119" spans="1:11" ht="18" customHeight="1" thickBot="1" x14ac:dyDescent="0.3">
      <c r="A119" s="1937" t="s">
        <v>310</v>
      </c>
      <c r="B119" s="1937"/>
      <c r="C119" s="1937"/>
      <c r="D119" s="1937"/>
      <c r="E119" s="1937"/>
      <c r="F119" s="1279"/>
      <c r="G119" s="1188"/>
      <c r="H119" s="1280"/>
    </row>
    <row r="120" spans="1:11" ht="7.5" customHeight="1" thickBot="1" x14ac:dyDescent="0.3">
      <c r="A120" s="681"/>
      <c r="B120" s="681"/>
      <c r="C120" s="681"/>
      <c r="D120" s="681"/>
      <c r="E120" s="681"/>
      <c r="F120" s="1188"/>
      <c r="G120" s="1188"/>
      <c r="H120" s="1188"/>
      <c r="I120" s="1281"/>
      <c r="J120" s="1242"/>
    </row>
    <row r="121" spans="1:11" ht="15" customHeight="1" thickBot="1" x14ac:dyDescent="0.3">
      <c r="A121" s="1938" t="s">
        <v>209</v>
      </c>
      <c r="B121" s="1938"/>
      <c r="C121" s="1938"/>
      <c r="D121" s="1938"/>
      <c r="E121" s="1938"/>
      <c r="F121" s="1282"/>
      <c r="G121" s="1283"/>
      <c r="H121" s="1306"/>
      <c r="I121" s="1283"/>
      <c r="J121" s="1195"/>
    </row>
    <row r="122" spans="1:11" ht="6" customHeight="1" x14ac:dyDescent="0.25">
      <c r="A122" s="1285"/>
      <c r="B122" s="1285"/>
      <c r="C122" s="1285"/>
      <c r="D122" s="1285"/>
      <c r="E122" s="1285"/>
      <c r="F122" s="1285"/>
      <c r="G122" s="1285"/>
      <c r="H122" s="1188"/>
      <c r="I122" s="1188"/>
    </row>
    <row r="123" spans="1:11" ht="16.5" customHeight="1" x14ac:dyDescent="0.25">
      <c r="A123" s="1855" t="s">
        <v>366</v>
      </c>
      <c r="B123" s="1855"/>
      <c r="C123" s="1855"/>
      <c r="D123" s="1855"/>
      <c r="E123" s="1855"/>
      <c r="F123" s="1855"/>
      <c r="G123" s="1855"/>
      <c r="H123" s="1855"/>
      <c r="I123" s="1855"/>
      <c r="J123" s="1186"/>
    </row>
    <row r="124" spans="1:11" ht="20.100000000000001" customHeight="1" thickBot="1" x14ac:dyDescent="0.3">
      <c r="A124" s="1190"/>
      <c r="B124" s="1190"/>
      <c r="C124" s="1190"/>
      <c r="D124" s="1190"/>
      <c r="E124" s="1344"/>
      <c r="F124" s="1939" t="s">
        <v>7</v>
      </c>
      <c r="G124" s="1939"/>
      <c r="H124" s="1188"/>
      <c r="I124" s="1188"/>
      <c r="J124" s="1188"/>
      <c r="K124" s="1188"/>
    </row>
    <row r="125" spans="1:11" ht="16.5" customHeight="1" x14ac:dyDescent="0.25">
      <c r="A125" s="680"/>
      <c r="C125" s="1286" t="e">
        <f>'VERIFICACIÓN DE LA ESCALA #'!C52</f>
        <v>#N/A</v>
      </c>
      <c r="D125" s="1287" t="s">
        <v>4</v>
      </c>
      <c r="E125" s="1932" t="s">
        <v>286</v>
      </c>
      <c r="F125" s="1345" t="e">
        <f>'VERIFICACIÓN DE LA ESCALA #'!F52</f>
        <v>#N/A</v>
      </c>
      <c r="G125" s="1346" t="s">
        <v>4</v>
      </c>
      <c r="I125" s="1188"/>
      <c r="J125" s="1188"/>
      <c r="K125" s="1188"/>
    </row>
    <row r="126" spans="1:11" ht="17.25" customHeight="1" x14ac:dyDescent="0.25">
      <c r="A126" s="1190"/>
      <c r="C126" s="1288" t="e">
        <f>'VERIFICACIÓN DE LA ESCALA #'!C53</f>
        <v>#N/A</v>
      </c>
      <c r="D126" s="1289" t="s">
        <v>521</v>
      </c>
      <c r="E126" s="1932"/>
      <c r="F126" s="1347" t="e">
        <f>'VERIFICACIÓN DE LA ESCALA #'!F53</f>
        <v>#N/A</v>
      </c>
      <c r="G126" s="1346" t="s">
        <v>664</v>
      </c>
      <c r="I126" s="1188"/>
      <c r="J126" s="1188"/>
      <c r="K126" s="1188"/>
    </row>
    <row r="127" spans="1:11" ht="15" customHeight="1" thickBot="1" x14ac:dyDescent="0.3">
      <c r="A127" s="1190"/>
      <c r="C127" s="1290" t="e">
        <f>'VERIFICACIÓN DE LA ESCALA #'!C54</f>
        <v>#N/A</v>
      </c>
      <c r="D127" s="1291" t="s">
        <v>246</v>
      </c>
      <c r="E127" s="1932"/>
      <c r="F127" s="1348" t="e">
        <f>'VERIFICACIÓN DE LA ESCALA #'!F54</f>
        <v>#N/A</v>
      </c>
      <c r="G127" s="1346" t="s">
        <v>246</v>
      </c>
      <c r="I127" s="1188"/>
      <c r="J127" s="1188"/>
      <c r="K127" s="1188"/>
    </row>
    <row r="128" spans="1:11" ht="24.95" customHeight="1" x14ac:dyDescent="0.25">
      <c r="A128" s="1190"/>
      <c r="B128" s="1188"/>
      <c r="C128" s="1188"/>
      <c r="D128" s="1188"/>
      <c r="E128" s="1292"/>
      <c r="F128" s="1292"/>
      <c r="G128" s="1292"/>
      <c r="H128" s="1177"/>
      <c r="I128" s="1293"/>
      <c r="J128" s="1293"/>
      <c r="K128" s="1293"/>
    </row>
    <row r="129" spans="1:12" ht="12" customHeight="1" x14ac:dyDescent="0.25">
      <c r="A129" s="1933" t="s">
        <v>311</v>
      </c>
      <c r="B129" s="1933"/>
      <c r="C129" s="1933"/>
      <c r="D129" s="1933"/>
      <c r="E129" s="1933"/>
      <c r="F129" s="1933"/>
      <c r="G129" s="1189"/>
      <c r="H129" s="1188"/>
      <c r="I129" s="1188"/>
      <c r="J129" s="1188"/>
      <c r="K129" s="1188"/>
    </row>
    <row r="130" spans="1:12" ht="12" customHeight="1" x14ac:dyDescent="0.25">
      <c r="A130" s="1294"/>
      <c r="B130" s="1294"/>
      <c r="C130" s="1294"/>
      <c r="D130" s="1294"/>
      <c r="E130" s="1294"/>
      <c r="F130" s="1294"/>
      <c r="G130" s="1189"/>
      <c r="H130" s="1188"/>
      <c r="I130" s="1188"/>
      <c r="J130" s="1188"/>
      <c r="K130" s="1188"/>
    </row>
    <row r="131" spans="1:12" ht="33" customHeight="1" x14ac:dyDescent="0.25">
      <c r="A131" s="1320" t="s">
        <v>450</v>
      </c>
      <c r="B131" s="1852" t="s">
        <v>451</v>
      </c>
      <c r="C131" s="1852"/>
      <c r="D131" s="1852"/>
      <c r="E131" s="1852"/>
      <c r="F131" s="1852"/>
      <c r="G131" s="1852"/>
      <c r="H131" s="1852"/>
      <c r="I131" s="1852"/>
      <c r="J131" s="1852"/>
      <c r="K131" s="1852"/>
    </row>
    <row r="132" spans="1:12" ht="23.1" customHeight="1" x14ac:dyDescent="0.25">
      <c r="A132" s="1320" t="s">
        <v>450</v>
      </c>
      <c r="B132" s="1852" t="s">
        <v>452</v>
      </c>
      <c r="C132" s="1852"/>
      <c r="D132" s="1852"/>
      <c r="E132" s="1852"/>
      <c r="F132" s="1852"/>
      <c r="G132" s="1852"/>
      <c r="H132" s="1852"/>
      <c r="I132" s="1852"/>
      <c r="J132" s="1852"/>
      <c r="K132" s="1852"/>
    </row>
    <row r="133" spans="1:12" ht="33" customHeight="1" x14ac:dyDescent="0.25">
      <c r="A133" s="1320" t="s">
        <v>450</v>
      </c>
      <c r="B133" s="1852" t="s">
        <v>453</v>
      </c>
      <c r="C133" s="1852"/>
      <c r="D133" s="1852"/>
      <c r="E133" s="1852"/>
      <c r="F133" s="1852"/>
      <c r="G133" s="1852"/>
      <c r="H133" s="1852"/>
      <c r="I133" s="1852"/>
      <c r="J133" s="1852"/>
      <c r="K133" s="1852"/>
    </row>
    <row r="134" spans="1:12" s="1295" customFormat="1" ht="23.1" customHeight="1" x14ac:dyDescent="0.25">
      <c r="A134" s="1320" t="s">
        <v>450</v>
      </c>
      <c r="B134" s="1852" t="s">
        <v>454</v>
      </c>
      <c r="C134" s="1852"/>
      <c r="D134" s="1852"/>
      <c r="E134" s="1852"/>
      <c r="F134" s="1852"/>
      <c r="G134" s="1852"/>
      <c r="H134" s="1852"/>
      <c r="I134" s="1852"/>
      <c r="J134" s="1852"/>
      <c r="K134" s="1852"/>
    </row>
    <row r="135" spans="1:12" s="1295" customFormat="1" ht="23.1" customHeight="1" x14ac:dyDescent="0.25">
      <c r="A135" s="1320" t="s">
        <v>450</v>
      </c>
      <c r="B135" s="1852" t="s">
        <v>610</v>
      </c>
      <c r="C135" s="1852"/>
      <c r="D135" s="1852"/>
      <c r="E135" s="1852"/>
      <c r="F135" s="1852"/>
      <c r="G135" s="1852"/>
      <c r="H135" s="1852"/>
      <c r="I135" s="1852"/>
      <c r="J135" s="1852"/>
      <c r="K135" s="1852"/>
    </row>
    <row r="136" spans="1:12" s="1295" customFormat="1" ht="23.1" customHeight="1" x14ac:dyDescent="0.25">
      <c r="A136" s="1320" t="s">
        <v>450</v>
      </c>
      <c r="B136" s="1852" t="s">
        <v>455</v>
      </c>
      <c r="C136" s="1852"/>
      <c r="D136" s="1852"/>
      <c r="E136" s="1852"/>
      <c r="F136" s="1852"/>
      <c r="G136" s="1852"/>
      <c r="H136" s="1852"/>
      <c r="I136" s="1852"/>
      <c r="J136" s="1852"/>
      <c r="K136" s="1852"/>
    </row>
    <row r="137" spans="1:12" ht="23.1" customHeight="1" x14ac:dyDescent="0.25">
      <c r="A137" s="1320" t="s">
        <v>450</v>
      </c>
      <c r="B137" s="1852" t="s">
        <v>651</v>
      </c>
      <c r="C137" s="1852"/>
      <c r="D137" s="1852"/>
      <c r="E137" s="1852"/>
      <c r="F137" s="1852"/>
      <c r="G137" s="1852"/>
      <c r="H137" s="1852"/>
      <c r="I137" s="1852"/>
      <c r="J137" s="1852"/>
      <c r="K137" s="1852"/>
    </row>
    <row r="138" spans="1:12" s="1295" customFormat="1" ht="23.1" customHeight="1" x14ac:dyDescent="0.25">
      <c r="A138" s="1320" t="s">
        <v>450</v>
      </c>
      <c r="B138" s="1852" t="s">
        <v>456</v>
      </c>
      <c r="C138" s="1852"/>
      <c r="D138" s="1852"/>
      <c r="E138" s="1852"/>
      <c r="F138" s="1852"/>
      <c r="G138" s="1852"/>
      <c r="H138" s="1852"/>
      <c r="I138" s="1852"/>
      <c r="J138" s="1852"/>
      <c r="K138" s="1852"/>
      <c r="L138" s="1296"/>
    </row>
    <row r="139" spans="1:12" s="1295" customFormat="1" ht="23.1" customHeight="1" x14ac:dyDescent="0.25">
      <c r="A139" s="1320" t="s">
        <v>457</v>
      </c>
      <c r="B139" s="1940" t="s">
        <v>458</v>
      </c>
      <c r="C139" s="1940"/>
      <c r="D139" s="1940"/>
      <c r="E139" s="1940"/>
      <c r="F139" s="1940"/>
      <c r="G139" s="1940"/>
      <c r="H139" s="1940"/>
      <c r="I139" s="1940"/>
      <c r="J139" s="1940"/>
      <c r="K139" s="1940"/>
      <c r="L139" s="1296"/>
    </row>
    <row r="140" spans="1:12" ht="23.1" customHeight="1" x14ac:dyDescent="0.25">
      <c r="A140" s="1320" t="s">
        <v>457</v>
      </c>
      <c r="B140" s="1852" t="s">
        <v>501</v>
      </c>
      <c r="C140" s="1852"/>
      <c r="D140" s="1852"/>
      <c r="E140" s="1852"/>
      <c r="F140" s="1852"/>
      <c r="G140" s="1852"/>
      <c r="H140" s="1852"/>
      <c r="I140" s="1852"/>
      <c r="J140" s="1852"/>
      <c r="K140" s="1852"/>
      <c r="L140" s="1297"/>
    </row>
    <row r="141" spans="1:12" ht="23.1" customHeight="1" x14ac:dyDescent="0.25">
      <c r="A141" s="1321" t="s">
        <v>450</v>
      </c>
      <c r="B141" s="1852" t="s">
        <v>459</v>
      </c>
      <c r="C141" s="1852"/>
      <c r="D141" s="1852"/>
      <c r="E141" s="1852"/>
      <c r="F141" s="1852"/>
      <c r="G141" s="1852"/>
      <c r="H141" s="1852"/>
      <c r="I141" s="1852"/>
      <c r="J141" s="1852"/>
      <c r="K141" s="1852"/>
      <c r="L141" s="1299"/>
    </row>
    <row r="142" spans="1:12" ht="33" customHeight="1" x14ac:dyDescent="0.25">
      <c r="A142" s="1320" t="s">
        <v>450</v>
      </c>
      <c r="B142" s="1852" t="s">
        <v>460</v>
      </c>
      <c r="C142" s="1852"/>
      <c r="D142" s="1852"/>
      <c r="E142" s="1852"/>
      <c r="F142" s="1852"/>
      <c r="G142" s="1852"/>
      <c r="H142" s="1852"/>
      <c r="I142" s="1852"/>
      <c r="J142" s="1852"/>
      <c r="K142" s="1852"/>
    </row>
    <row r="143" spans="1:12" ht="23.1" customHeight="1" x14ac:dyDescent="0.25">
      <c r="A143" s="1320" t="s">
        <v>450</v>
      </c>
      <c r="B143" s="1852" t="s">
        <v>461</v>
      </c>
      <c r="C143" s="1852"/>
      <c r="D143" s="1852"/>
      <c r="E143" s="1852"/>
      <c r="F143" s="1852"/>
      <c r="G143" s="1852"/>
      <c r="H143" s="1852"/>
      <c r="I143" s="1852"/>
      <c r="J143" s="1852"/>
      <c r="K143" s="1852"/>
    </row>
    <row r="144" spans="1:12" ht="23.1" customHeight="1" x14ac:dyDescent="0.25">
      <c r="A144" s="1320" t="s">
        <v>450</v>
      </c>
      <c r="B144" s="1852" t="s">
        <v>462</v>
      </c>
      <c r="C144" s="1852"/>
      <c r="D144" s="1852"/>
      <c r="E144" s="1852"/>
      <c r="F144" s="1852"/>
      <c r="G144" s="1852"/>
      <c r="H144" s="1852"/>
      <c r="I144" s="1852"/>
      <c r="J144" s="1852"/>
      <c r="K144" s="1852"/>
    </row>
    <row r="145" spans="1:11" ht="23.1" customHeight="1" x14ac:dyDescent="0.25">
      <c r="A145" s="1320" t="s">
        <v>450</v>
      </c>
      <c r="B145" s="1852" t="s">
        <v>500</v>
      </c>
      <c r="C145" s="1852"/>
      <c r="D145" s="1852"/>
      <c r="E145" s="1852"/>
      <c r="F145" s="1852"/>
      <c r="G145" s="1852"/>
      <c r="H145" s="1852"/>
      <c r="I145" s="1852"/>
      <c r="J145" s="1852"/>
      <c r="K145" s="1852"/>
    </row>
    <row r="146" spans="1:11" ht="23.1" customHeight="1" x14ac:dyDescent="0.25">
      <c r="A146" s="1320" t="s">
        <v>450</v>
      </c>
      <c r="B146" s="1852" t="s">
        <v>463</v>
      </c>
      <c r="C146" s="1852"/>
      <c r="D146" s="1852"/>
      <c r="E146" s="1852"/>
      <c r="F146" s="1852"/>
      <c r="G146" s="1852"/>
      <c r="H146" s="1852"/>
      <c r="I146" s="1852"/>
      <c r="J146" s="1852"/>
      <c r="K146" s="1852"/>
    </row>
    <row r="147" spans="1:11" ht="23.1" customHeight="1" x14ac:dyDescent="0.25">
      <c r="A147" s="1320" t="s">
        <v>450</v>
      </c>
      <c r="B147" s="1852" t="s">
        <v>499</v>
      </c>
      <c r="C147" s="1852"/>
      <c r="D147" s="1852"/>
      <c r="E147" s="1852"/>
      <c r="F147" s="1852"/>
      <c r="G147" s="1852"/>
      <c r="H147" s="1852"/>
      <c r="I147" s="1852"/>
      <c r="J147" s="1852"/>
      <c r="K147" s="1852"/>
    </row>
    <row r="148" spans="1:11" ht="23.1" customHeight="1" x14ac:dyDescent="0.25">
      <c r="A148" s="1320" t="s">
        <v>457</v>
      </c>
      <c r="B148" s="1852" t="s">
        <v>498</v>
      </c>
      <c r="C148" s="1852"/>
      <c r="D148" s="1852"/>
      <c r="E148" s="1852"/>
      <c r="F148" s="1852"/>
      <c r="G148" s="1852"/>
      <c r="H148" s="1852"/>
      <c r="I148" s="1852"/>
      <c r="J148" s="1852"/>
      <c r="K148" s="1852"/>
    </row>
    <row r="149" spans="1:11" ht="15" customHeight="1" x14ac:dyDescent="0.25">
      <c r="E149" s="1188"/>
      <c r="F149" s="1188"/>
      <c r="G149" s="1188"/>
      <c r="H149" s="1188"/>
      <c r="I149" s="1188"/>
      <c r="J149" s="1188"/>
      <c r="K149" s="1188"/>
    </row>
    <row r="150" spans="1:11" ht="15" customHeight="1" x14ac:dyDescent="0.25">
      <c r="A150" s="1942" t="s">
        <v>31</v>
      </c>
      <c r="B150" s="1942"/>
      <c r="C150" s="1942"/>
      <c r="D150" s="1942"/>
      <c r="E150" s="1188"/>
      <c r="F150" s="1188"/>
      <c r="G150" s="1188"/>
      <c r="H150" s="1188"/>
      <c r="I150" s="1188"/>
      <c r="J150" s="1188"/>
      <c r="K150" s="1188"/>
    </row>
    <row r="151" spans="1:11" ht="15" customHeight="1" x14ac:dyDescent="0.25">
      <c r="A151" s="1300"/>
      <c r="B151" s="1300"/>
      <c r="C151" s="1300"/>
      <c r="D151" s="1300"/>
      <c r="E151" s="1188"/>
      <c r="F151" s="1188"/>
      <c r="G151" s="1188"/>
      <c r="H151" s="1188"/>
      <c r="I151" s="1188"/>
      <c r="J151" s="1188"/>
      <c r="K151" s="1188"/>
    </row>
    <row r="152" spans="1:11" ht="15" customHeight="1" x14ac:dyDescent="0.25">
      <c r="A152" s="1188"/>
      <c r="B152" s="1188"/>
      <c r="C152" s="1188"/>
      <c r="D152" s="1188"/>
      <c r="E152" s="1188"/>
      <c r="F152" s="1188"/>
      <c r="G152" s="1188"/>
      <c r="H152" s="1188"/>
      <c r="I152" s="1188"/>
      <c r="J152" s="1188"/>
      <c r="K152" s="1188"/>
    </row>
    <row r="153" spans="1:11" ht="15" customHeight="1" x14ac:dyDescent="0.25">
      <c r="A153" s="1188"/>
      <c r="B153" s="1188"/>
      <c r="C153" s="1188"/>
      <c r="D153" s="1188"/>
      <c r="E153" s="1188"/>
      <c r="F153" s="1188"/>
      <c r="G153" s="1188"/>
      <c r="H153" s="1188"/>
      <c r="I153" s="1188"/>
      <c r="J153" s="1188"/>
      <c r="K153" s="1188"/>
    </row>
    <row r="154" spans="1:11" ht="15" customHeight="1" x14ac:dyDescent="0.25">
      <c r="A154" s="1301"/>
      <c r="B154" s="1943"/>
      <c r="C154" s="1943"/>
      <c r="D154" s="1943"/>
      <c r="E154" s="1943"/>
      <c r="F154" s="1194"/>
      <c r="G154" s="1943"/>
      <c r="H154" s="1943"/>
      <c r="I154" s="1943"/>
      <c r="J154" s="1943"/>
      <c r="K154" s="1301"/>
    </row>
    <row r="155" spans="1:11" ht="15" customHeight="1" x14ac:dyDescent="0.25">
      <c r="A155" s="1188"/>
      <c r="B155" s="1944" t="s">
        <v>32</v>
      </c>
      <c r="C155" s="1944"/>
      <c r="D155" s="1944"/>
      <c r="E155" s="1944"/>
      <c r="F155" s="1194"/>
      <c r="G155" s="1944" t="s">
        <v>449</v>
      </c>
      <c r="H155" s="1944"/>
      <c r="I155" s="1944"/>
      <c r="J155" s="1944"/>
      <c r="K155" s="1188"/>
    </row>
    <row r="156" spans="1:11" ht="21" customHeight="1" x14ac:dyDescent="0.25">
      <c r="B156" s="1947" t="e">
        <f>VLOOKUP(A154,'DATOS #'!P9:S13,4,FALSE)</f>
        <v>#N/A</v>
      </c>
      <c r="C156" s="1947"/>
      <c r="D156" s="1947"/>
      <c r="E156" s="1947"/>
      <c r="F156" s="1332"/>
      <c r="G156" s="1945" t="e">
        <f>VLOOKUP(K154,'DATOS #'!P9:U13,6,FALSE)</f>
        <v>#N/A</v>
      </c>
      <c r="H156" s="1945"/>
      <c r="I156" s="1945"/>
      <c r="J156" s="1945"/>
      <c r="K156" s="1302"/>
    </row>
    <row r="157" spans="1:11" ht="15" customHeight="1" x14ac:dyDescent="0.25">
      <c r="A157" s="1188"/>
      <c r="B157" s="1942" t="e">
        <f>VLOOKUP(A154,'DATOS #'!P9:S13,2,FALSE)</f>
        <v>#N/A</v>
      </c>
      <c r="C157" s="1942"/>
      <c r="D157" s="1942"/>
      <c r="E157" s="1942"/>
      <c r="F157" s="1303"/>
      <c r="G157" s="1942" t="e">
        <f>VLOOKUP(K154,'DATOS #'!P9:U13,2,FALSE)</f>
        <v>#N/A</v>
      </c>
      <c r="H157" s="1942"/>
      <c r="I157" s="1942"/>
      <c r="J157" s="1942"/>
      <c r="K157" s="1303"/>
    </row>
    <row r="158" spans="1:11" ht="15" customHeight="1" x14ac:dyDescent="0.25">
      <c r="D158" s="1188"/>
      <c r="E158" s="1188"/>
      <c r="F158" s="1188"/>
      <c r="G158" s="1188"/>
      <c r="H158" s="1188"/>
      <c r="I158" s="1188"/>
      <c r="J158" s="1188"/>
      <c r="K158" s="1188"/>
    </row>
    <row r="159" spans="1:11" ht="15" customHeight="1" x14ac:dyDescent="0.25">
      <c r="A159" s="1188"/>
      <c r="B159" s="1941" t="s">
        <v>377</v>
      </c>
      <c r="C159" s="1941"/>
      <c r="D159" s="1304"/>
      <c r="E159" s="1305"/>
      <c r="F159" s="1305"/>
      <c r="G159" s="1946" t="s">
        <v>448</v>
      </c>
      <c r="H159" s="1946"/>
      <c r="I159" s="1333"/>
      <c r="J159" s="1302"/>
      <c r="K159" s="682"/>
    </row>
    <row r="160" spans="1:11" ht="15" customHeight="1" x14ac:dyDescent="0.25">
      <c r="A160" s="1188"/>
      <c r="J160" s="1188"/>
      <c r="K160" s="1188"/>
    </row>
    <row r="161" spans="1:11" ht="15.75" customHeight="1" x14ac:dyDescent="0.25">
      <c r="A161" s="1851" t="s">
        <v>210</v>
      </c>
      <c r="B161" s="1851"/>
      <c r="C161" s="1851"/>
      <c r="D161" s="1851"/>
      <c r="E161" s="1851"/>
      <c r="F161" s="1851"/>
      <c r="G161" s="1851"/>
      <c r="H161" s="1851"/>
      <c r="I161" s="1851"/>
      <c r="J161" s="1851"/>
      <c r="K161" s="1851"/>
    </row>
  </sheetData>
  <sheetProtection algorithmName="SHA-512" hashValue="Hy/DUWCqr81kMRpq1OdON6nuWW7nyKBacsKC0daqEW977C8ilpTyIXv3deyAfZYjHq5v/c9yBYWJm1tTxAfANQ==" saltValue="LlN9C8Rfgq4xMKcErlEjBg==" spinCount="100000" sheet="1" objects="1" scenarios="1"/>
  <mergeCells count="150">
    <mergeCell ref="A161:K161"/>
    <mergeCell ref="G156:J156"/>
    <mergeCell ref="G157:J157"/>
    <mergeCell ref="B159:C159"/>
    <mergeCell ref="G159:H159"/>
    <mergeCell ref="B147:K147"/>
    <mergeCell ref="B148:K148"/>
    <mergeCell ref="A150:D150"/>
    <mergeCell ref="B154:E154"/>
    <mergeCell ref="G154:J154"/>
    <mergeCell ref="B155:E155"/>
    <mergeCell ref="G155:J155"/>
    <mergeCell ref="B156:E156"/>
    <mergeCell ref="B157:E157"/>
    <mergeCell ref="B141:K141"/>
    <mergeCell ref="B142:K142"/>
    <mergeCell ref="B143:K143"/>
    <mergeCell ref="B144:K144"/>
    <mergeCell ref="B145:K145"/>
    <mergeCell ref="B146:K146"/>
    <mergeCell ref="B135:K135"/>
    <mergeCell ref="B136:K136"/>
    <mergeCell ref="B137:K137"/>
    <mergeCell ref="B138:K138"/>
    <mergeCell ref="B139:K139"/>
    <mergeCell ref="B140:K140"/>
    <mergeCell ref="E125:E127"/>
    <mergeCell ref="A129:F129"/>
    <mergeCell ref="B131:K131"/>
    <mergeCell ref="B132:K132"/>
    <mergeCell ref="B133:K133"/>
    <mergeCell ref="B134:K134"/>
    <mergeCell ref="A111:K111"/>
    <mergeCell ref="J118:K118"/>
    <mergeCell ref="A119:E119"/>
    <mergeCell ref="A121:E121"/>
    <mergeCell ref="A123:I123"/>
    <mergeCell ref="F124:G124"/>
    <mergeCell ref="C102:D102"/>
    <mergeCell ref="F105:G105"/>
    <mergeCell ref="A106:B109"/>
    <mergeCell ref="C106:D106"/>
    <mergeCell ref="K106:K109"/>
    <mergeCell ref="C107:D107"/>
    <mergeCell ref="C108:D108"/>
    <mergeCell ref="C109:D109"/>
    <mergeCell ref="A95:K95"/>
    <mergeCell ref="A97:I97"/>
    <mergeCell ref="A98:B98"/>
    <mergeCell ref="C98:E98"/>
    <mergeCell ref="F98:G98"/>
    <mergeCell ref="A99:B102"/>
    <mergeCell ref="C99:D99"/>
    <mergeCell ref="K99:K102"/>
    <mergeCell ref="C100:D100"/>
    <mergeCell ref="C101:D101"/>
    <mergeCell ref="A92:C92"/>
    <mergeCell ref="E92:F92"/>
    <mergeCell ref="G92:H92"/>
    <mergeCell ref="I92:J92"/>
    <mergeCell ref="A93:C93"/>
    <mergeCell ref="E93:F93"/>
    <mergeCell ref="G93:H93"/>
    <mergeCell ref="I93:J93"/>
    <mergeCell ref="A90:C90"/>
    <mergeCell ref="E90:F90"/>
    <mergeCell ref="G90:H90"/>
    <mergeCell ref="I90:J90"/>
    <mergeCell ref="A91:C91"/>
    <mergeCell ref="E91:F91"/>
    <mergeCell ref="G91:H91"/>
    <mergeCell ref="I91:J91"/>
    <mergeCell ref="A80:E80"/>
    <mergeCell ref="A82:K83"/>
    <mergeCell ref="A85:E85"/>
    <mergeCell ref="A87:K87"/>
    <mergeCell ref="A89:C89"/>
    <mergeCell ref="E89:F89"/>
    <mergeCell ref="G89:H89"/>
    <mergeCell ref="I89:J89"/>
    <mergeCell ref="C73:D73"/>
    <mergeCell ref="E73:F73"/>
    <mergeCell ref="G73:H73"/>
    <mergeCell ref="I74:J74"/>
    <mergeCell ref="I75:J75"/>
    <mergeCell ref="J79:K79"/>
    <mergeCell ref="C62:J62"/>
    <mergeCell ref="C63:J63"/>
    <mergeCell ref="C64:H64"/>
    <mergeCell ref="C66:H66"/>
    <mergeCell ref="A69:E69"/>
    <mergeCell ref="A71:K71"/>
    <mergeCell ref="C56:K56"/>
    <mergeCell ref="C57:J57"/>
    <mergeCell ref="C58:K58"/>
    <mergeCell ref="C59:J59"/>
    <mergeCell ref="C60:F60"/>
    <mergeCell ref="C61:J61"/>
    <mergeCell ref="C48:K48"/>
    <mergeCell ref="C50:K50"/>
    <mergeCell ref="C52:K52"/>
    <mergeCell ref="C53:J53"/>
    <mergeCell ref="C54:K54"/>
    <mergeCell ref="C55:J55"/>
    <mergeCell ref="A29:H29"/>
    <mergeCell ref="A31:K32"/>
    <mergeCell ref="J36:K36"/>
    <mergeCell ref="A41:B41"/>
    <mergeCell ref="C43:K43"/>
    <mergeCell ref="C45:K46"/>
    <mergeCell ref="A22:D22"/>
    <mergeCell ref="E22:H22"/>
    <mergeCell ref="A23:K23"/>
    <mergeCell ref="A25:K25"/>
    <mergeCell ref="A26:K26"/>
    <mergeCell ref="A27:D27"/>
    <mergeCell ref="E27:F27"/>
    <mergeCell ref="A19:D19"/>
    <mergeCell ref="S19:W19"/>
    <mergeCell ref="A20:D20"/>
    <mergeCell ref="A21:D21"/>
    <mergeCell ref="E21:H21"/>
    <mergeCell ref="S21:U21"/>
    <mergeCell ref="W21:Y21"/>
    <mergeCell ref="A16:D16"/>
    <mergeCell ref="E16:H16"/>
    <mergeCell ref="A17:D17"/>
    <mergeCell ref="E17:H17"/>
    <mergeCell ref="A18:D18"/>
    <mergeCell ref="E18:H18"/>
    <mergeCell ref="A11:B11"/>
    <mergeCell ref="D11:F11"/>
    <mergeCell ref="A12:J12"/>
    <mergeCell ref="A14:D14"/>
    <mergeCell ref="E14:H14"/>
    <mergeCell ref="A15:D15"/>
    <mergeCell ref="E15:H15"/>
    <mergeCell ref="A8:B8"/>
    <mergeCell ref="D8:K8"/>
    <mergeCell ref="A10:D10"/>
    <mergeCell ref="E10:F10"/>
    <mergeCell ref="H10:I10"/>
    <mergeCell ref="J10:K10"/>
    <mergeCell ref="A1:K1"/>
    <mergeCell ref="J3:K3"/>
    <mergeCell ref="A4:D4"/>
    <mergeCell ref="A6:B6"/>
    <mergeCell ref="D6:K6"/>
    <mergeCell ref="A7:B7"/>
    <mergeCell ref="D7:K7"/>
  </mergeCells>
  <printOptions horizontalCentered="1"/>
  <pageMargins left="0.23622047244094491" right="0.23622047244094491" top="0.74803149606299213" bottom="0.74803149606299213" header="0.31496062992125984" footer="0.31496062992125984"/>
  <pageSetup scale="63" orientation="portrait" r:id="rId1"/>
  <headerFooter>
    <oddHeader xml:space="preserve">&amp;C
MODIFICACIÓN AL CERTIFICADO DE CALIBRACIÓN DE  RECIPIENTES VOLUMÉTRICOS
</oddHeader>
    <oddFooter xml:space="preserve">&amp;RRT03-F38 Vr.9 (2022-02-28)
&amp;P de 4 </oddFooter>
  </headerFooter>
  <rowBreaks count="3" manualBreakCount="3">
    <brk id="33" max="10" man="1"/>
    <brk id="76" max="10" man="1"/>
    <brk id="115" max="10"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31623B7A-9596-499A-BB67-C043E4219867}">
            <xm:f>NOT(ISERROR(SEARCH($F$106,F119)))</xm:f>
            <xm:f>$F$106</xm:f>
            <x14:dxf>
              <font>
                <b/>
                <i val="0"/>
              </font>
            </x14:dxf>
          </x14:cfRule>
          <x14:cfRule type="containsText" priority="2" stopIfTrue="1" operator="containsText" id="{69D4E09B-A487-41D1-9AD9-91402D60F02D}">
            <xm:f>NOT(ISERROR(SEARCH($F$106,F119)))</xm:f>
            <xm:f>$F$106</xm:f>
            <x14:dxf>
              <font>
                <b/>
                <i val="0"/>
                <color auto="1"/>
              </font>
              <fill>
                <patternFill>
                  <bgColor rgb="FFFFC7CE"/>
                </patternFill>
              </fill>
            </x14:dxf>
          </x14:cfRule>
          <xm:sqref>F119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0000000}">
          <x14:formula1>
            <xm:f>'DATOS #'!$C$143:$C$148</xm:f>
          </x14:formula1>
          <xm:sqref>K93</xm:sqref>
        </x14:dataValidation>
        <x14:dataValidation type="list" allowBlank="1" showInputMessage="1" showErrorMessage="1" xr:uid="{00000000-0002-0000-0800-000001000000}">
          <x14:formula1>
            <xm:f>'DATOS #'!$P$9:$P$13</xm:f>
          </x14:formula1>
          <xm:sqref>K154 A154</xm:sqref>
        </x14:dataValidation>
        <x14:dataValidation type="list" allowBlank="1" showInputMessage="1" showErrorMessage="1" xr:uid="{00000000-0002-0000-0800-000002000000}">
          <x14:formula1>
            <xm:f>'DATOS #'!$Q$26:$Q$28</xm:f>
          </x14:formula1>
          <xm:sqref>B75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B1C81F78A526C244A20286E28DE88E1E" ma:contentTypeVersion="9" ma:contentTypeDescription="Crear nuevo documento." ma:contentTypeScope="" ma:versionID="9dd67c6f91a0bc832e8d62d2ce469b3f">
  <xsd:schema xmlns:xsd="http://www.w3.org/2001/XMLSchema" xmlns:xs="http://www.w3.org/2001/XMLSchema" xmlns:p="http://schemas.microsoft.com/office/2006/metadata/properties" xmlns:ns2="28630930-25e8-416c-ab3b-3d3f0eb88142" xmlns:ns3="41a0376a-4913-43ea-bca5-b9259b3c65a0" targetNamespace="http://schemas.microsoft.com/office/2006/metadata/properties" ma:root="true" ma:fieldsID="6e5030e75243b8d883d2e5519eebb287" ns2:_="" ns3:_="">
    <xsd:import namespace="28630930-25e8-416c-ab3b-3d3f0eb88142"/>
    <xsd:import namespace="41a0376a-4913-43ea-bca5-b9259b3c65a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630930-25e8-416c-ab3b-3d3f0eb881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a0376a-4913-43ea-bca5-b9259b3c65a0"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A69553-8B56-45B8-A421-ED3D4D3C96C5}">
  <ds:schemaRefs>
    <ds:schemaRef ds:uri="28630930-25e8-416c-ab3b-3d3f0eb88142"/>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41a0376a-4913-43ea-bca5-b9259b3c65a0"/>
    <ds:schemaRef ds:uri="http://www.w3.org/XML/1998/namespace"/>
  </ds:schemaRefs>
</ds:datastoreItem>
</file>

<file path=customXml/itemProps2.xml><?xml version="1.0" encoding="utf-8"?>
<ds:datastoreItem xmlns:ds="http://schemas.openxmlformats.org/officeDocument/2006/customXml" ds:itemID="{D91423F8-AB70-4652-A6F4-CAC69C128C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630930-25e8-416c-ab3b-3d3f0eb88142"/>
    <ds:schemaRef ds:uri="41a0376a-4913-43ea-bca5-b9259b3c65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EC60252-195C-4FA2-9EE9-F9FE915DCE6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15</vt:i4>
      </vt:variant>
    </vt:vector>
  </HeadingPairs>
  <TitlesOfParts>
    <vt:vector size="25" baseType="lpstr">
      <vt:lpstr>DATOS #</vt:lpstr>
      <vt:lpstr>RT03-F11 #</vt:lpstr>
      <vt:lpstr>DESPUES DE AJUSTE # </vt:lpstr>
      <vt:lpstr>VERIFICACIÓN DE LA ESCALA #</vt:lpstr>
      <vt:lpstr>Máx. y Mín. #</vt:lpstr>
      <vt:lpstr>Pc #</vt:lpstr>
      <vt:lpstr>CMC #</vt:lpstr>
      <vt:lpstr>RT03-F14 # </vt:lpstr>
      <vt:lpstr>RT03-F38 #</vt:lpstr>
      <vt:lpstr>RT03-F17 #</vt:lpstr>
      <vt:lpstr>'CMC #'!Área_de_impresión</vt:lpstr>
      <vt:lpstr>'DATOS #'!Área_de_impresión</vt:lpstr>
      <vt:lpstr>'DESPUES DE AJUSTE # '!Área_de_impresión</vt:lpstr>
      <vt:lpstr>'Máx. y Mín. #'!Área_de_impresión</vt:lpstr>
      <vt:lpstr>'Pc #'!Área_de_impresión</vt:lpstr>
      <vt:lpstr>'RT03-F11 #'!Área_de_impresión</vt:lpstr>
      <vt:lpstr>'RT03-F14 # '!Área_de_impresión</vt:lpstr>
      <vt:lpstr>'RT03-F17 #'!Área_de_impresión</vt:lpstr>
      <vt:lpstr>'RT03-F38 #'!Área_de_impresión</vt:lpstr>
      <vt:lpstr>'VERIFICACIÓN DE LA ESCALA #'!Área_de_impresión</vt:lpstr>
      <vt:lpstr>'RT03-F14 # '!Print_Area</vt:lpstr>
      <vt:lpstr>'RT03-F17 #'!Print_Area</vt:lpstr>
      <vt:lpstr>'RT03-F38 #'!Print_Area</vt:lpstr>
      <vt:lpstr>'VERIFICACIÓN DE LA ESCALA #'!Print_Area</vt:lpstr>
      <vt:lpstr>'VERIFICACIÓN DE LA ESCALA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Laboratorio de Volumen SIC</dc:creator>
  <cp:lastModifiedBy>Yenny Hernández</cp:lastModifiedBy>
  <cp:lastPrinted>2022-01-26T18:36:50Z</cp:lastPrinted>
  <dcterms:created xsi:type="dcterms:W3CDTF">2015-11-06T23:47:29Z</dcterms:created>
  <dcterms:modified xsi:type="dcterms:W3CDTF">2022-03-18T11:24:33Z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722878</vt:i4>
  </property>
  <property fmtid="{D5CDD505-2E9C-101B-9397-08002B2CF9AE}" pid="3" name="ContentTypeId">
    <vt:lpwstr>0x010100B1C81F78A526C244A20286E28DE88E1E</vt:lpwstr>
  </property>
</Properties>
</file>