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7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1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3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4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5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6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0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31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2.xml" ContentType="application/vnd.openxmlformats-officedocument.drawing+xml"/>
  <Override PartName="/xl/comments2.xml" ContentType="application/vnd.openxmlformats-officedocument.spreadsheetml.comment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Enero a Junio 2023\Documentos\RT03\RT03-F23_V13\"/>
    </mc:Choice>
  </mc:AlternateContent>
  <workbookProtection workbookPassword="E9FB" lockStructure="1"/>
  <bookViews>
    <workbookView xWindow="-105" yWindow="-105" windowWidth="23250" windowHeight="12450" tabRatio="559" firstSheet="31" activeTab="31"/>
  </bookViews>
  <sheets>
    <sheet name="DATOS ¬" sheetId="132" state="hidden" r:id="rId1"/>
    <sheet name="1 mg ¬ " sheetId="240" state="hidden" r:id="rId2"/>
    <sheet name="2 mg ¬" sheetId="241" state="hidden" r:id="rId3"/>
    <sheet name="2 mg + ¬ " sheetId="242" state="hidden" r:id="rId4"/>
    <sheet name="5 mg ¬ " sheetId="243" state="hidden" r:id="rId5"/>
    <sheet name="10 mg ¬ " sheetId="244" state="hidden" r:id="rId6"/>
    <sheet name="20 mg ¬ " sheetId="245" state="hidden" r:id="rId7"/>
    <sheet name="20 mg + ¬ " sheetId="246" state="hidden" r:id="rId8"/>
    <sheet name="50 mg ¬ " sheetId="247" state="hidden" r:id="rId9"/>
    <sheet name="100 mg ¬ " sheetId="248" state="hidden" r:id="rId10"/>
    <sheet name="200 mg ¬ " sheetId="249" state="hidden" r:id="rId11"/>
    <sheet name="200 mg + ¬" sheetId="251" state="hidden" r:id="rId12"/>
    <sheet name="500 mg ¬ " sheetId="252" state="hidden" r:id="rId13"/>
    <sheet name="1 g ¬" sheetId="202" state="hidden" r:id="rId14"/>
    <sheet name="2 g ¬" sheetId="204" state="hidden" r:id="rId15"/>
    <sheet name="2 g + ¬" sheetId="205" state="hidden" r:id="rId16"/>
    <sheet name="5 g ¬" sheetId="206" state="hidden" r:id="rId17"/>
    <sheet name="10 g ¬" sheetId="207" state="hidden" r:id="rId18"/>
    <sheet name="20 g ¬" sheetId="208" state="hidden" r:id="rId19"/>
    <sheet name="20 g + ¬" sheetId="221" state="hidden" r:id="rId20"/>
    <sheet name="50 g ¬" sheetId="211" state="hidden" r:id="rId21"/>
    <sheet name="100 g ¬" sheetId="212" state="hidden" r:id="rId22"/>
    <sheet name="200 g ¬" sheetId="213" state="hidden" r:id="rId23"/>
    <sheet name="200 g + ¬" sheetId="214" state="hidden" r:id="rId24"/>
    <sheet name="500 g ¬" sheetId="215" state="hidden" r:id="rId25"/>
    <sheet name="1 kg ¬" sheetId="216" state="hidden" r:id="rId26"/>
    <sheet name="2 kg ¬" sheetId="217" state="hidden" r:id="rId27"/>
    <sheet name="2 kg + ¬" sheetId="218" state="hidden" r:id="rId28"/>
    <sheet name="5 kg ¬" sheetId="219" state="hidden" r:id="rId29"/>
    <sheet name="10 kg ¬" sheetId="220" state="hidden" r:id="rId30"/>
    <sheet name="20 kg ¬ " sheetId="224" state="hidden" r:id="rId31"/>
    <sheet name="RT03-F 23  ¬" sheetId="201" r:id="rId32"/>
  </sheets>
  <externalReferences>
    <externalReference r:id="rId33"/>
  </externalReferences>
  <definedNames>
    <definedName name="_xlnm.Print_Area" localSheetId="13">'1 g ¬'!$A$1:$N$85</definedName>
    <definedName name="_xlnm.Print_Area" localSheetId="25">'1 kg ¬'!$A$1:$N$85</definedName>
    <definedName name="_xlnm.Print_Area" localSheetId="1">'1 mg ¬ '!$A$1:$N$85</definedName>
    <definedName name="_xlnm.Print_Area" localSheetId="17">'10 g ¬'!$A$1:$N$85</definedName>
    <definedName name="_xlnm.Print_Area" localSheetId="29">'10 kg ¬'!$A$1:$N$85</definedName>
    <definedName name="_xlnm.Print_Area" localSheetId="5">'10 mg ¬ '!$A$1:$N$85</definedName>
    <definedName name="_xlnm.Print_Area" localSheetId="21">'100 g ¬'!$A$1:$N$85</definedName>
    <definedName name="_xlnm.Print_Area" localSheetId="9">'100 mg ¬ '!$A$1:$N$85</definedName>
    <definedName name="_xlnm.Print_Area" localSheetId="15">'2 g + ¬'!$A$1:$N$85</definedName>
    <definedName name="_xlnm.Print_Area" localSheetId="14">'2 g ¬'!$A$1:$N$85</definedName>
    <definedName name="_xlnm.Print_Area" localSheetId="27">'2 kg + ¬'!$A$1:$N$85</definedName>
    <definedName name="_xlnm.Print_Area" localSheetId="26">'2 kg ¬'!$A$1:$N$85</definedName>
    <definedName name="_xlnm.Print_Area" localSheetId="3">'2 mg + ¬ '!$A$1:$N$85</definedName>
    <definedName name="_xlnm.Print_Area" localSheetId="2">'2 mg ¬'!$A$1:$N$85</definedName>
    <definedName name="_xlnm.Print_Area" localSheetId="19">'20 g + ¬'!$A$1:$N$85</definedName>
    <definedName name="_xlnm.Print_Area" localSheetId="18">'20 g ¬'!$A$1:$N$85</definedName>
    <definedName name="_xlnm.Print_Area" localSheetId="30">'20 kg ¬ '!$A$1:$N$85</definedName>
    <definedName name="_xlnm.Print_Area" localSheetId="7">'20 mg + ¬ '!$A$1:$N$85</definedName>
    <definedName name="_xlnm.Print_Area" localSheetId="6">'20 mg ¬ '!$A$1:$N$85</definedName>
    <definedName name="_xlnm.Print_Area" localSheetId="23">'200 g + ¬'!$A$1:$N$85</definedName>
    <definedName name="_xlnm.Print_Area" localSheetId="22">'200 g ¬'!$A$1:$N$85</definedName>
    <definedName name="_xlnm.Print_Area" localSheetId="11">'200 mg + ¬'!$A$1:$N$85</definedName>
    <definedName name="_xlnm.Print_Area" localSheetId="10">'200 mg ¬ '!$A$1:$N$85</definedName>
    <definedName name="_xlnm.Print_Area" localSheetId="16">'5 g ¬'!$A$1:$N$85</definedName>
    <definedName name="_xlnm.Print_Area" localSheetId="28">'5 kg ¬'!$A$1:$N$85</definedName>
    <definedName name="_xlnm.Print_Area" localSheetId="4">'5 mg ¬ '!$A$1:$N$85</definedName>
    <definedName name="_xlnm.Print_Area" localSheetId="20">'50 g ¬'!$A$1:$N$85</definedName>
    <definedName name="_xlnm.Print_Area" localSheetId="8">'50 mg ¬ '!$A$1:$N$85</definedName>
    <definedName name="_xlnm.Print_Area" localSheetId="24">'500 g ¬'!$A$1:$N$85</definedName>
    <definedName name="_xlnm.Print_Area" localSheetId="12">'500 mg ¬ '!$A$1:$N$85</definedName>
    <definedName name="_xlnm.Print_Area" localSheetId="0">'DATOS ¬'!$A$1:$AC$216</definedName>
    <definedName name="_xlnm.Print_Area" localSheetId="31">'RT03-F 23  ¬'!$A$1:$N$85</definedName>
    <definedName name="Datos_de_las_Pesas_Patrón">'DATOS ¬'!$N$3:$AA$135</definedName>
    <definedName name="DELTAMAXI">'[1]PRUEBAS DE CALIBRACION'!$G$18</definedName>
    <definedName name="DIVISIÓNDEESCALA">[1]DATOS!$E$13</definedName>
    <definedName name="LEXCENTRICIDAD">'[1]PRUEBAS DE CALIBRACION'!$H$11</definedName>
    <definedName name="Patrones_Termohigrometros">'DATOS ¬'!$A$142:$L$196</definedName>
    <definedName name="Print_Area" localSheetId="13">'1 g ¬'!$A$1:$K$106</definedName>
    <definedName name="Print_Area" localSheetId="25">'1 kg ¬'!$A$1:$K$105</definedName>
    <definedName name="Print_Area" localSheetId="1">'1 mg ¬ '!$A$1:$K$106</definedName>
    <definedName name="Print_Area" localSheetId="17">'10 g ¬'!$A$1:$K$106</definedName>
    <definedName name="Print_Area" localSheetId="29">'10 kg ¬'!$A$1:$K$106</definedName>
    <definedName name="Print_Area" localSheetId="5">'10 mg ¬ '!$A$1:$K$106</definedName>
    <definedName name="Print_Area" localSheetId="21">'100 g ¬'!$A$1:$K$106</definedName>
    <definedName name="Print_Area" localSheetId="9">'100 mg ¬ '!$A$1:$K$106</definedName>
    <definedName name="Print_Area" localSheetId="15">'2 g + ¬'!$A$1:$K$106</definedName>
    <definedName name="Print_Area" localSheetId="14">'2 g ¬'!$A$1:$K$106</definedName>
    <definedName name="Print_Area" localSheetId="27">'2 kg + ¬'!$A$1:$K$106</definedName>
    <definedName name="Print_Area" localSheetId="26">'2 kg ¬'!$A$1:$K$106</definedName>
    <definedName name="Print_Area" localSheetId="3">'2 mg + ¬ '!$A$1:$K$106</definedName>
    <definedName name="Print_Area" localSheetId="2">'2 mg ¬'!$A$1:$K$106</definedName>
    <definedName name="Print_Area" localSheetId="19">'20 g + ¬'!$A$1:$K$106</definedName>
    <definedName name="Print_Area" localSheetId="18">'20 g ¬'!$A$1:$K$106</definedName>
    <definedName name="Print_Area" localSheetId="30">'20 kg ¬ '!$A$1:$K$105</definedName>
    <definedName name="Print_Area" localSheetId="7">'20 mg + ¬ '!$A$1:$K$106</definedName>
    <definedName name="Print_Area" localSheetId="6">'20 mg ¬ '!$A$1:$K$106</definedName>
    <definedName name="Print_Area" localSheetId="23">'200 g + ¬'!$A$1:$K$106</definedName>
    <definedName name="Print_Area" localSheetId="22">'200 g ¬'!$A$1:$K$106</definedName>
    <definedName name="Print_Area" localSheetId="11">'200 mg + ¬'!$A$1:$K$106</definedName>
    <definedName name="Print_Area" localSheetId="10">'200 mg ¬ '!$A$1:$K$106</definedName>
    <definedName name="Print_Area" localSheetId="16">'5 g ¬'!$A$1:$K$106</definedName>
    <definedName name="Print_Area" localSheetId="28">'5 kg ¬'!$A$1:$K$106</definedName>
    <definedName name="Print_Area" localSheetId="4">'5 mg ¬ '!$A$1:$K$106</definedName>
    <definedName name="Print_Area" localSheetId="20">'50 g ¬'!$A$1:$K$106</definedName>
    <definedName name="Print_Area" localSheetId="8">'50 mg ¬ '!$A$1:$K$106</definedName>
    <definedName name="Print_Area" localSheetId="24">'500 g ¬'!$A$1:$K$106</definedName>
    <definedName name="Print_Area" localSheetId="12">'500 mg ¬ '!$A$1:$K$106</definedName>
    <definedName name="Print_Area" localSheetId="0">'DATOS ¬'!$A$2:$AA$168</definedName>
    <definedName name="Print_Area" localSheetId="31">'RT03-F 23  ¬'!$A$1:$K$106</definedName>
    <definedName name="Print_Titles" localSheetId="13">'1 g ¬'!$1:$1</definedName>
    <definedName name="Print_Titles" localSheetId="25">'1 kg ¬'!$1:$1</definedName>
    <definedName name="Print_Titles" localSheetId="1">'1 mg ¬ '!$1:$1</definedName>
    <definedName name="Print_Titles" localSheetId="17">'10 g ¬'!$1:$1</definedName>
    <definedName name="Print_Titles" localSheetId="29">'10 kg ¬'!$1:$1</definedName>
    <definedName name="Print_Titles" localSheetId="5">'10 mg ¬ '!$1:$1</definedName>
    <definedName name="Print_Titles" localSheetId="21">'100 g ¬'!$1:$1</definedName>
    <definedName name="Print_Titles" localSheetId="9">'100 mg ¬ '!$1:$1</definedName>
    <definedName name="Print_Titles" localSheetId="15">'2 g + ¬'!$1:$1</definedName>
    <definedName name="Print_Titles" localSheetId="14">'2 g ¬'!$1:$1</definedName>
    <definedName name="Print_Titles" localSheetId="27">'2 kg + ¬'!$1:$1</definedName>
    <definedName name="Print_Titles" localSheetId="26">'2 kg ¬'!$1:$1</definedName>
    <definedName name="Print_Titles" localSheetId="3">'2 mg + ¬ '!$1:$1</definedName>
    <definedName name="Print_Titles" localSheetId="2">'2 mg ¬'!$1:$1</definedName>
    <definedName name="Print_Titles" localSheetId="19">'20 g + ¬'!$1:$1</definedName>
    <definedName name="Print_Titles" localSheetId="18">'20 g ¬'!$1:$1</definedName>
    <definedName name="Print_Titles" localSheetId="30">'20 kg ¬ '!$1:$1</definedName>
    <definedName name="Print_Titles" localSheetId="7">'20 mg + ¬ '!$1:$1</definedName>
    <definedName name="Print_Titles" localSheetId="6">'20 mg ¬ '!$1:$1</definedName>
    <definedName name="Print_Titles" localSheetId="23">'200 g + ¬'!$1:$1</definedName>
    <definedName name="Print_Titles" localSheetId="22">'200 g ¬'!$1:$1</definedName>
    <definedName name="Print_Titles" localSheetId="11">'200 mg + ¬'!$1:$1</definedName>
    <definedName name="Print_Titles" localSheetId="10">'200 mg ¬ '!$1:$1</definedName>
    <definedName name="Print_Titles" localSheetId="16">'5 g ¬'!$1:$1</definedName>
    <definedName name="Print_Titles" localSheetId="28">'5 kg ¬'!$1:$1</definedName>
    <definedName name="Print_Titles" localSheetId="4">'5 mg ¬ '!$1:$1</definedName>
    <definedName name="Print_Titles" localSheetId="20">'50 g ¬'!$1:$1</definedName>
    <definedName name="Print_Titles" localSheetId="8">'50 mg ¬ '!$1:$1</definedName>
    <definedName name="Print_Titles" localSheetId="24">'500 g ¬'!$1:$1</definedName>
    <definedName name="Print_Titles" localSheetId="12">'500 mg ¬ '!$1:$1</definedName>
    <definedName name="Print_Titles" localSheetId="31">'RT03-F 23  ¬'!$1:$1</definedName>
    <definedName name="_xlnm.Print_Titles" localSheetId="13">'1 g ¬'!$1:$1</definedName>
    <definedName name="_xlnm.Print_Titles" localSheetId="25">'1 kg ¬'!$1:$1</definedName>
    <definedName name="_xlnm.Print_Titles" localSheetId="1">'1 mg ¬ '!$1:$1</definedName>
    <definedName name="_xlnm.Print_Titles" localSheetId="17">'10 g ¬'!$1:$1</definedName>
    <definedName name="_xlnm.Print_Titles" localSheetId="29">'10 kg ¬'!$1:$1</definedName>
    <definedName name="_xlnm.Print_Titles" localSheetId="5">'10 mg ¬ '!$1:$1</definedName>
    <definedName name="_xlnm.Print_Titles" localSheetId="21">'100 g ¬'!$1:$1</definedName>
    <definedName name="_xlnm.Print_Titles" localSheetId="9">'100 mg ¬ '!$1:$1</definedName>
    <definedName name="_xlnm.Print_Titles" localSheetId="15">'2 g + ¬'!$1:$1</definedName>
    <definedName name="_xlnm.Print_Titles" localSheetId="14">'2 g ¬'!$1:$1</definedName>
    <definedName name="_xlnm.Print_Titles" localSheetId="27">'2 kg + ¬'!$1:$1</definedName>
    <definedName name="_xlnm.Print_Titles" localSheetId="26">'2 kg ¬'!$1:$1</definedName>
    <definedName name="_xlnm.Print_Titles" localSheetId="3">'2 mg + ¬ '!$1:$1</definedName>
    <definedName name="_xlnm.Print_Titles" localSheetId="2">'2 mg ¬'!$1:$1</definedName>
    <definedName name="_xlnm.Print_Titles" localSheetId="19">'20 g + ¬'!$1:$1</definedName>
    <definedName name="_xlnm.Print_Titles" localSheetId="18">'20 g ¬'!$1:$1</definedName>
    <definedName name="_xlnm.Print_Titles" localSheetId="30">'20 kg ¬ '!$1:$1</definedName>
    <definedName name="_xlnm.Print_Titles" localSheetId="7">'20 mg + ¬ '!$1:$1</definedName>
    <definedName name="_xlnm.Print_Titles" localSheetId="6">'20 mg ¬ '!$1:$1</definedName>
    <definedName name="_xlnm.Print_Titles" localSheetId="23">'200 g + ¬'!$1:$1</definedName>
    <definedName name="_xlnm.Print_Titles" localSheetId="22">'200 g ¬'!$1:$1</definedName>
    <definedName name="_xlnm.Print_Titles" localSheetId="11">'200 mg + ¬'!$1:$1</definedName>
    <definedName name="_xlnm.Print_Titles" localSheetId="10">'200 mg ¬ '!$1:$1</definedName>
    <definedName name="_xlnm.Print_Titles" localSheetId="16">'5 g ¬'!$1:$1</definedName>
    <definedName name="_xlnm.Print_Titles" localSheetId="28">'5 kg ¬'!$1:$1</definedName>
    <definedName name="_xlnm.Print_Titles" localSheetId="4">'5 mg ¬ '!$1:$1</definedName>
    <definedName name="_xlnm.Print_Titles" localSheetId="20">'50 g ¬'!$1:$1</definedName>
    <definedName name="_xlnm.Print_Titles" localSheetId="8">'50 mg ¬ '!$1:$1</definedName>
    <definedName name="_xlnm.Print_Titles" localSheetId="24">'500 g ¬'!$1:$1</definedName>
    <definedName name="_xlnm.Print_Titles" localSheetId="12">'500 mg ¬ '!$1:$1</definedName>
    <definedName name="_xlnm.Print_Titles" localSheetId="31">'RT03-F 23  ¬'!$1:$1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219" l="1"/>
  <c r="C15" i="219"/>
  <c r="C14" i="219"/>
  <c r="C13" i="219"/>
  <c r="C12" i="219"/>
  <c r="C11" i="219"/>
  <c r="C10" i="219"/>
  <c r="D9" i="219"/>
  <c r="D8" i="219"/>
  <c r="D7" i="219"/>
  <c r="B9" i="219"/>
  <c r="B8" i="219"/>
  <c r="B7" i="219"/>
  <c r="C16" i="218"/>
  <c r="C15" i="218"/>
  <c r="C14" i="218"/>
  <c r="C13" i="218"/>
  <c r="C12" i="218"/>
  <c r="C11" i="218"/>
  <c r="C10" i="218"/>
  <c r="D9" i="218"/>
  <c r="D8" i="218"/>
  <c r="D7" i="218"/>
  <c r="B9" i="218"/>
  <c r="B8" i="218"/>
  <c r="B7" i="218"/>
  <c r="C16" i="217"/>
  <c r="C15" i="217"/>
  <c r="C14" i="217"/>
  <c r="C13" i="217"/>
  <c r="C12" i="217"/>
  <c r="C11" i="217"/>
  <c r="C10" i="217"/>
  <c r="D9" i="217"/>
  <c r="D8" i="217"/>
  <c r="D7" i="217"/>
  <c r="B9" i="217"/>
  <c r="B8" i="217"/>
  <c r="B7" i="217"/>
  <c r="C16" i="216"/>
  <c r="C15" i="216"/>
  <c r="C14" i="216"/>
  <c r="C13" i="216"/>
  <c r="C12" i="216"/>
  <c r="C11" i="216"/>
  <c r="C10" i="216"/>
  <c r="D9" i="216"/>
  <c r="D8" i="216"/>
  <c r="D7" i="216"/>
  <c r="B9" i="216"/>
  <c r="B8" i="216"/>
  <c r="B7" i="216"/>
  <c r="C16" i="215"/>
  <c r="C15" i="215"/>
  <c r="C14" i="215"/>
  <c r="C13" i="215"/>
  <c r="C12" i="215"/>
  <c r="C11" i="215"/>
  <c r="C10" i="215"/>
  <c r="D9" i="215"/>
  <c r="D8" i="215"/>
  <c r="D7" i="215"/>
  <c r="B9" i="215"/>
  <c r="B8" i="215"/>
  <c r="B7" i="215"/>
  <c r="C16" i="214"/>
  <c r="C15" i="214"/>
  <c r="C14" i="214"/>
  <c r="C65" i="214" s="1"/>
  <c r="C13" i="214"/>
  <c r="C12" i="214"/>
  <c r="C11" i="214"/>
  <c r="C10" i="214"/>
  <c r="B75" i="214" s="1"/>
  <c r="B76" i="214" s="1"/>
  <c r="D9" i="214"/>
  <c r="D8" i="214"/>
  <c r="D7" i="214"/>
  <c r="B9" i="214"/>
  <c r="B8" i="214"/>
  <c r="B7" i="214"/>
  <c r="D9" i="213"/>
  <c r="D8" i="213"/>
  <c r="D7" i="213"/>
  <c r="C16" i="213"/>
  <c r="C15" i="213"/>
  <c r="C14" i="213"/>
  <c r="C65" i="213" s="1"/>
  <c r="C13" i="213"/>
  <c r="C12" i="213"/>
  <c r="C11" i="213"/>
  <c r="C10" i="213"/>
  <c r="B9" i="213"/>
  <c r="B8" i="213"/>
  <c r="B7" i="213"/>
  <c r="D9" i="212"/>
  <c r="D8" i="212"/>
  <c r="D7" i="212"/>
  <c r="C16" i="212"/>
  <c r="C15" i="212"/>
  <c r="C14" i="212"/>
  <c r="C13" i="212"/>
  <c r="C12" i="212"/>
  <c r="C11" i="212"/>
  <c r="C75" i="212" s="1"/>
  <c r="C76" i="212" s="1"/>
  <c r="C10" i="212"/>
  <c r="B9" i="212"/>
  <c r="B8" i="212"/>
  <c r="B7" i="212"/>
  <c r="C16" i="211"/>
  <c r="C15" i="211"/>
  <c r="C14" i="211"/>
  <c r="C13" i="211"/>
  <c r="C12" i="211"/>
  <c r="C11" i="211"/>
  <c r="C10" i="211"/>
  <c r="D9" i="211"/>
  <c r="D8" i="211"/>
  <c r="D7" i="211"/>
  <c r="B9" i="211"/>
  <c r="B8" i="211"/>
  <c r="B7" i="211"/>
  <c r="C16" i="221"/>
  <c r="C15" i="221"/>
  <c r="C14" i="221"/>
  <c r="C13" i="221"/>
  <c r="C12" i="221"/>
  <c r="C11" i="221"/>
  <c r="C10" i="221"/>
  <c r="D54" i="221" s="1"/>
  <c r="D9" i="221"/>
  <c r="D8" i="221"/>
  <c r="D7" i="221"/>
  <c r="B9" i="221"/>
  <c r="B8" i="221"/>
  <c r="B7" i="221"/>
  <c r="C16" i="208"/>
  <c r="C15" i="208"/>
  <c r="C14" i="208"/>
  <c r="C13" i="208"/>
  <c r="C12" i="208"/>
  <c r="C11" i="208"/>
  <c r="C75" i="208" s="1"/>
  <c r="C76" i="208" s="1"/>
  <c r="C10" i="208"/>
  <c r="D9" i="208"/>
  <c r="D8" i="208"/>
  <c r="D7" i="208"/>
  <c r="B9" i="208"/>
  <c r="B8" i="208"/>
  <c r="B7" i="208"/>
  <c r="C16" i="207"/>
  <c r="C15" i="207"/>
  <c r="C14" i="207"/>
  <c r="C13" i="207"/>
  <c r="C12" i="207"/>
  <c r="C11" i="207"/>
  <c r="C10" i="207"/>
  <c r="D9" i="207"/>
  <c r="D8" i="207"/>
  <c r="D7" i="207"/>
  <c r="B9" i="207"/>
  <c r="B8" i="207"/>
  <c r="B7" i="207"/>
  <c r="C16" i="206"/>
  <c r="C15" i="206"/>
  <c r="C14" i="206"/>
  <c r="C13" i="206"/>
  <c r="C12" i="206"/>
  <c r="C11" i="206"/>
  <c r="C10" i="206"/>
  <c r="D9" i="206"/>
  <c r="D8" i="206"/>
  <c r="D7" i="206"/>
  <c r="B9" i="206"/>
  <c r="B8" i="206"/>
  <c r="B7" i="206"/>
  <c r="C16" i="205"/>
  <c r="C15" i="205"/>
  <c r="C14" i="205"/>
  <c r="C65" i="205" s="1"/>
  <c r="C13" i="205"/>
  <c r="C12" i="205"/>
  <c r="C11" i="205"/>
  <c r="C10" i="205"/>
  <c r="B75" i="205" s="1"/>
  <c r="B76" i="205" s="1"/>
  <c r="D9" i="205"/>
  <c r="D8" i="205"/>
  <c r="D7" i="205"/>
  <c r="B9" i="205"/>
  <c r="B8" i="205"/>
  <c r="B7" i="205"/>
  <c r="C16" i="204"/>
  <c r="C15" i="204"/>
  <c r="C14" i="204"/>
  <c r="C13" i="204"/>
  <c r="C12" i="204"/>
  <c r="C11" i="204"/>
  <c r="C75" i="204" s="1"/>
  <c r="C76" i="204" s="1"/>
  <c r="C10" i="204"/>
  <c r="D9" i="204"/>
  <c r="D8" i="204"/>
  <c r="D7" i="204"/>
  <c r="B9" i="204"/>
  <c r="B8" i="204"/>
  <c r="B7" i="204"/>
  <c r="B8" i="220"/>
  <c r="B7" i="220"/>
  <c r="B9" i="220"/>
  <c r="D9" i="220"/>
  <c r="D8" i="220"/>
  <c r="D7" i="220"/>
  <c r="C16" i="220"/>
  <c r="C15" i="220"/>
  <c r="C14" i="220"/>
  <c r="C65" i="220" s="1"/>
  <c r="C13" i="220"/>
  <c r="C12" i="220"/>
  <c r="C11" i="220"/>
  <c r="C10" i="220"/>
  <c r="D54" i="220" s="1"/>
  <c r="B7" i="224"/>
  <c r="C16" i="202"/>
  <c r="C15" i="202"/>
  <c r="C14" i="202"/>
  <c r="C65" i="202" s="1"/>
  <c r="C13" i="202"/>
  <c r="C12" i="202"/>
  <c r="C11" i="202"/>
  <c r="C10" i="202"/>
  <c r="D54" i="202" s="1"/>
  <c r="D9" i="202"/>
  <c r="D8" i="202"/>
  <c r="D7" i="202"/>
  <c r="B9" i="202"/>
  <c r="B8" i="202"/>
  <c r="B7" i="202"/>
  <c r="J48" i="132"/>
  <c r="D41" i="211"/>
  <c r="D42" i="211" s="1"/>
  <c r="H10" i="132"/>
  <c r="H11" i="132"/>
  <c r="H12" i="132"/>
  <c r="H13" i="132"/>
  <c r="H14" i="132"/>
  <c r="H15" i="132"/>
  <c r="H16" i="132"/>
  <c r="H17" i="132"/>
  <c r="H18" i="132"/>
  <c r="H19" i="132"/>
  <c r="H20" i="132"/>
  <c r="H21" i="132"/>
  <c r="H22" i="132"/>
  <c r="H23" i="132"/>
  <c r="H24" i="132"/>
  <c r="H25" i="132"/>
  <c r="H26" i="132"/>
  <c r="H27" i="132"/>
  <c r="H28" i="132"/>
  <c r="H29" i="132"/>
  <c r="H30" i="132"/>
  <c r="H31" i="132"/>
  <c r="H32" i="132"/>
  <c r="H33" i="132"/>
  <c r="H34" i="132"/>
  <c r="H35" i="132"/>
  <c r="H36" i="132"/>
  <c r="H37" i="132"/>
  <c r="H38" i="132"/>
  <c r="H39" i="132"/>
  <c r="H9" i="132"/>
  <c r="C41" i="243"/>
  <c r="D41" i="243"/>
  <c r="I83" i="224"/>
  <c r="H83" i="224"/>
  <c r="I82" i="224"/>
  <c r="H82" i="224"/>
  <c r="I83" i="201"/>
  <c r="H83" i="201"/>
  <c r="I82" i="201"/>
  <c r="H82" i="201"/>
  <c r="I83" i="220"/>
  <c r="H83" i="220"/>
  <c r="I82" i="220"/>
  <c r="H82" i="220"/>
  <c r="I83" i="219"/>
  <c r="H83" i="219"/>
  <c r="I82" i="219"/>
  <c r="H82" i="219"/>
  <c r="I83" i="218"/>
  <c r="H83" i="218"/>
  <c r="I82" i="218"/>
  <c r="H82" i="218"/>
  <c r="I83" i="217"/>
  <c r="H83" i="217"/>
  <c r="I82" i="217"/>
  <c r="H82" i="217"/>
  <c r="I83" i="216"/>
  <c r="H83" i="216"/>
  <c r="I82" i="216"/>
  <c r="H82" i="216"/>
  <c r="I83" i="215"/>
  <c r="H83" i="215"/>
  <c r="I82" i="215"/>
  <c r="H82" i="215"/>
  <c r="I83" i="214"/>
  <c r="H83" i="214"/>
  <c r="I82" i="214"/>
  <c r="H82" i="214"/>
  <c r="I83" i="213"/>
  <c r="H83" i="213"/>
  <c r="I82" i="213"/>
  <c r="H82" i="213"/>
  <c r="I83" i="212"/>
  <c r="H83" i="212"/>
  <c r="I82" i="212"/>
  <c r="H82" i="212"/>
  <c r="I83" i="211"/>
  <c r="H83" i="211"/>
  <c r="I82" i="211"/>
  <c r="H82" i="211"/>
  <c r="I83" i="221"/>
  <c r="H83" i="221"/>
  <c r="I82" i="221"/>
  <c r="H82" i="221"/>
  <c r="I83" i="208"/>
  <c r="H83" i="208"/>
  <c r="I82" i="208"/>
  <c r="H82" i="208"/>
  <c r="I83" i="207"/>
  <c r="H83" i="207"/>
  <c r="I82" i="207"/>
  <c r="H82" i="207"/>
  <c r="I83" i="206"/>
  <c r="H83" i="206"/>
  <c r="I82" i="206"/>
  <c r="H82" i="206"/>
  <c r="I83" i="205"/>
  <c r="H83" i="205"/>
  <c r="I82" i="205"/>
  <c r="H82" i="205"/>
  <c r="I83" i="204"/>
  <c r="H83" i="204"/>
  <c r="I82" i="204"/>
  <c r="H82" i="204"/>
  <c r="I83" i="202"/>
  <c r="H83" i="202"/>
  <c r="I82" i="202"/>
  <c r="H82" i="202"/>
  <c r="I83" i="252"/>
  <c r="H83" i="252"/>
  <c r="I82" i="252"/>
  <c r="H82" i="252"/>
  <c r="I83" i="251"/>
  <c r="H83" i="251"/>
  <c r="I82" i="251"/>
  <c r="H82" i="251"/>
  <c r="I83" i="249"/>
  <c r="H83" i="249"/>
  <c r="I82" i="249"/>
  <c r="H82" i="249"/>
  <c r="I83" i="248"/>
  <c r="H83" i="248"/>
  <c r="I82" i="248"/>
  <c r="H82" i="248"/>
  <c r="I83" i="247"/>
  <c r="H83" i="247"/>
  <c r="I82" i="247"/>
  <c r="H82" i="247"/>
  <c r="I83" i="246"/>
  <c r="H83" i="246"/>
  <c r="I82" i="246"/>
  <c r="H82" i="246"/>
  <c r="I83" i="245"/>
  <c r="H83" i="245"/>
  <c r="I82" i="245"/>
  <c r="H82" i="245"/>
  <c r="I83" i="244"/>
  <c r="H83" i="244"/>
  <c r="I82" i="244"/>
  <c r="H82" i="244"/>
  <c r="I83" i="243"/>
  <c r="H83" i="243"/>
  <c r="I82" i="243"/>
  <c r="H82" i="243"/>
  <c r="I83" i="242"/>
  <c r="H83" i="242"/>
  <c r="I82" i="242"/>
  <c r="H82" i="242"/>
  <c r="D41" i="224"/>
  <c r="C41" i="224"/>
  <c r="D40" i="224"/>
  <c r="C40" i="224"/>
  <c r="D41" i="201"/>
  <c r="C41" i="201"/>
  <c r="D40" i="201"/>
  <c r="D42" i="201" s="1"/>
  <c r="C40" i="201"/>
  <c r="C42" i="201" s="1"/>
  <c r="D41" i="220"/>
  <c r="C41" i="220"/>
  <c r="D40" i="220"/>
  <c r="D42" i="220" s="1"/>
  <c r="C40" i="220"/>
  <c r="D41" i="219"/>
  <c r="C41" i="219"/>
  <c r="D40" i="219"/>
  <c r="C40" i="219"/>
  <c r="D41" i="218"/>
  <c r="C41" i="218"/>
  <c r="D40" i="218"/>
  <c r="C40" i="218"/>
  <c r="D41" i="217"/>
  <c r="C41" i="217"/>
  <c r="C42" i="217" s="1"/>
  <c r="C43" i="217" s="1"/>
  <c r="D40" i="217"/>
  <c r="D42" i="217" s="1"/>
  <c r="C40" i="217"/>
  <c r="D41" i="216"/>
  <c r="C41" i="216"/>
  <c r="C42" i="216" s="1"/>
  <c r="C44" i="216" s="1"/>
  <c r="D40" i="216"/>
  <c r="C40" i="216"/>
  <c r="D41" i="215"/>
  <c r="D42" i="215" s="1"/>
  <c r="C41" i="215"/>
  <c r="D40" i="215"/>
  <c r="C40" i="215"/>
  <c r="D41" i="214"/>
  <c r="C41" i="214"/>
  <c r="D40" i="214"/>
  <c r="C40" i="214"/>
  <c r="D41" i="213"/>
  <c r="D42" i="213" s="1"/>
  <c r="C41" i="213"/>
  <c r="C42" i="213" s="1"/>
  <c r="D40" i="213"/>
  <c r="C40" i="213"/>
  <c r="D41" i="212"/>
  <c r="D42" i="212" s="1"/>
  <c r="C41" i="212"/>
  <c r="C42" i="212" s="1"/>
  <c r="D40" i="212"/>
  <c r="C40" i="212"/>
  <c r="C41" i="211"/>
  <c r="C42" i="211" s="1"/>
  <c r="D40" i="211"/>
  <c r="C40" i="211"/>
  <c r="D41" i="221"/>
  <c r="C41" i="221"/>
  <c r="C42" i="221" s="1"/>
  <c r="D40" i="221"/>
  <c r="C40" i="221"/>
  <c r="D41" i="208"/>
  <c r="D42" i="208" s="1"/>
  <c r="C41" i="208"/>
  <c r="D40" i="208"/>
  <c r="C40" i="208"/>
  <c r="D41" i="207"/>
  <c r="D42" i="207" s="1"/>
  <c r="C41" i="207"/>
  <c r="D40" i="207"/>
  <c r="C40" i="207"/>
  <c r="C42" i="207" s="1"/>
  <c r="C44" i="207" s="1"/>
  <c r="C59" i="207" s="1"/>
  <c r="D41" i="206"/>
  <c r="C41" i="206"/>
  <c r="D40" i="206"/>
  <c r="C40" i="206"/>
  <c r="C42" i="206" s="1"/>
  <c r="D41" i="205"/>
  <c r="C41" i="205"/>
  <c r="C42" i="205" s="1"/>
  <c r="C44" i="205" s="1"/>
  <c r="D40" i="205"/>
  <c r="C40" i="205"/>
  <c r="D41" i="204"/>
  <c r="C41" i="204"/>
  <c r="D40" i="204"/>
  <c r="C40" i="204"/>
  <c r="D41" i="202"/>
  <c r="C41" i="202"/>
  <c r="C42" i="202"/>
  <c r="C44" i="202" s="1"/>
  <c r="D40" i="202"/>
  <c r="D42" i="202" s="1"/>
  <c r="C40" i="202"/>
  <c r="D41" i="252"/>
  <c r="C41" i="252"/>
  <c r="C42" i="252" s="1"/>
  <c r="D40" i="252"/>
  <c r="D42" i="252" s="1"/>
  <c r="C40" i="252"/>
  <c r="D41" i="251"/>
  <c r="C41" i="251"/>
  <c r="C42" i="251" s="1"/>
  <c r="D40" i="251"/>
  <c r="C40" i="251"/>
  <c r="D41" i="249"/>
  <c r="C41" i="249"/>
  <c r="C42" i="249" s="1"/>
  <c r="D40" i="249"/>
  <c r="D42" i="249" s="1"/>
  <c r="C40" i="249"/>
  <c r="D41" i="248"/>
  <c r="C41" i="248"/>
  <c r="C42" i="248" s="1"/>
  <c r="C43" i="248" s="1"/>
  <c r="B54" i="248" s="1"/>
  <c r="D40" i="248"/>
  <c r="C40" i="248"/>
  <c r="D41" i="247"/>
  <c r="C41" i="247"/>
  <c r="C42" i="247" s="1"/>
  <c r="D40" i="247"/>
  <c r="C40" i="247"/>
  <c r="D41" i="246"/>
  <c r="C41" i="246"/>
  <c r="D40" i="246"/>
  <c r="D42" i="246" s="1"/>
  <c r="C40" i="246"/>
  <c r="D41" i="245"/>
  <c r="C41" i="245"/>
  <c r="C42" i="245" s="1"/>
  <c r="D40" i="245"/>
  <c r="C40" i="245"/>
  <c r="D41" i="244"/>
  <c r="C41" i="244"/>
  <c r="C42" i="244" s="1"/>
  <c r="D40" i="244"/>
  <c r="C40" i="244"/>
  <c r="D40" i="243"/>
  <c r="C40" i="243"/>
  <c r="D41" i="242"/>
  <c r="C41" i="242"/>
  <c r="D40" i="242"/>
  <c r="C40" i="242"/>
  <c r="C42" i="242" s="1"/>
  <c r="I83" i="241"/>
  <c r="H83" i="241"/>
  <c r="I82" i="241"/>
  <c r="H82" i="241"/>
  <c r="I83" i="240"/>
  <c r="H83" i="240"/>
  <c r="I82" i="240"/>
  <c r="H82" i="240"/>
  <c r="D42" i="242"/>
  <c r="D42" i="243"/>
  <c r="D42" i="204"/>
  <c r="D42" i="206"/>
  <c r="D42" i="214"/>
  <c r="D42" i="216"/>
  <c r="D42" i="218"/>
  <c r="C42" i="220"/>
  <c r="C43" i="220" s="1"/>
  <c r="B54" i="220" s="1"/>
  <c r="F4" i="242"/>
  <c r="E4" i="242"/>
  <c r="C4" i="242"/>
  <c r="F4" i="243"/>
  <c r="E4" i="243"/>
  <c r="C4" i="243"/>
  <c r="F4" i="244"/>
  <c r="E4" i="244"/>
  <c r="C4" i="244"/>
  <c r="F4" i="245"/>
  <c r="E4" i="245"/>
  <c r="C4" i="245"/>
  <c r="F4" i="246"/>
  <c r="E4" i="246"/>
  <c r="C4" i="246"/>
  <c r="F4" i="247"/>
  <c r="E4" i="247"/>
  <c r="C4" i="247"/>
  <c r="F4" i="248"/>
  <c r="E4" i="248"/>
  <c r="C4" i="248"/>
  <c r="F4" i="249"/>
  <c r="E4" i="249"/>
  <c r="C4" i="249"/>
  <c r="F4" i="251"/>
  <c r="E4" i="251"/>
  <c r="C4" i="251"/>
  <c r="F4" i="252"/>
  <c r="E4" i="252"/>
  <c r="C4" i="252"/>
  <c r="F4" i="202"/>
  <c r="E4" i="202"/>
  <c r="C4" i="202"/>
  <c r="F4" i="204"/>
  <c r="E4" i="204"/>
  <c r="C4" i="204"/>
  <c r="F4" i="205"/>
  <c r="E4" i="205"/>
  <c r="C4" i="205"/>
  <c r="F4" i="206"/>
  <c r="E4" i="206"/>
  <c r="C4" i="206"/>
  <c r="F4" i="207"/>
  <c r="E4" i="207"/>
  <c r="C4" i="207"/>
  <c r="F4" i="208"/>
  <c r="E4" i="208"/>
  <c r="C4" i="208"/>
  <c r="F4" i="221"/>
  <c r="E4" i="221"/>
  <c r="C4" i="221"/>
  <c r="F4" i="211"/>
  <c r="E4" i="211"/>
  <c r="C4" i="211"/>
  <c r="F4" i="212"/>
  <c r="E4" i="212"/>
  <c r="C4" i="212"/>
  <c r="F4" i="213"/>
  <c r="E4" i="213"/>
  <c r="C4" i="213"/>
  <c r="F4" i="214"/>
  <c r="E4" i="214"/>
  <c r="C4" i="214"/>
  <c r="F4" i="215"/>
  <c r="E4" i="215"/>
  <c r="C4" i="215"/>
  <c r="F4" i="216"/>
  <c r="E4" i="216"/>
  <c r="C4" i="216"/>
  <c r="F4" i="217"/>
  <c r="E4" i="217"/>
  <c r="C4" i="217"/>
  <c r="F4" i="218"/>
  <c r="E4" i="218"/>
  <c r="C4" i="218"/>
  <c r="F4" i="219"/>
  <c r="E4" i="219"/>
  <c r="C4" i="219"/>
  <c r="F4" i="220"/>
  <c r="E4" i="220"/>
  <c r="C4" i="220"/>
  <c r="F4" i="201"/>
  <c r="E4" i="201"/>
  <c r="D4" i="201"/>
  <c r="C4" i="201"/>
  <c r="F4" i="224"/>
  <c r="E4" i="224"/>
  <c r="C4" i="224"/>
  <c r="F4" i="240"/>
  <c r="A4" i="241"/>
  <c r="B4" i="241"/>
  <c r="C4" i="241"/>
  <c r="D4" i="241"/>
  <c r="E4" i="241"/>
  <c r="F4" i="241"/>
  <c r="E4" i="240"/>
  <c r="D4" i="240"/>
  <c r="C4" i="240"/>
  <c r="C44" i="217"/>
  <c r="F37" i="132"/>
  <c r="F38" i="132"/>
  <c r="F39" i="132"/>
  <c r="D4" i="224"/>
  <c r="E37" i="132"/>
  <c r="E38" i="132"/>
  <c r="E39" i="132"/>
  <c r="H28" i="240"/>
  <c r="G9" i="132"/>
  <c r="AB58" i="132"/>
  <c r="AB57" i="132"/>
  <c r="AB56" i="132"/>
  <c r="AB55" i="132"/>
  <c r="AB54" i="132"/>
  <c r="AB53" i="132"/>
  <c r="AB52" i="132"/>
  <c r="AB51" i="132"/>
  <c r="AB50" i="132"/>
  <c r="AB49" i="132"/>
  <c r="AB48" i="132"/>
  <c r="AB47" i="132"/>
  <c r="AB46" i="132"/>
  <c r="AB45" i="132"/>
  <c r="AB44" i="132"/>
  <c r="AB43" i="132"/>
  <c r="C16" i="224"/>
  <c r="C14" i="224"/>
  <c r="C13" i="224"/>
  <c r="C12" i="224"/>
  <c r="C11" i="224"/>
  <c r="C10" i="224"/>
  <c r="F62" i="202"/>
  <c r="F62" i="204"/>
  <c r="F62" i="205"/>
  <c r="F62" i="206"/>
  <c r="F62" i="207"/>
  <c r="F62" i="208"/>
  <c r="F62" i="221"/>
  <c r="F62" i="211"/>
  <c r="F62" i="212"/>
  <c r="F62" i="213"/>
  <c r="F62" i="214"/>
  <c r="F62" i="215"/>
  <c r="F62" i="216"/>
  <c r="F62" i="217"/>
  <c r="F62" i="218"/>
  <c r="F62" i="219"/>
  <c r="F62" i="220"/>
  <c r="AB83" i="132"/>
  <c r="AB84" i="132"/>
  <c r="C15" i="242"/>
  <c r="AB85" i="132"/>
  <c r="AB86" i="132"/>
  <c r="C15" i="244"/>
  <c r="AB87" i="132"/>
  <c r="AB88" i="132"/>
  <c r="AB89" i="132"/>
  <c r="AB90" i="132"/>
  <c r="C15" i="248"/>
  <c r="AB91" i="132"/>
  <c r="AB92" i="132"/>
  <c r="C15" i="251"/>
  <c r="AB93" i="132"/>
  <c r="AB82" i="132"/>
  <c r="C15" i="240"/>
  <c r="AB28" i="132"/>
  <c r="AB29" i="132"/>
  <c r="AB30" i="132"/>
  <c r="AB31" i="132"/>
  <c r="AB32" i="132"/>
  <c r="AB33" i="132"/>
  <c r="AB34" i="132"/>
  <c r="AB35" i="132"/>
  <c r="AB36" i="132"/>
  <c r="AB37" i="132"/>
  <c r="AB38" i="132"/>
  <c r="AB39" i="132"/>
  <c r="AB40" i="132"/>
  <c r="AB41" i="132"/>
  <c r="AB42" i="132"/>
  <c r="AB27" i="132"/>
  <c r="C15" i="201"/>
  <c r="C16" i="240"/>
  <c r="C16" i="241"/>
  <c r="C16" i="242"/>
  <c r="C16" i="243"/>
  <c r="C16" i="244"/>
  <c r="C16" i="245"/>
  <c r="C16" i="246"/>
  <c r="C16" i="247"/>
  <c r="C16" i="248"/>
  <c r="C16" i="249"/>
  <c r="C16" i="251"/>
  <c r="C16" i="252"/>
  <c r="C14" i="240"/>
  <c r="C13" i="240"/>
  <c r="C12" i="240"/>
  <c r="C60" i="240" s="1"/>
  <c r="C11" i="240"/>
  <c r="C10" i="240"/>
  <c r="C15" i="241"/>
  <c r="C14" i="241"/>
  <c r="C13" i="241"/>
  <c r="C12" i="241"/>
  <c r="C11" i="241"/>
  <c r="C75" i="241" s="1"/>
  <c r="C76" i="241" s="1"/>
  <c r="C10" i="241"/>
  <c r="C14" i="242"/>
  <c r="C13" i="242"/>
  <c r="C12" i="242"/>
  <c r="C60" i="242" s="1"/>
  <c r="C62" i="242" s="1"/>
  <c r="C11" i="242"/>
  <c r="C75" i="242" s="1"/>
  <c r="C76" i="242" s="1"/>
  <c r="C10" i="242"/>
  <c r="C15" i="243"/>
  <c r="C14" i="243"/>
  <c r="C65" i="243" s="1"/>
  <c r="C13" i="243"/>
  <c r="C12" i="243"/>
  <c r="C11" i="243"/>
  <c r="C10" i="243"/>
  <c r="C14" i="244"/>
  <c r="C13" i="244"/>
  <c r="C12" i="244"/>
  <c r="C11" i="244"/>
  <c r="D54" i="244" s="1"/>
  <c r="C10" i="244"/>
  <c r="C15" i="245"/>
  <c r="C14" i="245"/>
  <c r="C13" i="245"/>
  <c r="C12" i="245"/>
  <c r="C60" i="245" s="1"/>
  <c r="C11" i="245"/>
  <c r="C10" i="245"/>
  <c r="C15" i="246"/>
  <c r="C14" i="246"/>
  <c r="C13" i="246"/>
  <c r="C12" i="246"/>
  <c r="C11" i="246"/>
  <c r="C75" i="246" s="1"/>
  <c r="C76" i="246" s="1"/>
  <c r="C10" i="246"/>
  <c r="B75" i="246" s="1"/>
  <c r="B76" i="246" s="1"/>
  <c r="C15" i="247"/>
  <c r="C14" i="247"/>
  <c r="C13" i="247"/>
  <c r="C12" i="247"/>
  <c r="C11" i="247"/>
  <c r="C10" i="247"/>
  <c r="C14" i="248"/>
  <c r="C65" i="248" s="1"/>
  <c r="C13" i="248"/>
  <c r="C12" i="248"/>
  <c r="C11" i="248"/>
  <c r="C10" i="248"/>
  <c r="D54" i="248" s="1"/>
  <c r="C14" i="249"/>
  <c r="C13" i="249"/>
  <c r="C12" i="249"/>
  <c r="C11" i="249"/>
  <c r="C75" i="249" s="1"/>
  <c r="C76" i="249" s="1"/>
  <c r="C10" i="249"/>
  <c r="C14" i="251"/>
  <c r="C13" i="251"/>
  <c r="C12" i="251"/>
  <c r="C60" i="251" s="1"/>
  <c r="C62" i="251" s="1"/>
  <c r="C11" i="251"/>
  <c r="D54" i="251" s="1"/>
  <c r="C10" i="251"/>
  <c r="C15" i="252"/>
  <c r="C14" i="252"/>
  <c r="C65" i="252" s="1"/>
  <c r="C13" i="252"/>
  <c r="C12" i="252"/>
  <c r="C11" i="252"/>
  <c r="C10" i="252"/>
  <c r="C61" i="205"/>
  <c r="F65" i="240"/>
  <c r="F64" i="240"/>
  <c r="F63" i="240"/>
  <c r="F61" i="240"/>
  <c r="F60" i="240"/>
  <c r="F65" i="241"/>
  <c r="F64" i="241"/>
  <c r="F63" i="241"/>
  <c r="F61" i="241"/>
  <c r="F60" i="241"/>
  <c r="F65" i="242"/>
  <c r="F64" i="242"/>
  <c r="F63" i="242"/>
  <c r="F61" i="242"/>
  <c r="F60" i="242"/>
  <c r="F65" i="243"/>
  <c r="F64" i="243"/>
  <c r="F63" i="243"/>
  <c r="F61" i="243"/>
  <c r="F60" i="243"/>
  <c r="F65" i="244"/>
  <c r="F64" i="244"/>
  <c r="F63" i="244"/>
  <c r="F61" i="244"/>
  <c r="F60" i="244"/>
  <c r="F65" i="245"/>
  <c r="F64" i="245"/>
  <c r="F63" i="245"/>
  <c r="F61" i="245"/>
  <c r="F60" i="245"/>
  <c r="F65" i="246"/>
  <c r="F64" i="246"/>
  <c r="F63" i="246"/>
  <c r="F61" i="246"/>
  <c r="F60" i="246"/>
  <c r="F65" i="247"/>
  <c r="F64" i="247"/>
  <c r="F63" i="247"/>
  <c r="F61" i="247"/>
  <c r="F60" i="247"/>
  <c r="F65" i="248"/>
  <c r="F64" i="248"/>
  <c r="F63" i="248"/>
  <c r="F61" i="248"/>
  <c r="F60" i="248"/>
  <c r="F65" i="249"/>
  <c r="F64" i="249"/>
  <c r="F63" i="249"/>
  <c r="F61" i="249"/>
  <c r="F60" i="249"/>
  <c r="F65" i="251"/>
  <c r="F64" i="251"/>
  <c r="F63" i="251"/>
  <c r="F61" i="251"/>
  <c r="F60" i="251"/>
  <c r="F65" i="252"/>
  <c r="F64" i="252"/>
  <c r="F63" i="252"/>
  <c r="F61" i="252"/>
  <c r="F60" i="252"/>
  <c r="F65" i="202"/>
  <c r="F64" i="202"/>
  <c r="F63" i="202"/>
  <c r="F61" i="202"/>
  <c r="F60" i="202"/>
  <c r="F65" i="204"/>
  <c r="F64" i="204"/>
  <c r="F63" i="204"/>
  <c r="F61" i="204"/>
  <c r="F60" i="204"/>
  <c r="F65" i="205"/>
  <c r="F64" i="205"/>
  <c r="F63" i="205"/>
  <c r="F61" i="205"/>
  <c r="F60" i="205"/>
  <c r="F65" i="206"/>
  <c r="F64" i="206"/>
  <c r="F63" i="206"/>
  <c r="F61" i="206"/>
  <c r="F60" i="206"/>
  <c r="F65" i="207"/>
  <c r="F64" i="207"/>
  <c r="F63" i="207"/>
  <c r="F61" i="207"/>
  <c r="F60" i="207"/>
  <c r="F65" i="208"/>
  <c r="F64" i="208"/>
  <c r="F63" i="208"/>
  <c r="F61" i="208"/>
  <c r="F60" i="208"/>
  <c r="F65" i="221"/>
  <c r="F64" i="221"/>
  <c r="F63" i="221"/>
  <c r="F61" i="221"/>
  <c r="F60" i="221"/>
  <c r="F65" i="211"/>
  <c r="F64" i="211"/>
  <c r="F63" i="211"/>
  <c r="F61" i="211"/>
  <c r="F60" i="211"/>
  <c r="F65" i="212"/>
  <c r="F64" i="212"/>
  <c r="F63" i="212"/>
  <c r="F61" i="212"/>
  <c r="F60" i="212"/>
  <c r="F65" i="213"/>
  <c r="F64" i="213"/>
  <c r="F63" i="213"/>
  <c r="F61" i="213"/>
  <c r="F60" i="213"/>
  <c r="F65" i="214"/>
  <c r="F64" i="214"/>
  <c r="F63" i="214"/>
  <c r="F61" i="214"/>
  <c r="F60" i="214"/>
  <c r="F65" i="215"/>
  <c r="F64" i="215"/>
  <c r="F63" i="215"/>
  <c r="F61" i="215"/>
  <c r="F60" i="215"/>
  <c r="F65" i="216"/>
  <c r="F64" i="216"/>
  <c r="F63" i="216"/>
  <c r="F61" i="216"/>
  <c r="F60" i="216"/>
  <c r="F65" i="217"/>
  <c r="F64" i="217"/>
  <c r="F63" i="217"/>
  <c r="F61" i="217"/>
  <c r="F60" i="217"/>
  <c r="F65" i="218"/>
  <c r="F64" i="218"/>
  <c r="F63" i="218"/>
  <c r="F61" i="218"/>
  <c r="F60" i="218"/>
  <c r="F65" i="219"/>
  <c r="F64" i="219"/>
  <c r="F63" i="219"/>
  <c r="F61" i="219"/>
  <c r="F60" i="219"/>
  <c r="F65" i="220"/>
  <c r="F64" i="220"/>
  <c r="F63" i="220"/>
  <c r="F61" i="220"/>
  <c r="F60" i="220"/>
  <c r="F61" i="201"/>
  <c r="F60" i="201"/>
  <c r="F63" i="201"/>
  <c r="F64" i="201"/>
  <c r="F65" i="201"/>
  <c r="F62" i="201"/>
  <c r="X9" i="132"/>
  <c r="X10" i="132"/>
  <c r="X11" i="132"/>
  <c r="X12" i="132"/>
  <c r="X13" i="132"/>
  <c r="X14" i="132"/>
  <c r="X15" i="132"/>
  <c r="X16" i="132"/>
  <c r="X17" i="132"/>
  <c r="X18" i="132"/>
  <c r="X19" i="132"/>
  <c r="X20" i="132"/>
  <c r="X21" i="132"/>
  <c r="X22" i="132"/>
  <c r="X23" i="132"/>
  <c r="X24" i="132"/>
  <c r="X25" i="132"/>
  <c r="C61" i="220"/>
  <c r="X26" i="132"/>
  <c r="C61" i="224"/>
  <c r="X27" i="132"/>
  <c r="C61" i="202"/>
  <c r="X28" i="132"/>
  <c r="C61" i="204"/>
  <c r="X29" i="132"/>
  <c r="X30" i="132"/>
  <c r="C61" i="206"/>
  <c r="X31" i="132"/>
  <c r="C61" i="207"/>
  <c r="X32" i="132"/>
  <c r="C61" i="208"/>
  <c r="X33" i="132"/>
  <c r="X34" i="132"/>
  <c r="C61" i="211"/>
  <c r="X35" i="132"/>
  <c r="C61" i="212"/>
  <c r="X36" i="132"/>
  <c r="C61" i="213"/>
  <c r="X37" i="132"/>
  <c r="X38" i="132"/>
  <c r="C61" i="215"/>
  <c r="X39" i="132"/>
  <c r="C61" i="216"/>
  <c r="X40" i="132"/>
  <c r="C61" i="217"/>
  <c r="X41" i="132"/>
  <c r="X42" i="132"/>
  <c r="C61" i="219"/>
  <c r="X43" i="132"/>
  <c r="X44" i="132"/>
  <c r="X45" i="132"/>
  <c r="X46" i="132"/>
  <c r="X47" i="132"/>
  <c r="X48" i="132"/>
  <c r="X49" i="132"/>
  <c r="X50" i="132"/>
  <c r="X51" i="132"/>
  <c r="X52" i="132"/>
  <c r="X53" i="132"/>
  <c r="X54" i="132"/>
  <c r="X55" i="132"/>
  <c r="X56" i="132"/>
  <c r="X57" i="132"/>
  <c r="X58" i="132"/>
  <c r="X59" i="132"/>
  <c r="X60" i="132"/>
  <c r="X61" i="132"/>
  <c r="X62" i="132"/>
  <c r="X63" i="132"/>
  <c r="X64" i="132"/>
  <c r="X65" i="132"/>
  <c r="X66" i="132"/>
  <c r="X67" i="132"/>
  <c r="X68" i="132"/>
  <c r="X69" i="132"/>
  <c r="X70" i="132"/>
  <c r="X71" i="132"/>
  <c r="X72" i="132"/>
  <c r="X73" i="132"/>
  <c r="X74" i="132"/>
  <c r="X75" i="132"/>
  <c r="X76" i="132"/>
  <c r="X77" i="132"/>
  <c r="X78" i="132"/>
  <c r="X79" i="132"/>
  <c r="X80" i="132"/>
  <c r="X81" i="132"/>
  <c r="X82" i="132"/>
  <c r="C61" i="240"/>
  <c r="X83" i="132"/>
  <c r="C61" i="241"/>
  <c r="X84" i="132"/>
  <c r="C61" i="242"/>
  <c r="X85" i="132"/>
  <c r="C61" i="243"/>
  <c r="X86" i="132"/>
  <c r="C61" i="244"/>
  <c r="X87" i="132"/>
  <c r="X88" i="132"/>
  <c r="C61" i="246"/>
  <c r="X89" i="132"/>
  <c r="C61" i="247"/>
  <c r="X90" i="132"/>
  <c r="C61" i="248"/>
  <c r="X91" i="132"/>
  <c r="X92" i="132"/>
  <c r="C61" i="249"/>
  <c r="X93" i="132"/>
  <c r="C61" i="252"/>
  <c r="X94" i="132"/>
  <c r="X95" i="132"/>
  <c r="X96" i="132"/>
  <c r="X97" i="132"/>
  <c r="X98" i="132"/>
  <c r="X99" i="132"/>
  <c r="X100" i="132"/>
  <c r="X101" i="132"/>
  <c r="X102" i="132"/>
  <c r="X103" i="132"/>
  <c r="X104" i="132"/>
  <c r="X105" i="132"/>
  <c r="X8" i="132"/>
  <c r="C14" i="201"/>
  <c r="C13" i="201"/>
  <c r="C11" i="201"/>
  <c r="C10" i="201"/>
  <c r="C16" i="201"/>
  <c r="C12" i="201"/>
  <c r="AB95" i="132"/>
  <c r="AB94" i="132"/>
  <c r="AB81" i="132"/>
  <c r="AB80" i="132"/>
  <c r="AB79" i="132"/>
  <c r="AB78" i="132"/>
  <c r="AB77" i="132"/>
  <c r="AB76" i="132"/>
  <c r="AB75" i="132"/>
  <c r="AB74" i="132"/>
  <c r="AB73" i="132"/>
  <c r="AB72" i="132"/>
  <c r="AB71" i="132"/>
  <c r="AB70" i="132"/>
  <c r="AB69" i="132"/>
  <c r="AB68" i="132"/>
  <c r="AB67" i="132"/>
  <c r="AB66" i="132"/>
  <c r="AB24" i="132"/>
  <c r="AB23" i="132"/>
  <c r="AB22" i="132"/>
  <c r="AB21" i="132"/>
  <c r="AB20" i="132"/>
  <c r="AB19" i="132"/>
  <c r="AB18" i="132"/>
  <c r="AB17" i="132"/>
  <c r="AB16" i="132"/>
  <c r="AB15" i="132"/>
  <c r="AB14" i="132"/>
  <c r="AB13" i="132"/>
  <c r="AB12" i="132"/>
  <c r="AB11" i="132"/>
  <c r="AB10" i="132"/>
  <c r="AB9" i="132"/>
  <c r="AB8" i="132"/>
  <c r="AB26" i="132"/>
  <c r="C15" i="224"/>
  <c r="C61" i="245"/>
  <c r="C15" i="249"/>
  <c r="C61" i="251"/>
  <c r="C61" i="201"/>
  <c r="C61" i="218"/>
  <c r="C61" i="214"/>
  <c r="C61" i="221"/>
  <c r="AB65" i="132"/>
  <c r="AB64" i="132"/>
  <c r="AB63" i="132"/>
  <c r="AB62" i="132"/>
  <c r="AB61" i="132"/>
  <c r="AB60" i="132"/>
  <c r="AB59" i="132"/>
  <c r="AB25" i="132"/>
  <c r="F67" i="240"/>
  <c r="F66" i="240"/>
  <c r="F67" i="241"/>
  <c r="F66" i="241"/>
  <c r="F67" i="242"/>
  <c r="F66" i="242"/>
  <c r="F67" i="243"/>
  <c r="F66" i="243"/>
  <c r="F67" i="244"/>
  <c r="F66" i="244"/>
  <c r="F67" i="245"/>
  <c r="F66" i="245"/>
  <c r="F67" i="246"/>
  <c r="F66" i="246"/>
  <c r="F67" i="247"/>
  <c r="F66" i="247"/>
  <c r="F67" i="248"/>
  <c r="F66" i="248"/>
  <c r="F67" i="249"/>
  <c r="F66" i="249"/>
  <c r="F67" i="251"/>
  <c r="F66" i="251"/>
  <c r="F67" i="252"/>
  <c r="F66" i="252"/>
  <c r="F67" i="202"/>
  <c r="F66" i="202"/>
  <c r="F67" i="204"/>
  <c r="F66" i="204"/>
  <c r="F67" i="205"/>
  <c r="F66" i="205"/>
  <c r="F67" i="206"/>
  <c r="F66" i="206"/>
  <c r="F67" i="207"/>
  <c r="F66" i="207"/>
  <c r="F67" i="208"/>
  <c r="F66" i="208"/>
  <c r="F67" i="221"/>
  <c r="F66" i="221"/>
  <c r="F67" i="211"/>
  <c r="F66" i="211"/>
  <c r="F67" i="212"/>
  <c r="F66" i="212"/>
  <c r="F67" i="213"/>
  <c r="F66" i="213"/>
  <c r="F67" i="214"/>
  <c r="F66" i="214"/>
  <c r="F67" i="215"/>
  <c r="F66" i="215"/>
  <c r="F67" i="216"/>
  <c r="F66" i="216"/>
  <c r="F67" i="217"/>
  <c r="F66" i="217"/>
  <c r="F67" i="218"/>
  <c r="F66" i="218"/>
  <c r="F67" i="219"/>
  <c r="F66" i="219"/>
  <c r="F67" i="220"/>
  <c r="F66" i="220"/>
  <c r="F67" i="224"/>
  <c r="F66" i="224"/>
  <c r="F67" i="201"/>
  <c r="F66" i="201"/>
  <c r="L202" i="132"/>
  <c r="L203" i="132"/>
  <c r="L204" i="132"/>
  <c r="L205" i="132"/>
  <c r="L206" i="132"/>
  <c r="F59" i="217"/>
  <c r="D41" i="240"/>
  <c r="D42" i="240" s="1"/>
  <c r="D40" i="240"/>
  <c r="C41" i="240"/>
  <c r="C40" i="240"/>
  <c r="D9" i="240"/>
  <c r="D8" i="240"/>
  <c r="D7" i="240"/>
  <c r="B9" i="240"/>
  <c r="B8" i="240"/>
  <c r="B7" i="240"/>
  <c r="F59" i="224"/>
  <c r="C42" i="240"/>
  <c r="C43" i="240" s="1"/>
  <c r="B54" i="240" s="1"/>
  <c r="D9" i="224"/>
  <c r="B9" i="224"/>
  <c r="B8" i="224"/>
  <c r="D8" i="224"/>
  <c r="D7" i="224"/>
  <c r="B7" i="201"/>
  <c r="C68" i="201"/>
  <c r="M206" i="132"/>
  <c r="M205" i="132"/>
  <c r="M204" i="132"/>
  <c r="M203" i="132"/>
  <c r="M202" i="132"/>
  <c r="K206" i="132"/>
  <c r="J206" i="132"/>
  <c r="K205" i="132"/>
  <c r="J205" i="132"/>
  <c r="K204" i="132"/>
  <c r="J204" i="132"/>
  <c r="K203" i="132"/>
  <c r="J203" i="132"/>
  <c r="K202" i="132"/>
  <c r="J202" i="132"/>
  <c r="I203" i="132"/>
  <c r="I204" i="132"/>
  <c r="C68" i="204"/>
  <c r="C68" i="205"/>
  <c r="C68" i="206"/>
  <c r="C68" i="207"/>
  <c r="C68" i="208"/>
  <c r="C68" i="221"/>
  <c r="C68" i="211"/>
  <c r="C68" i="212"/>
  <c r="C68" i="202"/>
  <c r="C68" i="241"/>
  <c r="C68" i="242"/>
  <c r="C68" i="243"/>
  <c r="C68" i="244"/>
  <c r="C68" i="245"/>
  <c r="C68" i="246"/>
  <c r="C68" i="247"/>
  <c r="C68" i="248"/>
  <c r="C68" i="249"/>
  <c r="C68" i="251"/>
  <c r="C68" i="252"/>
  <c r="C68" i="240"/>
  <c r="C20" i="132"/>
  <c r="C68" i="213"/>
  <c r="C68" i="214"/>
  <c r="C68" i="215"/>
  <c r="C68" i="216"/>
  <c r="C68" i="217"/>
  <c r="C68" i="218"/>
  <c r="C68" i="219"/>
  <c r="C68" i="220"/>
  <c r="C68" i="224"/>
  <c r="H50" i="132"/>
  <c r="I50" i="132"/>
  <c r="H51" i="132"/>
  <c r="I51" i="132"/>
  <c r="H52" i="132"/>
  <c r="I52" i="132"/>
  <c r="H53" i="132"/>
  <c r="I53" i="132"/>
  <c r="H54" i="132"/>
  <c r="I54" i="132"/>
  <c r="H55" i="132"/>
  <c r="I55" i="132"/>
  <c r="H56" i="132"/>
  <c r="I56" i="132"/>
  <c r="H57" i="132"/>
  <c r="I57" i="132"/>
  <c r="H58" i="132"/>
  <c r="I58" i="132"/>
  <c r="H59" i="132"/>
  <c r="I59" i="132"/>
  <c r="C50" i="132"/>
  <c r="D50" i="132"/>
  <c r="E50" i="132"/>
  <c r="C51" i="132"/>
  <c r="D51" i="132"/>
  <c r="E51" i="132"/>
  <c r="C52" i="132"/>
  <c r="D52" i="132"/>
  <c r="E52" i="132"/>
  <c r="C53" i="132"/>
  <c r="D53" i="132"/>
  <c r="E53" i="132"/>
  <c r="C54" i="132"/>
  <c r="D54" i="132"/>
  <c r="E54" i="132"/>
  <c r="C55" i="132"/>
  <c r="D55" i="132"/>
  <c r="E55" i="132"/>
  <c r="C56" i="132"/>
  <c r="D56" i="132"/>
  <c r="E56" i="132"/>
  <c r="C57" i="132"/>
  <c r="D57" i="132"/>
  <c r="E57" i="132"/>
  <c r="C58" i="132"/>
  <c r="D58" i="132"/>
  <c r="E58" i="132"/>
  <c r="C59" i="132"/>
  <c r="D59" i="132"/>
  <c r="E59" i="132"/>
  <c r="I49" i="132"/>
  <c r="H49" i="132"/>
  <c r="E49" i="132"/>
  <c r="D49" i="132"/>
  <c r="C49" i="132"/>
  <c r="C9" i="132"/>
  <c r="D9" i="132"/>
  <c r="E9" i="132"/>
  <c r="F9" i="132"/>
  <c r="C10" i="132"/>
  <c r="D10" i="132"/>
  <c r="E10" i="132"/>
  <c r="F10" i="132"/>
  <c r="D4" i="242"/>
  <c r="G10" i="132"/>
  <c r="C11" i="132"/>
  <c r="D11" i="132"/>
  <c r="E11" i="132"/>
  <c r="F11" i="132"/>
  <c r="D4" i="243"/>
  <c r="G11" i="132"/>
  <c r="C12" i="132"/>
  <c r="D12" i="132"/>
  <c r="E12" i="132"/>
  <c r="F12" i="132"/>
  <c r="D4" i="244"/>
  <c r="G12" i="132"/>
  <c r="C13" i="132"/>
  <c r="D13" i="132"/>
  <c r="E13" i="132"/>
  <c r="F13" i="132"/>
  <c r="D4" i="245"/>
  <c r="G13" i="132"/>
  <c r="C14" i="132"/>
  <c r="D14" i="132"/>
  <c r="E14" i="132"/>
  <c r="F14" i="132"/>
  <c r="D4" i="246"/>
  <c r="G14" i="132"/>
  <c r="C15" i="132"/>
  <c r="D15" i="132"/>
  <c r="E15" i="132"/>
  <c r="F15" i="132"/>
  <c r="D4" i="247"/>
  <c r="G15" i="132"/>
  <c r="C16" i="132"/>
  <c r="D16" i="132"/>
  <c r="E16" i="132"/>
  <c r="F16" i="132"/>
  <c r="D4" i="248"/>
  <c r="G16" i="132"/>
  <c r="C17" i="132"/>
  <c r="D17" i="132"/>
  <c r="E17" i="132"/>
  <c r="F17" i="132"/>
  <c r="G17" i="132"/>
  <c r="C18" i="132"/>
  <c r="D18" i="132"/>
  <c r="E18" i="132"/>
  <c r="F18" i="132"/>
  <c r="G18" i="132"/>
  <c r="C19" i="132"/>
  <c r="D19" i="132"/>
  <c r="E19" i="132"/>
  <c r="F19" i="132"/>
  <c r="D4" i="252"/>
  <c r="G19" i="132"/>
  <c r="D4" i="251"/>
  <c r="D4" i="249"/>
  <c r="F59" i="252"/>
  <c r="E49" i="252"/>
  <c r="D49" i="252"/>
  <c r="C49" i="252"/>
  <c r="H28" i="252"/>
  <c r="J15" i="252"/>
  <c r="G15" i="252"/>
  <c r="C67" i="252" s="1"/>
  <c r="I14" i="252"/>
  <c r="G14" i="252"/>
  <c r="C75" i="252"/>
  <c r="C76" i="252" s="1"/>
  <c r="D9" i="252"/>
  <c r="B9" i="252"/>
  <c r="D8" i="252"/>
  <c r="B8" i="252"/>
  <c r="D7" i="252"/>
  <c r="B7" i="252"/>
  <c r="J6" i="252"/>
  <c r="F59" i="251"/>
  <c r="E49" i="251"/>
  <c r="D49" i="251"/>
  <c r="C49" i="251"/>
  <c r="H28" i="251"/>
  <c r="J15" i="251"/>
  <c r="G15" i="251"/>
  <c r="C67" i="251" s="1"/>
  <c r="I14" i="251"/>
  <c r="G14" i="251"/>
  <c r="C65" i="251"/>
  <c r="C75" i="251"/>
  <c r="C76" i="251" s="1"/>
  <c r="D9" i="251"/>
  <c r="B9" i="251"/>
  <c r="D8" i="251"/>
  <c r="B8" i="251"/>
  <c r="D7" i="251"/>
  <c r="B7" i="251"/>
  <c r="J6" i="251"/>
  <c r="F59" i="249"/>
  <c r="E49" i="249"/>
  <c r="D49" i="249"/>
  <c r="C49" i="249"/>
  <c r="H28" i="249"/>
  <c r="J15" i="249"/>
  <c r="G15" i="249"/>
  <c r="C67" i="249" s="1"/>
  <c r="I14" i="249"/>
  <c r="G14" i="249"/>
  <c r="C65" i="249"/>
  <c r="D9" i="249"/>
  <c r="B9" i="249"/>
  <c r="D8" i="249"/>
  <c r="B8" i="249"/>
  <c r="D7" i="249"/>
  <c r="B7" i="249"/>
  <c r="J6" i="249"/>
  <c r="F59" i="248"/>
  <c r="E49" i="248"/>
  <c r="D49" i="248"/>
  <c r="D50" i="248" s="1"/>
  <c r="C49" i="248"/>
  <c r="H28" i="248"/>
  <c r="J15" i="248"/>
  <c r="G15" i="248"/>
  <c r="C67" i="248" s="1"/>
  <c r="I14" i="248"/>
  <c r="G14" i="248"/>
  <c r="C75" i="248"/>
  <c r="C76" i="248" s="1"/>
  <c r="D9" i="248"/>
  <c r="B9" i="248"/>
  <c r="D8" i="248"/>
  <c r="B8" i="248"/>
  <c r="D7" i="248"/>
  <c r="B7" i="248"/>
  <c r="J6" i="248"/>
  <c r="F59" i="247"/>
  <c r="E49" i="247"/>
  <c r="D49" i="247"/>
  <c r="C49" i="247"/>
  <c r="H28" i="247"/>
  <c r="J15" i="247"/>
  <c r="G15" i="247"/>
  <c r="C67" i="247" s="1"/>
  <c r="I14" i="247"/>
  <c r="G14" i="247"/>
  <c r="C65" i="247"/>
  <c r="C75" i="247"/>
  <c r="C76" i="247"/>
  <c r="D9" i="247"/>
  <c r="B9" i="247"/>
  <c r="D8" i="247"/>
  <c r="B8" i="247"/>
  <c r="D7" i="247"/>
  <c r="B7" i="247"/>
  <c r="J6" i="247"/>
  <c r="F59" i="246"/>
  <c r="E49" i="246"/>
  <c r="D49" i="246"/>
  <c r="C49" i="246"/>
  <c r="H28" i="246"/>
  <c r="J15" i="246"/>
  <c r="G15" i="246"/>
  <c r="C67" i="246" s="1"/>
  <c r="I14" i="246"/>
  <c r="G14" i="246"/>
  <c r="C65" i="246"/>
  <c r="D9" i="246"/>
  <c r="B9" i="246"/>
  <c r="D8" i="246"/>
  <c r="B8" i="246"/>
  <c r="D7" i="246"/>
  <c r="B7" i="246"/>
  <c r="J6" i="246"/>
  <c r="F59" i="245"/>
  <c r="E49" i="245"/>
  <c r="D49" i="245"/>
  <c r="C49" i="245"/>
  <c r="H28" i="245"/>
  <c r="J15" i="245"/>
  <c r="G15" i="245"/>
  <c r="C67" i="245" s="1"/>
  <c r="I14" i="245"/>
  <c r="G14" i="245"/>
  <c r="C65" i="245"/>
  <c r="C75" i="245"/>
  <c r="C76" i="245" s="1"/>
  <c r="D9" i="245"/>
  <c r="B9" i="245"/>
  <c r="D8" i="245"/>
  <c r="B8" i="245"/>
  <c r="D7" i="245"/>
  <c r="B7" i="245"/>
  <c r="J6" i="245"/>
  <c r="F59" i="244"/>
  <c r="E49" i="244"/>
  <c r="D49" i="244"/>
  <c r="D50" i="244" s="1"/>
  <c r="C49" i="244"/>
  <c r="H28" i="244"/>
  <c r="J15" i="244"/>
  <c r="G15" i="244"/>
  <c r="C67" i="244" s="1"/>
  <c r="I14" i="244"/>
  <c r="G14" i="244"/>
  <c r="C65" i="244"/>
  <c r="C75" i="244"/>
  <c r="C76" i="244" s="1"/>
  <c r="D9" i="244"/>
  <c r="B9" i="244"/>
  <c r="D8" i="244"/>
  <c r="B8" i="244"/>
  <c r="D7" i="244"/>
  <c r="B7" i="244"/>
  <c r="J6" i="244"/>
  <c r="F59" i="243"/>
  <c r="E49" i="243"/>
  <c r="D49" i="243"/>
  <c r="C49" i="243"/>
  <c r="H28" i="243"/>
  <c r="J15" i="243"/>
  <c r="G15" i="243"/>
  <c r="C67" i="243" s="1"/>
  <c r="I14" i="243"/>
  <c r="G14" i="243"/>
  <c r="C75" i="243"/>
  <c r="C76" i="243"/>
  <c r="D9" i="243"/>
  <c r="B9" i="243"/>
  <c r="D8" i="243"/>
  <c r="B8" i="243"/>
  <c r="D7" i="243"/>
  <c r="B7" i="243"/>
  <c r="J6" i="243"/>
  <c r="F59" i="242"/>
  <c r="E49" i="242"/>
  <c r="D49" i="242"/>
  <c r="C49" i="242"/>
  <c r="H28" i="242"/>
  <c r="J15" i="242"/>
  <c r="G15" i="242"/>
  <c r="C67" i="242" s="1"/>
  <c r="I14" i="242"/>
  <c r="G14" i="242"/>
  <c r="C65" i="242"/>
  <c r="D9" i="242"/>
  <c r="B9" i="242"/>
  <c r="D8" i="242"/>
  <c r="B8" i="242"/>
  <c r="D7" i="242"/>
  <c r="B7" i="242"/>
  <c r="J6" i="242"/>
  <c r="F59" i="241"/>
  <c r="E49" i="241"/>
  <c r="D49" i="241"/>
  <c r="C49" i="241"/>
  <c r="D41" i="241"/>
  <c r="C41" i="241"/>
  <c r="D40" i="241"/>
  <c r="C40" i="241"/>
  <c r="C42" i="241" s="1"/>
  <c r="C44" i="241" s="1"/>
  <c r="C59" i="241" s="1"/>
  <c r="H28" i="241"/>
  <c r="J15" i="241"/>
  <c r="G15" i="241"/>
  <c r="C67" i="241" s="1"/>
  <c r="I14" i="241"/>
  <c r="G14" i="241"/>
  <c r="C65" i="241"/>
  <c r="C60" i="241"/>
  <c r="D9" i="241"/>
  <c r="B9" i="241"/>
  <c r="D8" i="241"/>
  <c r="B8" i="241"/>
  <c r="D7" i="241"/>
  <c r="B7" i="241"/>
  <c r="J6" i="241"/>
  <c r="F59" i="240"/>
  <c r="E49" i="240"/>
  <c r="D49" i="240"/>
  <c r="C49" i="240"/>
  <c r="J15" i="240"/>
  <c r="G15" i="240"/>
  <c r="C67" i="240" s="1"/>
  <c r="I14" i="240"/>
  <c r="G14" i="240"/>
  <c r="C65" i="240"/>
  <c r="J6" i="240"/>
  <c r="H9" i="240" s="1"/>
  <c r="B4" i="240"/>
  <c r="A4" i="240"/>
  <c r="J75" i="132"/>
  <c r="C60" i="132"/>
  <c r="D60" i="132"/>
  <c r="E60" i="132"/>
  <c r="H60" i="132"/>
  <c r="I60" i="132"/>
  <c r="C61" i="132"/>
  <c r="D61" i="132"/>
  <c r="E61" i="132"/>
  <c r="H61" i="132"/>
  <c r="I61" i="132"/>
  <c r="C62" i="132"/>
  <c r="D62" i="132"/>
  <c r="E62" i="132"/>
  <c r="H62" i="132"/>
  <c r="I62" i="132"/>
  <c r="C63" i="132"/>
  <c r="D63" i="132"/>
  <c r="E63" i="132"/>
  <c r="H63" i="132"/>
  <c r="I63" i="132"/>
  <c r="C64" i="132"/>
  <c r="D64" i="132"/>
  <c r="E64" i="132"/>
  <c r="H64" i="132"/>
  <c r="I64" i="132"/>
  <c r="C65" i="132"/>
  <c r="D65" i="132"/>
  <c r="E65" i="132"/>
  <c r="H65" i="132"/>
  <c r="I65" i="132"/>
  <c r="C66" i="132"/>
  <c r="D66" i="132"/>
  <c r="E66" i="132"/>
  <c r="H66" i="132"/>
  <c r="I66" i="132"/>
  <c r="C67" i="132"/>
  <c r="D67" i="132"/>
  <c r="E67" i="132"/>
  <c r="H67" i="132"/>
  <c r="I67" i="132"/>
  <c r="C68" i="132"/>
  <c r="D68" i="132"/>
  <c r="E68" i="132"/>
  <c r="H68" i="132"/>
  <c r="I68" i="132"/>
  <c r="C69" i="132"/>
  <c r="D69" i="132"/>
  <c r="E69" i="132"/>
  <c r="H69" i="132"/>
  <c r="I69" i="132"/>
  <c r="C70" i="132"/>
  <c r="D70" i="132"/>
  <c r="E70" i="132"/>
  <c r="H70" i="132"/>
  <c r="I70" i="132"/>
  <c r="C71" i="132"/>
  <c r="D71" i="132"/>
  <c r="E71" i="132"/>
  <c r="H71" i="132"/>
  <c r="I71" i="132"/>
  <c r="C72" i="132"/>
  <c r="D72" i="132"/>
  <c r="E72" i="132"/>
  <c r="H72" i="132"/>
  <c r="I72" i="132"/>
  <c r="C73" i="132"/>
  <c r="D73" i="132"/>
  <c r="E73" i="132"/>
  <c r="H73" i="132"/>
  <c r="I73" i="132"/>
  <c r="C74" i="132"/>
  <c r="D74" i="132"/>
  <c r="E74" i="132"/>
  <c r="H74" i="132"/>
  <c r="I74" i="132"/>
  <c r="C75" i="132"/>
  <c r="D75" i="132"/>
  <c r="E75" i="132"/>
  <c r="H75" i="132"/>
  <c r="I75" i="132"/>
  <c r="C76" i="132"/>
  <c r="D76" i="132"/>
  <c r="E76" i="132"/>
  <c r="H76" i="132"/>
  <c r="I76" i="132"/>
  <c r="C77" i="132"/>
  <c r="D77" i="132"/>
  <c r="E77" i="132"/>
  <c r="H77" i="132"/>
  <c r="I77" i="132"/>
  <c r="C78" i="132"/>
  <c r="D78" i="132"/>
  <c r="E78" i="132"/>
  <c r="H78" i="132"/>
  <c r="I78" i="132"/>
  <c r="C79" i="132"/>
  <c r="D79" i="132"/>
  <c r="E79" i="132"/>
  <c r="H79" i="132"/>
  <c r="I79" i="132"/>
  <c r="C29" i="132"/>
  <c r="A4" i="213"/>
  <c r="D29" i="132"/>
  <c r="B4" i="213"/>
  <c r="E29" i="132"/>
  <c r="F29" i="132"/>
  <c r="D4" i="213"/>
  <c r="G29" i="132"/>
  <c r="C30" i="132"/>
  <c r="A4" i="214"/>
  <c r="D30" i="132"/>
  <c r="B4" i="214"/>
  <c r="E30" i="132"/>
  <c r="F30" i="132"/>
  <c r="D4" i="214"/>
  <c r="G30" i="132"/>
  <c r="C31" i="132"/>
  <c r="D31" i="132"/>
  <c r="E31" i="132"/>
  <c r="F31" i="132"/>
  <c r="D4" i="215"/>
  <c r="G31" i="132"/>
  <c r="C32" i="132"/>
  <c r="A4" i="216"/>
  <c r="D32" i="132"/>
  <c r="B4" i="216"/>
  <c r="E32" i="132"/>
  <c r="F32" i="132"/>
  <c r="D4" i="216"/>
  <c r="G32" i="132"/>
  <c r="C33" i="132"/>
  <c r="A4" i="217"/>
  <c r="D33" i="132"/>
  <c r="B4" i="217"/>
  <c r="E33" i="132"/>
  <c r="F33" i="132"/>
  <c r="D4" i="217"/>
  <c r="G33" i="132"/>
  <c r="C34" i="132"/>
  <c r="A4" i="218"/>
  <c r="D34" i="132"/>
  <c r="B4" i="218"/>
  <c r="E34" i="132"/>
  <c r="F34" i="132"/>
  <c r="D4" i="218"/>
  <c r="G34" i="132"/>
  <c r="C35" i="132"/>
  <c r="A4" i="219"/>
  <c r="D35" i="132"/>
  <c r="B4" i="219"/>
  <c r="E35" i="132"/>
  <c r="F35" i="132"/>
  <c r="D4" i="219"/>
  <c r="G35" i="132"/>
  <c r="C36" i="132"/>
  <c r="A4" i="220"/>
  <c r="D36" i="132"/>
  <c r="B4" i="220"/>
  <c r="E36" i="132"/>
  <c r="F36" i="132"/>
  <c r="D4" i="220"/>
  <c r="G36" i="132"/>
  <c r="C37" i="132"/>
  <c r="D37" i="132"/>
  <c r="G37" i="132"/>
  <c r="C38" i="132"/>
  <c r="D38" i="132"/>
  <c r="G38" i="132"/>
  <c r="C39" i="132"/>
  <c r="D39" i="132"/>
  <c r="G39" i="132"/>
  <c r="C28" i="132"/>
  <c r="A4" i="212"/>
  <c r="D28" i="132"/>
  <c r="B4" i="212"/>
  <c r="E28" i="132"/>
  <c r="F28" i="132"/>
  <c r="D4" i="212"/>
  <c r="G28" i="132"/>
  <c r="J6" i="201"/>
  <c r="B4" i="224"/>
  <c r="A4" i="224"/>
  <c r="B4" i="215"/>
  <c r="A4" i="215"/>
  <c r="A4" i="201"/>
  <c r="J74" i="132"/>
  <c r="J49" i="132"/>
  <c r="J50" i="132" s="1"/>
  <c r="J51" i="132" s="1"/>
  <c r="J52" i="132" s="1"/>
  <c r="J53" i="132" s="1"/>
  <c r="J54" i="132" s="1"/>
  <c r="J55" i="132" s="1"/>
  <c r="J56" i="132" s="1"/>
  <c r="J57" i="132" s="1"/>
  <c r="J58" i="132" s="1"/>
  <c r="J59" i="132" s="1"/>
  <c r="H9" i="242"/>
  <c r="I8" i="243"/>
  <c r="H9" i="243"/>
  <c r="H9" i="244"/>
  <c r="I8" i="245"/>
  <c r="H9" i="245"/>
  <c r="I8" i="246"/>
  <c r="H9" i="246"/>
  <c r="I8" i="247"/>
  <c r="H9" i="247"/>
  <c r="H9" i="248"/>
  <c r="D42" i="241"/>
  <c r="J79" i="132"/>
  <c r="J76" i="132"/>
  <c r="J67" i="132"/>
  <c r="J65" i="132"/>
  <c r="I8" i="252"/>
  <c r="I8" i="240"/>
  <c r="H10" i="240"/>
  <c r="J78" i="132"/>
  <c r="C75" i="240"/>
  <c r="C76" i="240" s="1"/>
  <c r="D54" i="240"/>
  <c r="J71" i="132"/>
  <c r="D54" i="246"/>
  <c r="J61" i="132"/>
  <c r="D54" i="245"/>
  <c r="J69" i="132"/>
  <c r="J62" i="132"/>
  <c r="J77" i="132"/>
  <c r="J73" i="132"/>
  <c r="J66" i="132"/>
  <c r="C60" i="249"/>
  <c r="C62" i="249"/>
  <c r="C60" i="252"/>
  <c r="C62" i="252" s="1"/>
  <c r="J70" i="132"/>
  <c r="J63" i="132"/>
  <c r="D54" i="247"/>
  <c r="H10" i="252"/>
  <c r="G7" i="251"/>
  <c r="I7" i="251"/>
  <c r="G7" i="247"/>
  <c r="G7" i="246"/>
  <c r="H10" i="245"/>
  <c r="G7" i="243"/>
  <c r="I7" i="243"/>
  <c r="I7" i="242"/>
  <c r="G8" i="252"/>
  <c r="H11" i="252"/>
  <c r="C64" i="252" s="1"/>
  <c r="B75" i="251"/>
  <c r="B76" i="251" s="1"/>
  <c r="B75" i="249"/>
  <c r="B76" i="249" s="1"/>
  <c r="C60" i="248"/>
  <c r="C62" i="248"/>
  <c r="I7" i="247"/>
  <c r="H10" i="247"/>
  <c r="C60" i="247"/>
  <c r="C62" i="247" s="1"/>
  <c r="B75" i="247"/>
  <c r="G8" i="247"/>
  <c r="H11" i="247"/>
  <c r="C64" i="247" s="1"/>
  <c r="I7" i="246"/>
  <c r="H10" i="246"/>
  <c r="C60" i="246"/>
  <c r="C62" i="246" s="1"/>
  <c r="G8" i="246"/>
  <c r="H11" i="246"/>
  <c r="C64" i="246" s="1"/>
  <c r="G7" i="245"/>
  <c r="I7" i="245"/>
  <c r="C62" i="245"/>
  <c r="B75" i="245"/>
  <c r="B76" i="245" s="1"/>
  <c r="G8" i="245"/>
  <c r="H11" i="245"/>
  <c r="C64" i="245" s="1"/>
  <c r="I7" i="244"/>
  <c r="C60" i="244"/>
  <c r="C62" i="244"/>
  <c r="B75" i="244"/>
  <c r="B76" i="244" s="1"/>
  <c r="H10" i="243"/>
  <c r="C60" i="243"/>
  <c r="C62" i="243" s="1"/>
  <c r="G8" i="243"/>
  <c r="H11" i="243"/>
  <c r="C64" i="243" s="1"/>
  <c r="B75" i="242"/>
  <c r="B76" i="242" s="1"/>
  <c r="G7" i="241"/>
  <c r="C62" i="241"/>
  <c r="I7" i="240"/>
  <c r="C62" i="240"/>
  <c r="B75" i="240"/>
  <c r="G8" i="240"/>
  <c r="H11" i="240"/>
  <c r="C64" i="240" s="1"/>
  <c r="J72" i="132"/>
  <c r="J68" i="132"/>
  <c r="J64" i="132"/>
  <c r="J60" i="132"/>
  <c r="H10" i="201"/>
  <c r="B76" i="247"/>
  <c r="B76" i="240"/>
  <c r="D9" i="201"/>
  <c r="B9" i="201"/>
  <c r="D8" i="201"/>
  <c r="B8" i="201"/>
  <c r="D7" i="201"/>
  <c r="D54" i="219"/>
  <c r="J6" i="224"/>
  <c r="J6" i="220"/>
  <c r="G7" i="220" s="1"/>
  <c r="J6" i="219"/>
  <c r="J6" i="218"/>
  <c r="J6" i="217"/>
  <c r="H11" i="217" s="1"/>
  <c r="C64" i="217" s="1"/>
  <c r="H11" i="220"/>
  <c r="C64" i="220" s="1"/>
  <c r="H10" i="220"/>
  <c r="H9" i="220"/>
  <c r="I7" i="220"/>
  <c r="H11" i="219"/>
  <c r="C64" i="219" s="1"/>
  <c r="G8" i="219"/>
  <c r="G8" i="217"/>
  <c r="G7" i="217"/>
  <c r="I7" i="218"/>
  <c r="J6" i="216"/>
  <c r="J6" i="215"/>
  <c r="H11" i="215" s="1"/>
  <c r="C64" i="215" s="1"/>
  <c r="J6" i="214"/>
  <c r="G7" i="214" s="1"/>
  <c r="J6" i="213"/>
  <c r="G8" i="213" s="1"/>
  <c r="J6" i="212"/>
  <c r="J6" i="211"/>
  <c r="J6" i="221"/>
  <c r="G8" i="221" s="1"/>
  <c r="J6" i="208"/>
  <c r="H10" i="208" s="1"/>
  <c r="J6" i="207"/>
  <c r="I7" i="207" s="1"/>
  <c r="J6" i="206"/>
  <c r="I7" i="206" s="1"/>
  <c r="J6" i="205"/>
  <c r="H11" i="205" s="1"/>
  <c r="C64" i="205" s="1"/>
  <c r="H28" i="204"/>
  <c r="J6" i="204"/>
  <c r="I8" i="206"/>
  <c r="G7" i="206"/>
  <c r="G8" i="206"/>
  <c r="H11" i="206"/>
  <c r="C64" i="206" s="1"/>
  <c r="H10" i="206"/>
  <c r="H9" i="206"/>
  <c r="H9" i="207"/>
  <c r="I8" i="207"/>
  <c r="G8" i="207"/>
  <c r="G7" i="207"/>
  <c r="H10" i="207"/>
  <c r="I7" i="208"/>
  <c r="H11" i="208"/>
  <c r="C64" i="208" s="1"/>
  <c r="I7" i="204"/>
  <c r="H11" i="204"/>
  <c r="C64" i="204" s="1"/>
  <c r="G7" i="204"/>
  <c r="H10" i="204"/>
  <c r="I8" i="204"/>
  <c r="G8" i="204"/>
  <c r="H9" i="204"/>
  <c r="H11" i="216"/>
  <c r="C64" i="216" s="1"/>
  <c r="H10" i="216"/>
  <c r="H9" i="216"/>
  <c r="I8" i="216"/>
  <c r="G7" i="216"/>
  <c r="G8" i="216"/>
  <c r="I7" i="216"/>
  <c r="H11" i="213"/>
  <c r="C64" i="213" s="1"/>
  <c r="I8" i="213"/>
  <c r="H10" i="215"/>
  <c r="H9" i="215"/>
  <c r="G7" i="215"/>
  <c r="I8" i="215"/>
  <c r="G8" i="215"/>
  <c r="I7" i="215"/>
  <c r="H11" i="211"/>
  <c r="G7" i="211"/>
  <c r="H10" i="211"/>
  <c r="H9" i="211"/>
  <c r="I8" i="211"/>
  <c r="G8" i="211"/>
  <c r="I7" i="211"/>
  <c r="H10" i="212"/>
  <c r="I8" i="212"/>
  <c r="H9" i="212"/>
  <c r="G8" i="212"/>
  <c r="I7" i="212"/>
  <c r="G7" i="212"/>
  <c r="H11" i="212"/>
  <c r="C64" i="212" s="1"/>
  <c r="J6" i="202"/>
  <c r="H9" i="202" s="1"/>
  <c r="H10" i="202"/>
  <c r="I8" i="202"/>
  <c r="G7" i="202"/>
  <c r="C80" i="132"/>
  <c r="E49" i="218"/>
  <c r="E49" i="224"/>
  <c r="D49" i="224"/>
  <c r="C49" i="224"/>
  <c r="C75" i="224"/>
  <c r="C76" i="224" s="1"/>
  <c r="D75" i="224"/>
  <c r="D76" i="224"/>
  <c r="E49" i="220"/>
  <c r="D49" i="220"/>
  <c r="C49" i="220"/>
  <c r="C75" i="220"/>
  <c r="C76" i="220"/>
  <c r="B75" i="219"/>
  <c r="B76" i="219" s="1"/>
  <c r="C75" i="219"/>
  <c r="C76" i="219"/>
  <c r="E49" i="219"/>
  <c r="D49" i="219"/>
  <c r="C49" i="219"/>
  <c r="D49" i="218"/>
  <c r="C49" i="218"/>
  <c r="C75" i="218"/>
  <c r="C76" i="218"/>
  <c r="E49" i="217"/>
  <c r="D49" i="217"/>
  <c r="C49" i="217"/>
  <c r="B75" i="217"/>
  <c r="B76" i="217"/>
  <c r="C75" i="217"/>
  <c r="C76" i="217" s="1"/>
  <c r="E49" i="216"/>
  <c r="D49" i="216"/>
  <c r="C49" i="216"/>
  <c r="C75" i="216"/>
  <c r="C76" i="216" s="1"/>
  <c r="E49" i="215"/>
  <c r="D49" i="215"/>
  <c r="C49" i="215"/>
  <c r="C75" i="215"/>
  <c r="C76" i="215" s="1"/>
  <c r="E49" i="214"/>
  <c r="D49" i="214"/>
  <c r="C49" i="214"/>
  <c r="C75" i="214"/>
  <c r="C76" i="214"/>
  <c r="E49" i="213"/>
  <c r="D49" i="213"/>
  <c r="C49" i="213"/>
  <c r="C75" i="213"/>
  <c r="C76" i="213" s="1"/>
  <c r="E49" i="212"/>
  <c r="D49" i="212"/>
  <c r="C49" i="212"/>
  <c r="B75" i="212"/>
  <c r="B76" i="212" s="1"/>
  <c r="E49" i="211"/>
  <c r="D49" i="211"/>
  <c r="C49" i="211"/>
  <c r="C75" i="211"/>
  <c r="C76" i="211" s="1"/>
  <c r="E49" i="221"/>
  <c r="D49" i="221"/>
  <c r="C49" i="221"/>
  <c r="C75" i="221"/>
  <c r="C76" i="221"/>
  <c r="E49" i="208"/>
  <c r="D49" i="208"/>
  <c r="C49" i="208"/>
  <c r="C49" i="207"/>
  <c r="D49" i="207"/>
  <c r="E49" i="207"/>
  <c r="E49" i="206"/>
  <c r="D49" i="206"/>
  <c r="C49" i="206"/>
  <c r="B75" i="206"/>
  <c r="B76" i="206" s="1"/>
  <c r="C75" i="206"/>
  <c r="C76" i="206" s="1"/>
  <c r="E49" i="205"/>
  <c r="D49" i="205"/>
  <c r="C49" i="205"/>
  <c r="C75" i="205"/>
  <c r="C76" i="205" s="1"/>
  <c r="E49" i="204"/>
  <c r="D49" i="204"/>
  <c r="D50" i="204" s="1"/>
  <c r="C49" i="204"/>
  <c r="E49" i="202"/>
  <c r="D49" i="202"/>
  <c r="C49" i="202"/>
  <c r="C75" i="202"/>
  <c r="C76" i="202"/>
  <c r="C60" i="202"/>
  <c r="H28" i="205"/>
  <c r="H28" i="201"/>
  <c r="C25" i="132"/>
  <c r="D25" i="132"/>
  <c r="E25" i="132"/>
  <c r="F25" i="132"/>
  <c r="D4" i="208"/>
  <c r="G25" i="132"/>
  <c r="C26" i="132"/>
  <c r="D26" i="132"/>
  <c r="E26" i="132"/>
  <c r="F26" i="132"/>
  <c r="D4" i="221"/>
  <c r="G26" i="132"/>
  <c r="C27" i="132"/>
  <c r="D27" i="132"/>
  <c r="E27" i="132"/>
  <c r="F27" i="132"/>
  <c r="D4" i="211"/>
  <c r="G27" i="132"/>
  <c r="H28" i="224"/>
  <c r="J15" i="224"/>
  <c r="G15" i="224"/>
  <c r="C67" i="224"/>
  <c r="I14" i="224"/>
  <c r="G14" i="224"/>
  <c r="C65" i="224"/>
  <c r="C60" i="224"/>
  <c r="F59" i="221"/>
  <c r="H28" i="221"/>
  <c r="J15" i="221"/>
  <c r="G15" i="221"/>
  <c r="C67" i="221"/>
  <c r="I14" i="221"/>
  <c r="G14" i="221"/>
  <c r="C65" i="221"/>
  <c r="C60" i="221"/>
  <c r="C62" i="221" s="1"/>
  <c r="F59" i="220"/>
  <c r="H28" i="220"/>
  <c r="J15" i="220"/>
  <c r="G15" i="220"/>
  <c r="C67" i="220" s="1"/>
  <c r="I14" i="220"/>
  <c r="G14" i="220"/>
  <c r="F59" i="219"/>
  <c r="H28" i="219"/>
  <c r="J15" i="219"/>
  <c r="G15" i="219"/>
  <c r="C67" i="219" s="1"/>
  <c r="I14" i="219"/>
  <c r="G14" i="219"/>
  <c r="C65" i="219"/>
  <c r="C60" i="219"/>
  <c r="F59" i="218"/>
  <c r="H28" i="218"/>
  <c r="J15" i="218"/>
  <c r="G15" i="218"/>
  <c r="C67" i="218"/>
  <c r="I14" i="218"/>
  <c r="G14" i="218"/>
  <c r="C65" i="218"/>
  <c r="C60" i="218"/>
  <c r="C62" i="218" s="1"/>
  <c r="H28" i="217"/>
  <c r="J15" i="217"/>
  <c r="G15" i="217"/>
  <c r="C67" i="217"/>
  <c r="I14" i="217"/>
  <c r="G14" i="217"/>
  <c r="C65" i="217"/>
  <c r="C60" i="217"/>
  <c r="C62" i="217" s="1"/>
  <c r="H62" i="217" s="1"/>
  <c r="F59" i="216"/>
  <c r="H28" i="216"/>
  <c r="J15" i="216"/>
  <c r="G15" i="216"/>
  <c r="C67" i="216" s="1"/>
  <c r="I14" i="216"/>
  <c r="G14" i="216"/>
  <c r="C65" i="216"/>
  <c r="C60" i="216"/>
  <c r="C62" i="216" s="1"/>
  <c r="H62" i="216" s="1"/>
  <c r="F59" i="215"/>
  <c r="H28" i="215"/>
  <c r="J15" i="215"/>
  <c r="G15" i="215"/>
  <c r="C67" i="215" s="1"/>
  <c r="I14" i="215"/>
  <c r="G14" i="215"/>
  <c r="C65" i="215"/>
  <c r="F59" i="214"/>
  <c r="H28" i="214"/>
  <c r="J15" i="214"/>
  <c r="G15" i="214"/>
  <c r="C67" i="214" s="1"/>
  <c r="I14" i="214"/>
  <c r="G14" i="214"/>
  <c r="F59" i="213"/>
  <c r="H28" i="213"/>
  <c r="J15" i="213"/>
  <c r="G15" i="213"/>
  <c r="C67" i="213" s="1"/>
  <c r="I14" i="213"/>
  <c r="G14" i="213"/>
  <c r="F59" i="212"/>
  <c r="H28" i="212"/>
  <c r="J15" i="212"/>
  <c r="G15" i="212"/>
  <c r="C67" i="212" s="1"/>
  <c r="I14" i="212"/>
  <c r="G14" i="212"/>
  <c r="C65" i="212"/>
  <c r="F59" i="211"/>
  <c r="H28" i="211"/>
  <c r="J15" i="211"/>
  <c r="G15" i="211"/>
  <c r="C67" i="211" s="1"/>
  <c r="I14" i="211"/>
  <c r="G14" i="211"/>
  <c r="C65" i="211"/>
  <c r="F59" i="208"/>
  <c r="H28" i="208"/>
  <c r="J15" i="208"/>
  <c r="G15" i="208"/>
  <c r="C67" i="208" s="1"/>
  <c r="I14" i="208"/>
  <c r="G14" i="208"/>
  <c r="C65" i="208"/>
  <c r="C60" i="208"/>
  <c r="F59" i="207"/>
  <c r="H28" i="207"/>
  <c r="J15" i="207"/>
  <c r="G15" i="207"/>
  <c r="C67" i="207" s="1"/>
  <c r="I14" i="207"/>
  <c r="G14" i="207"/>
  <c r="C65" i="207"/>
  <c r="C75" i="207"/>
  <c r="C76" i="207" s="1"/>
  <c r="B75" i="207"/>
  <c r="F59" i="206"/>
  <c r="H28" i="206"/>
  <c r="J15" i="206"/>
  <c r="G15" i="206"/>
  <c r="C67" i="206" s="1"/>
  <c r="I14" i="206"/>
  <c r="G14" i="206"/>
  <c r="C65" i="206"/>
  <c r="C60" i="206"/>
  <c r="F59" i="205"/>
  <c r="J15" i="205"/>
  <c r="G15" i="205"/>
  <c r="C67" i="205" s="1"/>
  <c r="I14" i="205"/>
  <c r="G14" i="205"/>
  <c r="C60" i="205"/>
  <c r="F59" i="204"/>
  <c r="J15" i="204"/>
  <c r="G15" i="204"/>
  <c r="C67" i="204" s="1"/>
  <c r="I14" i="204"/>
  <c r="G14" i="204"/>
  <c r="C65" i="204"/>
  <c r="F59" i="202"/>
  <c r="H28" i="202"/>
  <c r="J15" i="202"/>
  <c r="G15" i="202"/>
  <c r="C67" i="202" s="1"/>
  <c r="I14" i="202"/>
  <c r="G14" i="202"/>
  <c r="F59" i="201"/>
  <c r="E49" i="201"/>
  <c r="D49" i="201"/>
  <c r="D50" i="201" s="1"/>
  <c r="C49" i="201"/>
  <c r="J15" i="201"/>
  <c r="G15" i="201"/>
  <c r="C67" i="201"/>
  <c r="I14" i="201"/>
  <c r="G14" i="201"/>
  <c r="C65" i="201"/>
  <c r="C75" i="201"/>
  <c r="C76" i="201" s="1"/>
  <c r="C64" i="211"/>
  <c r="G20" i="132"/>
  <c r="G21" i="132"/>
  <c r="G22" i="132"/>
  <c r="G23" i="132"/>
  <c r="G24" i="132"/>
  <c r="V205" i="132"/>
  <c r="V204" i="132"/>
  <c r="V203" i="132"/>
  <c r="V202" i="132"/>
  <c r="V206" i="132"/>
  <c r="U205" i="132"/>
  <c r="U204" i="132"/>
  <c r="U203" i="132"/>
  <c r="U202" i="132"/>
  <c r="S202" i="132"/>
  <c r="U206" i="132"/>
  <c r="T205" i="132"/>
  <c r="T204" i="132"/>
  <c r="T203" i="132"/>
  <c r="T202" i="132"/>
  <c r="T206" i="132"/>
  <c r="S205" i="132"/>
  <c r="S204" i="132"/>
  <c r="S203" i="132"/>
  <c r="S206" i="132"/>
  <c r="R205" i="132"/>
  <c r="Q205" i="132"/>
  <c r="R204" i="132"/>
  <c r="Q204" i="132"/>
  <c r="R203" i="132"/>
  <c r="Q203" i="132"/>
  <c r="Q202" i="132"/>
  <c r="R202" i="132"/>
  <c r="R206" i="132"/>
  <c r="Q206" i="132"/>
  <c r="I206" i="132"/>
  <c r="I205" i="132"/>
  <c r="I202" i="132"/>
  <c r="F24" i="132"/>
  <c r="D4" i="207"/>
  <c r="E24" i="132"/>
  <c r="D24" i="132"/>
  <c r="B4" i="207"/>
  <c r="C24" i="132"/>
  <c r="A4" i="207"/>
  <c r="F23" i="132"/>
  <c r="D4" i="206"/>
  <c r="E23" i="132"/>
  <c r="D23" i="132"/>
  <c r="B4" i="206"/>
  <c r="C23" i="132"/>
  <c r="A4" i="206"/>
  <c r="F22" i="132"/>
  <c r="D4" i="205"/>
  <c r="E22" i="132"/>
  <c r="D22" i="132"/>
  <c r="B4" i="205"/>
  <c r="C22" i="132"/>
  <c r="A4" i="205"/>
  <c r="F21" i="132"/>
  <c r="D4" i="204"/>
  <c r="E21" i="132"/>
  <c r="D21" i="132"/>
  <c r="B4" i="204"/>
  <c r="C21" i="132"/>
  <c r="A4" i="204"/>
  <c r="F20" i="132"/>
  <c r="D4" i="202"/>
  <c r="E20" i="132"/>
  <c r="D20" i="132"/>
  <c r="A4" i="202"/>
  <c r="Q177" i="132"/>
  <c r="P205" i="132" s="1"/>
  <c r="O166" i="132"/>
  <c r="N204" i="132" s="1"/>
  <c r="Q155" i="132"/>
  <c r="P203" i="132" s="1"/>
  <c r="P155" i="132"/>
  <c r="O203" i="132" s="1"/>
  <c r="O155" i="132"/>
  <c r="N203" i="132"/>
  <c r="Q144" i="132"/>
  <c r="P202" i="132" s="1"/>
  <c r="P144" i="132"/>
  <c r="O202" i="132" s="1"/>
  <c r="O144" i="132"/>
  <c r="N202" i="132" s="1"/>
  <c r="P177" i="132"/>
  <c r="O205" i="132" s="1"/>
  <c r="O177" i="132"/>
  <c r="N205" i="132"/>
  <c r="Q166" i="132"/>
  <c r="P204" i="132" s="1"/>
  <c r="P166" i="132"/>
  <c r="O204" i="132" s="1"/>
  <c r="Q188" i="132"/>
  <c r="P206" i="132"/>
  <c r="P188" i="132"/>
  <c r="O206" i="132" s="1"/>
  <c r="O188" i="132"/>
  <c r="N206" i="132" s="1"/>
  <c r="AC41" i="132"/>
  <c r="AC38" i="132"/>
  <c r="AC35" i="132"/>
  <c r="AC32" i="132"/>
  <c r="AC29" i="132"/>
  <c r="B4" i="202"/>
  <c r="B4" i="201"/>
  <c r="B19" i="208"/>
  <c r="I19" i="248"/>
  <c r="D19" i="217"/>
  <c r="I19" i="243"/>
  <c r="B19" i="217"/>
  <c r="D19" i="221"/>
  <c r="B19" i="245"/>
  <c r="D19" i="247"/>
  <c r="I19" i="244"/>
  <c r="I19" i="246"/>
  <c r="B19" i="207"/>
  <c r="D19" i="241"/>
  <c r="F19" i="213"/>
  <c r="F19" i="249"/>
  <c r="F19" i="202"/>
  <c r="F19" i="217"/>
  <c r="I20" i="216"/>
  <c r="I20" i="219"/>
  <c r="I20" i="215"/>
  <c r="C50" i="211"/>
  <c r="C50" i="202"/>
  <c r="E50" i="220"/>
  <c r="D50" i="211"/>
  <c r="D50" i="213"/>
  <c r="D20" i="212"/>
  <c r="D20" i="211"/>
  <c r="D20" i="219"/>
  <c r="G20" i="216"/>
  <c r="G20" i="207"/>
  <c r="G20" i="217"/>
  <c r="C50" i="249"/>
  <c r="C50" i="251"/>
  <c r="C50" i="240"/>
  <c r="C50" i="201"/>
  <c r="D50" i="242"/>
  <c r="D50" i="251"/>
  <c r="D50" i="240"/>
  <c r="D50" i="205"/>
  <c r="E50" i="252"/>
  <c r="E50" i="249"/>
  <c r="E50" i="245"/>
  <c r="E50" i="244"/>
  <c r="E50" i="205"/>
  <c r="E50" i="201"/>
  <c r="C50" i="204"/>
  <c r="D20" i="248"/>
  <c r="D20" i="246"/>
  <c r="D20" i="251"/>
  <c r="D20" i="252"/>
  <c r="D20" i="240"/>
  <c r="D20" i="206"/>
  <c r="D20" i="201"/>
  <c r="G20" i="248"/>
  <c r="G20" i="245"/>
  <c r="G20" i="246"/>
  <c r="G20" i="251"/>
  <c r="G20" i="247"/>
  <c r="G20" i="252"/>
  <c r="G20" i="242"/>
  <c r="G20" i="205"/>
  <c r="G20" i="243"/>
  <c r="G20" i="240"/>
  <c r="G20" i="204"/>
  <c r="G20" i="224"/>
  <c r="G20" i="201"/>
  <c r="I20" i="244"/>
  <c r="I20" i="246"/>
  <c r="I20" i="241"/>
  <c r="I20" i="251"/>
  <c r="I20" i="252"/>
  <c r="I20" i="242"/>
  <c r="I20" i="243"/>
  <c r="I20" i="206"/>
  <c r="I20" i="248"/>
  <c r="I20" i="205"/>
  <c r="I20" i="245"/>
  <c r="I20" i="224"/>
  <c r="I20" i="201"/>
  <c r="A4" i="211"/>
  <c r="A4" i="208"/>
  <c r="B4" i="221"/>
  <c r="B4" i="211"/>
  <c r="B4" i="208"/>
  <c r="A4" i="221"/>
  <c r="B4" i="243"/>
  <c r="B4" i="247"/>
  <c r="B4" i="252"/>
  <c r="A4" i="251"/>
  <c r="B4" i="242"/>
  <c r="B4" i="251"/>
  <c r="B4" i="245"/>
  <c r="B4" i="249"/>
  <c r="A4" i="242"/>
  <c r="A4" i="245"/>
  <c r="A4" i="244"/>
  <c r="A4" i="248"/>
  <c r="B4" i="246"/>
  <c r="B4" i="244"/>
  <c r="B4" i="248"/>
  <c r="A4" i="246"/>
  <c r="A4" i="249"/>
  <c r="A4" i="243"/>
  <c r="A4" i="247"/>
  <c r="A4" i="252"/>
  <c r="C62" i="202"/>
  <c r="D54" i="205"/>
  <c r="C60" i="212"/>
  <c r="C62" i="212" s="1"/>
  <c r="C62" i="224"/>
  <c r="D54" i="216"/>
  <c r="C60" i="214"/>
  <c r="C62" i="214" s="1"/>
  <c r="C60" i="201"/>
  <c r="C62" i="201" s="1"/>
  <c r="D54" i="207"/>
  <c r="D54" i="201"/>
  <c r="C60" i="213"/>
  <c r="C62" i="213" s="1"/>
  <c r="C62" i="208"/>
  <c r="D54" i="206"/>
  <c r="C62" i="205"/>
  <c r="C60" i="220"/>
  <c r="C62" i="220" s="1"/>
  <c r="D54" i="218"/>
  <c r="C62" i="206"/>
  <c r="D54" i="204"/>
  <c r="D54" i="211"/>
  <c r="D54" i="224"/>
  <c r="C62" i="219"/>
  <c r="D54" i="214"/>
  <c r="B75" i="211"/>
  <c r="B76" i="211" s="1"/>
  <c r="B75" i="204"/>
  <c r="B76" i="204"/>
  <c r="B75" i="201"/>
  <c r="C60" i="204"/>
  <c r="B76" i="207"/>
  <c r="C60" i="211"/>
  <c r="C62" i="211" s="1"/>
  <c r="C60" i="215"/>
  <c r="D54" i="213"/>
  <c r="B75" i="213"/>
  <c r="B75" i="221"/>
  <c r="B75" i="202"/>
  <c r="B76" i="202" s="1"/>
  <c r="D54" i="208"/>
  <c r="B75" i="208"/>
  <c r="D54" i="215"/>
  <c r="B75" i="216"/>
  <c r="B76" i="216" s="1"/>
  <c r="D54" i="217"/>
  <c r="B75" i="218"/>
  <c r="B76" i="218" s="1"/>
  <c r="B75" i="215"/>
  <c r="B76" i="215" s="1"/>
  <c r="B75" i="220"/>
  <c r="B76" i="220" s="1"/>
  <c r="C60" i="207"/>
  <c r="C62" i="207" s="1"/>
  <c r="C59" i="202"/>
  <c r="G70" i="202" s="1"/>
  <c r="C59" i="217"/>
  <c r="H68" i="217" s="1"/>
  <c r="B54" i="217"/>
  <c r="C59" i="216"/>
  <c r="H68" i="216" s="1"/>
  <c r="C59" i="205"/>
  <c r="C62" i="215"/>
  <c r="C62" i="204"/>
  <c r="B76" i="201"/>
  <c r="B76" i="221"/>
  <c r="B76" i="213"/>
  <c r="B76" i="208"/>
  <c r="H67" i="217"/>
  <c r="H68" i="241"/>
  <c r="H59" i="241"/>
  <c r="J61" i="241" s="1"/>
  <c r="K61" i="241" s="1"/>
  <c r="H62" i="241"/>
  <c r="H67" i="241"/>
  <c r="H59" i="205"/>
  <c r="J61" i="205" s="1"/>
  <c r="K61" i="205" s="1"/>
  <c r="G70" i="217"/>
  <c r="G67" i="217" s="1"/>
  <c r="G70" i="205"/>
  <c r="G68" i="205" s="1"/>
  <c r="G70" i="241"/>
  <c r="G68" i="241" s="1"/>
  <c r="H67" i="202"/>
  <c r="H59" i="207" l="1"/>
  <c r="J61" i="207" s="1"/>
  <c r="K61" i="207" s="1"/>
  <c r="H68" i="207"/>
  <c r="I8" i="241"/>
  <c r="H10" i="241"/>
  <c r="I7" i="241"/>
  <c r="H9" i="241"/>
  <c r="G8" i="241"/>
  <c r="H62" i="207"/>
  <c r="H59" i="217"/>
  <c r="J61" i="217" s="1"/>
  <c r="K61" i="217" s="1"/>
  <c r="G62" i="202"/>
  <c r="D50" i="202"/>
  <c r="E50" i="219"/>
  <c r="D54" i="252"/>
  <c r="B75" i="252"/>
  <c r="B76" i="252" s="1"/>
  <c r="D54" i="243"/>
  <c r="B75" i="243"/>
  <c r="B76" i="243" s="1"/>
  <c r="C42" i="243"/>
  <c r="C44" i="251"/>
  <c r="C59" i="251" s="1"/>
  <c r="C43" i="251"/>
  <c r="B54" i="251" s="1"/>
  <c r="H62" i="211"/>
  <c r="H62" i="205"/>
  <c r="I19" i="252"/>
  <c r="B19" i="244"/>
  <c r="I19" i="216"/>
  <c r="B19" i="252"/>
  <c r="B19" i="215"/>
  <c r="D19" i="242"/>
  <c r="B19" i="212"/>
  <c r="B19" i="251"/>
  <c r="I19" i="208"/>
  <c r="F19" i="216"/>
  <c r="F19" i="204"/>
  <c r="F19" i="245"/>
  <c r="I20" i="214"/>
  <c r="C50" i="219"/>
  <c r="D50" i="208"/>
  <c r="D20" i="221"/>
  <c r="D20" i="208"/>
  <c r="G20" i="214"/>
  <c r="G20" i="212"/>
  <c r="C50" i="252"/>
  <c r="D50" i="243"/>
  <c r="D50" i="252"/>
  <c r="I48" i="252" s="1"/>
  <c r="I49" i="252" s="1"/>
  <c r="C63" i="252" s="1"/>
  <c r="C66" i="252" s="1"/>
  <c r="D50" i="246"/>
  <c r="E50" i="242"/>
  <c r="E50" i="243"/>
  <c r="E50" i="247"/>
  <c r="E50" i="204"/>
  <c r="I48" i="204" s="1"/>
  <c r="D20" i="245"/>
  <c r="D20" i="247"/>
  <c r="D20" i="242"/>
  <c r="D19" i="243"/>
  <c r="D19" i="249"/>
  <c r="B19" i="205"/>
  <c r="I19" i="242"/>
  <c r="D19" i="246"/>
  <c r="B19" i="204"/>
  <c r="B19" i="206"/>
  <c r="B19" i="247"/>
  <c r="B19" i="224"/>
  <c r="F19" i="205"/>
  <c r="F19" i="247"/>
  <c r="F19" i="243"/>
  <c r="I20" i="202"/>
  <c r="C50" i="221"/>
  <c r="D20" i="215"/>
  <c r="D20" i="214"/>
  <c r="G20" i="208"/>
  <c r="C50" i="207"/>
  <c r="C50" i="245"/>
  <c r="D50" i="249"/>
  <c r="I48" i="249" s="1"/>
  <c r="D50" i="245"/>
  <c r="I48" i="245" s="1"/>
  <c r="F54" i="245" s="1"/>
  <c r="H54" i="245" s="1"/>
  <c r="D75" i="245" s="1"/>
  <c r="E50" i="241"/>
  <c r="E50" i="224"/>
  <c r="E50" i="246"/>
  <c r="C50" i="206"/>
  <c r="D20" i="244"/>
  <c r="D20" i="249"/>
  <c r="D20" i="241"/>
  <c r="D20" i="243"/>
  <c r="C50" i="213"/>
  <c r="D50" i="217"/>
  <c r="C50" i="218"/>
  <c r="I7" i="224"/>
  <c r="G8" i="224"/>
  <c r="H67" i="205"/>
  <c r="D54" i="212"/>
  <c r="I20" i="204"/>
  <c r="I20" i="240"/>
  <c r="I20" i="247"/>
  <c r="I20" i="249"/>
  <c r="G20" i="206"/>
  <c r="G20" i="244"/>
  <c r="G20" i="241"/>
  <c r="G20" i="249"/>
  <c r="D20" i="224"/>
  <c r="D20" i="205"/>
  <c r="D20" i="204"/>
  <c r="E50" i="240"/>
  <c r="E50" i="248"/>
  <c r="C50" i="244"/>
  <c r="C50" i="216"/>
  <c r="G20" i="215"/>
  <c r="D50" i="207"/>
  <c r="I48" i="207" s="1"/>
  <c r="F54" i="207" s="1"/>
  <c r="H54" i="207" s="1"/>
  <c r="D75" i="207" s="1"/>
  <c r="D76" i="207" s="1"/>
  <c r="E76" i="207" s="1"/>
  <c r="E50" i="215"/>
  <c r="I20" i="217"/>
  <c r="F19" i="215"/>
  <c r="B19" i="201"/>
  <c r="B19" i="218"/>
  <c r="I19" i="251"/>
  <c r="D19" i="240"/>
  <c r="I19" i="217"/>
  <c r="D50" i="218"/>
  <c r="H11" i="241"/>
  <c r="C64" i="241" s="1"/>
  <c r="H10" i="244"/>
  <c r="G8" i="244"/>
  <c r="H11" i="244"/>
  <c r="C64" i="244" s="1"/>
  <c r="I8" i="244"/>
  <c r="G7" i="244"/>
  <c r="C50" i="247"/>
  <c r="H10" i="248"/>
  <c r="G8" i="248"/>
  <c r="G7" i="248"/>
  <c r="H11" i="248"/>
  <c r="C64" i="248" s="1"/>
  <c r="I8" i="248"/>
  <c r="I7" i="248"/>
  <c r="C44" i="248"/>
  <c r="C59" i="248" s="1"/>
  <c r="C42" i="208"/>
  <c r="C43" i="208" s="1"/>
  <c r="B54" i="208" s="1"/>
  <c r="C43" i="211"/>
  <c r="B54" i="211" s="1"/>
  <c r="C44" i="211"/>
  <c r="C59" i="211" s="1"/>
  <c r="E50" i="207"/>
  <c r="C50" i="208"/>
  <c r="H10" i="219"/>
  <c r="I7" i="219"/>
  <c r="H9" i="219"/>
  <c r="G7" i="219"/>
  <c r="I8" i="219"/>
  <c r="B75" i="248"/>
  <c r="B76" i="248" s="1"/>
  <c r="C50" i="241"/>
  <c r="G7" i="242"/>
  <c r="G8" i="242"/>
  <c r="I8" i="242"/>
  <c r="H10" i="242"/>
  <c r="H11" i="242"/>
  <c r="C64" i="242" s="1"/>
  <c r="H67" i="251"/>
  <c r="I19" i="220"/>
  <c r="I7" i="202"/>
  <c r="H11" i="202"/>
  <c r="C64" i="202" s="1"/>
  <c r="H64" i="202" s="1"/>
  <c r="D42" i="244"/>
  <c r="D42" i="245"/>
  <c r="D42" i="247"/>
  <c r="D42" i="248"/>
  <c r="D42" i="251"/>
  <c r="C42" i="204"/>
  <c r="C42" i="214"/>
  <c r="C43" i="214" s="1"/>
  <c r="B54" i="214" s="1"/>
  <c r="C42" i="215"/>
  <c r="C44" i="215" s="1"/>
  <c r="C59" i="215" s="1"/>
  <c r="H62" i="215" s="1"/>
  <c r="D42" i="219"/>
  <c r="C42" i="224"/>
  <c r="D50" i="206"/>
  <c r="E50" i="218"/>
  <c r="I48" i="218" s="1"/>
  <c r="F54" i="218" s="1"/>
  <c r="G8" i="202"/>
  <c r="I8" i="220"/>
  <c r="C42" i="246"/>
  <c r="C43" i="246" s="1"/>
  <c r="B54" i="246" s="1"/>
  <c r="D42" i="221"/>
  <c r="C42" i="218"/>
  <c r="C42" i="219"/>
  <c r="D42" i="224"/>
  <c r="D54" i="249"/>
  <c r="D54" i="241"/>
  <c r="D42" i="205"/>
  <c r="G7" i="240"/>
  <c r="I48" i="244"/>
  <c r="F54" i="244" s="1"/>
  <c r="H54" i="244" s="1"/>
  <c r="D75" i="244" s="1"/>
  <c r="I48" i="240"/>
  <c r="I49" i="240" s="1"/>
  <c r="C63" i="240" s="1"/>
  <c r="C66" i="240" s="1"/>
  <c r="H59" i="211"/>
  <c r="J61" i="211" s="1"/>
  <c r="K61" i="211" s="1"/>
  <c r="H67" i="216"/>
  <c r="H68" i="202"/>
  <c r="G70" i="216"/>
  <c r="H60" i="216" s="1"/>
  <c r="H68" i="205"/>
  <c r="H67" i="207"/>
  <c r="H68" i="211"/>
  <c r="H59" i="216"/>
  <c r="J61" i="216" s="1"/>
  <c r="K61" i="216" s="1"/>
  <c r="E50" i="211"/>
  <c r="D50" i="219"/>
  <c r="I48" i="219" s="1"/>
  <c r="I20" i="212"/>
  <c r="I20" i="208"/>
  <c r="F19" i="208"/>
  <c r="F19" i="211"/>
  <c r="F19" i="206"/>
  <c r="F19" i="224"/>
  <c r="I19" i="224"/>
  <c r="D19" i="215"/>
  <c r="I19" i="202"/>
  <c r="I19" i="215"/>
  <c r="D19" i="206"/>
  <c r="B19" i="202"/>
  <c r="B19" i="214"/>
  <c r="B19" i="220"/>
  <c r="I19" i="221"/>
  <c r="D19" i="252"/>
  <c r="I19" i="214"/>
  <c r="B19" i="249"/>
  <c r="B19" i="219"/>
  <c r="D19" i="205"/>
  <c r="B19" i="241"/>
  <c r="I19" i="245"/>
  <c r="B19" i="211"/>
  <c r="I19" i="207"/>
  <c r="I19" i="211"/>
  <c r="D19" i="248"/>
  <c r="D19" i="216"/>
  <c r="I19" i="206"/>
  <c r="D19" i="219"/>
  <c r="B19" i="248"/>
  <c r="I19" i="218"/>
  <c r="D19" i="208"/>
  <c r="B19" i="242"/>
  <c r="D19" i="207"/>
  <c r="I19" i="213"/>
  <c r="D19" i="213"/>
  <c r="D19" i="244"/>
  <c r="D19" i="204"/>
  <c r="B19" i="213"/>
  <c r="I19" i="201"/>
  <c r="F19" i="214"/>
  <c r="F19" i="248"/>
  <c r="F19" i="201"/>
  <c r="F19" i="221"/>
  <c r="F19" i="220"/>
  <c r="F19" i="246"/>
  <c r="F19" i="242"/>
  <c r="F19" i="251"/>
  <c r="I20" i="221"/>
  <c r="I20" i="213"/>
  <c r="I20" i="207"/>
  <c r="D50" i="216"/>
  <c r="C50" i="215"/>
  <c r="C50" i="212"/>
  <c r="D50" i="221"/>
  <c r="E50" i="221"/>
  <c r="E50" i="212"/>
  <c r="D50" i="214"/>
  <c r="D50" i="220"/>
  <c r="E50" i="208"/>
  <c r="I48" i="208" s="1"/>
  <c r="C50" i="217"/>
  <c r="D20" i="218"/>
  <c r="D20" i="202"/>
  <c r="D20" i="217"/>
  <c r="G20" i="211"/>
  <c r="G20" i="219"/>
  <c r="G20" i="220"/>
  <c r="G20" i="213"/>
  <c r="C50" i="248"/>
  <c r="C50" i="243"/>
  <c r="I48" i="243" s="1"/>
  <c r="C50" i="246"/>
  <c r="C50" i="205"/>
  <c r="I48" i="205" s="1"/>
  <c r="D50" i="241"/>
  <c r="D50" i="224"/>
  <c r="D50" i="247"/>
  <c r="E50" i="206"/>
  <c r="E50" i="251"/>
  <c r="I48" i="251" s="1"/>
  <c r="B19" i="246"/>
  <c r="D19" i="211"/>
  <c r="B19" i="221"/>
  <c r="D19" i="220"/>
  <c r="B19" i="243"/>
  <c r="D19" i="214"/>
  <c r="I19" i="219"/>
  <c r="I19" i="205"/>
  <c r="D19" i="245"/>
  <c r="I19" i="212"/>
  <c r="D19" i="212"/>
  <c r="B19" i="240"/>
  <c r="I19" i="247"/>
  <c r="B19" i="216"/>
  <c r="D19" i="251"/>
  <c r="D19" i="218"/>
  <c r="I19" i="204"/>
  <c r="I19" i="240"/>
  <c r="D19" i="202"/>
  <c r="I19" i="241"/>
  <c r="I19" i="249"/>
  <c r="D19" i="224"/>
  <c r="D19" i="201"/>
  <c r="F19" i="252"/>
  <c r="F19" i="207"/>
  <c r="F19" i="212"/>
  <c r="F19" i="240"/>
  <c r="F19" i="241"/>
  <c r="F19" i="219"/>
  <c r="F19" i="218"/>
  <c r="F19" i="244"/>
  <c r="I20" i="218"/>
  <c r="I20" i="211"/>
  <c r="I20" i="220"/>
  <c r="E50" i="217"/>
  <c r="I48" i="217" s="1"/>
  <c r="F54" i="217" s="1"/>
  <c r="H54" i="217" s="1"/>
  <c r="D75" i="217" s="1"/>
  <c r="E50" i="216"/>
  <c r="C50" i="220"/>
  <c r="D50" i="215"/>
  <c r="C50" i="214"/>
  <c r="E50" i="213"/>
  <c r="I48" i="213" s="1"/>
  <c r="D50" i="212"/>
  <c r="E50" i="214"/>
  <c r="D20" i="220"/>
  <c r="D20" i="213"/>
  <c r="D20" i="216"/>
  <c r="D20" i="207"/>
  <c r="G20" i="202"/>
  <c r="G20" i="221"/>
  <c r="G20" i="218"/>
  <c r="E50" i="202"/>
  <c r="I48" i="202" s="1"/>
  <c r="F54" i="202" s="1"/>
  <c r="C50" i="242"/>
  <c r="I48" i="242" s="1"/>
  <c r="I49" i="242" s="1"/>
  <c r="C63" i="242" s="1"/>
  <c r="C50" i="224"/>
  <c r="H59" i="202"/>
  <c r="J61" i="202" s="1"/>
  <c r="K61" i="202" s="1"/>
  <c r="H62" i="202"/>
  <c r="G70" i="207"/>
  <c r="H60" i="207" s="1"/>
  <c r="I48" i="211"/>
  <c r="F54" i="211" s="1"/>
  <c r="H54" i="211" s="1"/>
  <c r="D75" i="211" s="1"/>
  <c r="D76" i="211" s="1"/>
  <c r="E76" i="211" s="1"/>
  <c r="I7" i="205"/>
  <c r="I8" i="205"/>
  <c r="G7" i="205"/>
  <c r="H10" i="205"/>
  <c r="H11" i="221"/>
  <c r="C64" i="221" s="1"/>
  <c r="G7" i="221"/>
  <c r="I7" i="221"/>
  <c r="I8" i="221"/>
  <c r="G8" i="214"/>
  <c r="H10" i="214"/>
  <c r="I7" i="214"/>
  <c r="I8" i="218"/>
  <c r="H11" i="218"/>
  <c r="C64" i="218" s="1"/>
  <c r="G8" i="218"/>
  <c r="I7" i="201"/>
  <c r="I8" i="201"/>
  <c r="G8" i="201"/>
  <c r="G7" i="249"/>
  <c r="G8" i="249"/>
  <c r="I7" i="249"/>
  <c r="H11" i="249"/>
  <c r="C64" i="249" s="1"/>
  <c r="C43" i="242"/>
  <c r="B54" i="242" s="1"/>
  <c r="C44" i="242"/>
  <c r="C59" i="242" s="1"/>
  <c r="C44" i="243"/>
  <c r="C59" i="243" s="1"/>
  <c r="C43" i="243"/>
  <c r="B54" i="243" s="1"/>
  <c r="C43" i="244"/>
  <c r="B54" i="244" s="1"/>
  <c r="C44" i="244"/>
  <c r="C59" i="244" s="1"/>
  <c r="C44" i="245"/>
  <c r="C59" i="245" s="1"/>
  <c r="C43" i="245"/>
  <c r="B54" i="245" s="1"/>
  <c r="C43" i="247"/>
  <c r="B54" i="247" s="1"/>
  <c r="C44" i="247"/>
  <c r="C59" i="247" s="1"/>
  <c r="C44" i="249"/>
  <c r="C59" i="249" s="1"/>
  <c r="C43" i="249"/>
  <c r="B54" i="249" s="1"/>
  <c r="C43" i="252"/>
  <c r="B54" i="252" s="1"/>
  <c r="C44" i="252"/>
  <c r="C59" i="252" s="1"/>
  <c r="C43" i="206"/>
  <c r="B54" i="206" s="1"/>
  <c r="C44" i="206"/>
  <c r="C59" i="206" s="1"/>
  <c r="H9" i="221"/>
  <c r="I8" i="214"/>
  <c r="G8" i="208"/>
  <c r="G8" i="205"/>
  <c r="H9" i="218"/>
  <c r="H10" i="217"/>
  <c r="G7" i="224"/>
  <c r="H9" i="201"/>
  <c r="H11" i="201"/>
  <c r="C64" i="201" s="1"/>
  <c r="C44" i="240"/>
  <c r="C59" i="240" s="1"/>
  <c r="C44" i="204"/>
  <c r="C59" i="204" s="1"/>
  <c r="H62" i="204" s="1"/>
  <c r="C43" i="204"/>
  <c r="B54" i="204" s="1"/>
  <c r="C43" i="215"/>
  <c r="B54" i="215" s="1"/>
  <c r="C43" i="224"/>
  <c r="B54" i="224" s="1"/>
  <c r="C44" i="224"/>
  <c r="C59" i="224" s="1"/>
  <c r="H10" i="221"/>
  <c r="H9" i="214"/>
  <c r="H10" i="218"/>
  <c r="G7" i="201"/>
  <c r="H10" i="249"/>
  <c r="H9" i="249"/>
  <c r="H9" i="252"/>
  <c r="I7" i="252"/>
  <c r="G7" i="252"/>
  <c r="C44" i="246"/>
  <c r="C59" i="246" s="1"/>
  <c r="H62" i="246" s="1"/>
  <c r="C43" i="218"/>
  <c r="B54" i="218" s="1"/>
  <c r="C44" i="218"/>
  <c r="C59" i="218" s="1"/>
  <c r="H62" i="218" s="1"/>
  <c r="C44" i="219"/>
  <c r="C59" i="219" s="1"/>
  <c r="C43" i="219"/>
  <c r="B54" i="219" s="1"/>
  <c r="H11" i="214"/>
  <c r="C64" i="214" s="1"/>
  <c r="H9" i="205"/>
  <c r="H9" i="208"/>
  <c r="G7" i="208"/>
  <c r="I8" i="208"/>
  <c r="H10" i="213"/>
  <c r="G7" i="213"/>
  <c r="H9" i="213"/>
  <c r="I7" i="213"/>
  <c r="G7" i="218"/>
  <c r="H9" i="217"/>
  <c r="I7" i="217"/>
  <c r="I8" i="217"/>
  <c r="H11" i="224"/>
  <c r="C64" i="224" s="1"/>
  <c r="H9" i="224"/>
  <c r="H10" i="224"/>
  <c r="I8" i="224"/>
  <c r="C43" i="241"/>
  <c r="B54" i="241" s="1"/>
  <c r="I8" i="249"/>
  <c r="I8" i="251"/>
  <c r="H10" i="251"/>
  <c r="G8" i="251"/>
  <c r="H9" i="251"/>
  <c r="H11" i="251"/>
  <c r="C64" i="251" s="1"/>
  <c r="C44" i="221"/>
  <c r="C59" i="221" s="1"/>
  <c r="C43" i="221"/>
  <c r="B54" i="221" s="1"/>
  <c r="C44" i="212"/>
  <c r="C59" i="212" s="1"/>
  <c r="C43" i="212"/>
  <c r="B54" i="212" s="1"/>
  <c r="C44" i="213"/>
  <c r="C59" i="213" s="1"/>
  <c r="C43" i="213"/>
  <c r="B54" i="213" s="1"/>
  <c r="C43" i="201"/>
  <c r="B54" i="201" s="1"/>
  <c r="C44" i="201"/>
  <c r="C59" i="201" s="1"/>
  <c r="C44" i="220"/>
  <c r="C59" i="220" s="1"/>
  <c r="C43" i="207"/>
  <c r="B54" i="207" s="1"/>
  <c r="H11" i="207"/>
  <c r="C64" i="207" s="1"/>
  <c r="G8" i="220"/>
  <c r="B75" i="241"/>
  <c r="B76" i="241" s="1"/>
  <c r="D54" i="242"/>
  <c r="C43" i="202"/>
  <c r="B54" i="202" s="1"/>
  <c r="C43" i="205"/>
  <c r="B54" i="205" s="1"/>
  <c r="C43" i="216"/>
  <c r="B54" i="216" s="1"/>
  <c r="I48" i="201"/>
  <c r="F54" i="201" s="1"/>
  <c r="G59" i="217"/>
  <c r="G69" i="217" s="1"/>
  <c r="G71" i="205"/>
  <c r="I75" i="205" s="1"/>
  <c r="G81" i="205" s="1"/>
  <c r="G67" i="205"/>
  <c r="I48" i="206"/>
  <c r="I49" i="206" s="1"/>
  <c r="C63" i="206" s="1"/>
  <c r="G62" i="205"/>
  <c r="H65" i="205"/>
  <c r="H61" i="205"/>
  <c r="H60" i="205"/>
  <c r="H61" i="216"/>
  <c r="H64" i="205"/>
  <c r="G59" i="205"/>
  <c r="G69" i="205" s="1"/>
  <c r="G67" i="216"/>
  <c r="G62" i="241"/>
  <c r="H61" i="202"/>
  <c r="G71" i="241"/>
  <c r="I75" i="241" s="1"/>
  <c r="I76" i="241" s="1"/>
  <c r="H65" i="241"/>
  <c r="H64" i="241"/>
  <c r="H61" i="241"/>
  <c r="G59" i="241"/>
  <c r="G69" i="241" s="1"/>
  <c r="G67" i="241"/>
  <c r="H64" i="216"/>
  <c r="H60" i="241"/>
  <c r="G68" i="217"/>
  <c r="H65" i="217"/>
  <c r="G62" i="217"/>
  <c r="G68" i="207"/>
  <c r="H60" i="217"/>
  <c r="G71" i="217"/>
  <c r="I75" i="217" s="1"/>
  <c r="G59" i="202"/>
  <c r="G69" i="202" s="1"/>
  <c r="H65" i="202"/>
  <c r="H64" i="217"/>
  <c r="H61" i="217"/>
  <c r="G68" i="202"/>
  <c r="G71" i="202"/>
  <c r="I75" i="202" s="1"/>
  <c r="G67" i="202"/>
  <c r="H60" i="202"/>
  <c r="F54" i="204" l="1"/>
  <c r="I49" i="204"/>
  <c r="C63" i="204" s="1"/>
  <c r="C66" i="204" s="1"/>
  <c r="I49" i="249"/>
  <c r="C63" i="249" s="1"/>
  <c r="C66" i="249" s="1"/>
  <c r="F54" i="249"/>
  <c r="H54" i="249" s="1"/>
  <c r="D75" i="249" s="1"/>
  <c r="D76" i="249" s="1"/>
  <c r="E76" i="249" s="1"/>
  <c r="H54" i="204"/>
  <c r="D75" i="204" s="1"/>
  <c r="D76" i="204" s="1"/>
  <c r="E76" i="204" s="1"/>
  <c r="I48" i="246"/>
  <c r="H68" i="248"/>
  <c r="H59" i="248"/>
  <c r="J61" i="248" s="1"/>
  <c r="K61" i="248" s="1"/>
  <c r="G70" i="248"/>
  <c r="H67" i="248"/>
  <c r="H62" i="248"/>
  <c r="H54" i="201"/>
  <c r="D75" i="201" s="1"/>
  <c r="D76" i="201" s="1"/>
  <c r="E76" i="201" s="1"/>
  <c r="C44" i="214"/>
  <c r="C59" i="214" s="1"/>
  <c r="I49" i="243"/>
  <c r="C63" i="243" s="1"/>
  <c r="C66" i="243" s="1"/>
  <c r="H67" i="211"/>
  <c r="G70" i="211"/>
  <c r="H62" i="251"/>
  <c r="G70" i="251"/>
  <c r="H59" i="251"/>
  <c r="J61" i="251" s="1"/>
  <c r="K61" i="251" s="1"/>
  <c r="H68" i="251"/>
  <c r="H54" i="202"/>
  <c r="D75" i="202" s="1"/>
  <c r="E75" i="202" s="1"/>
  <c r="F75" i="202" s="1"/>
  <c r="I48" i="247"/>
  <c r="I49" i="247" s="1"/>
  <c r="C63" i="247" s="1"/>
  <c r="I49" i="244"/>
  <c r="C63" i="244" s="1"/>
  <c r="C66" i="244" s="1"/>
  <c r="H66" i="244" s="1"/>
  <c r="C44" i="208"/>
  <c r="C59" i="208" s="1"/>
  <c r="F54" i="213"/>
  <c r="H54" i="213" s="1"/>
  <c r="D75" i="213" s="1"/>
  <c r="D76" i="213" s="1"/>
  <c r="E76" i="213" s="1"/>
  <c r="I48" i="241"/>
  <c r="I49" i="241" s="1"/>
  <c r="C63" i="241" s="1"/>
  <c r="I48" i="248"/>
  <c r="I49" i="248" s="1"/>
  <c r="C63" i="248" s="1"/>
  <c r="E75" i="204"/>
  <c r="F75" i="204" s="1"/>
  <c r="D76" i="244"/>
  <c r="E76" i="244" s="1"/>
  <c r="E75" i="244"/>
  <c r="F75" i="244" s="1"/>
  <c r="F76" i="244" s="1"/>
  <c r="F54" i="240"/>
  <c r="H54" i="240" s="1"/>
  <c r="D75" i="240" s="1"/>
  <c r="E75" i="240" s="1"/>
  <c r="F75" i="240" s="1"/>
  <c r="F76" i="240" s="1"/>
  <c r="H61" i="207"/>
  <c r="H65" i="207"/>
  <c r="G59" i="216"/>
  <c r="G69" i="216" s="1"/>
  <c r="I49" i="245"/>
  <c r="C63" i="245" s="1"/>
  <c r="C66" i="245" s="1"/>
  <c r="G71" i="207"/>
  <c r="I75" i="207" s="1"/>
  <c r="I76" i="207" s="1"/>
  <c r="I48" i="212"/>
  <c r="F54" i="212" s="1"/>
  <c r="H54" i="212" s="1"/>
  <c r="D75" i="212" s="1"/>
  <c r="D76" i="212" s="1"/>
  <c r="E76" i="212" s="1"/>
  <c r="F54" i="252"/>
  <c r="H54" i="252" s="1"/>
  <c r="D75" i="252" s="1"/>
  <c r="D76" i="252" s="1"/>
  <c r="E76" i="252" s="1"/>
  <c r="I49" i="211"/>
  <c r="C63" i="211" s="1"/>
  <c r="C66" i="211" s="1"/>
  <c r="H66" i="211" s="1"/>
  <c r="I48" i="224"/>
  <c r="I49" i="224" s="1"/>
  <c r="C63" i="224" s="1"/>
  <c r="C66" i="224" s="1"/>
  <c r="H66" i="224" s="1"/>
  <c r="I48" i="214"/>
  <c r="I49" i="214" s="1"/>
  <c r="C63" i="214" s="1"/>
  <c r="C66" i="214" s="1"/>
  <c r="H66" i="214" s="1"/>
  <c r="I49" i="218"/>
  <c r="C63" i="218" s="1"/>
  <c r="C66" i="218" s="1"/>
  <c r="H66" i="218" s="1"/>
  <c r="I49" i="207"/>
  <c r="C63" i="207" s="1"/>
  <c r="C66" i="207" s="1"/>
  <c r="J68" i="207" s="1"/>
  <c r="K68" i="207" s="1"/>
  <c r="L68" i="207" s="1"/>
  <c r="H64" i="207"/>
  <c r="G62" i="207"/>
  <c r="I49" i="201"/>
  <c r="C63" i="201" s="1"/>
  <c r="C66" i="201" s="1"/>
  <c r="H65" i="216"/>
  <c r="I49" i="202"/>
  <c r="C63" i="202" s="1"/>
  <c r="C66" i="202" s="1"/>
  <c r="H66" i="202" s="1"/>
  <c r="I49" i="213"/>
  <c r="C63" i="213" s="1"/>
  <c r="C66" i="213" s="1"/>
  <c r="I48" i="221"/>
  <c r="I49" i="221" s="1"/>
  <c r="C63" i="221" s="1"/>
  <c r="C66" i="221" s="1"/>
  <c r="I48" i="216"/>
  <c r="I49" i="216" s="1"/>
  <c r="C63" i="216" s="1"/>
  <c r="G59" i="207"/>
  <c r="G69" i="207" s="1"/>
  <c r="G67" i="207"/>
  <c r="G71" i="216"/>
  <c r="I75" i="216" s="1"/>
  <c r="G68" i="216"/>
  <c r="G62" i="216"/>
  <c r="I48" i="215"/>
  <c r="I49" i="215" s="1"/>
  <c r="C63" i="215" s="1"/>
  <c r="C66" i="215" s="1"/>
  <c r="H66" i="215" s="1"/>
  <c r="I48" i="220"/>
  <c r="I49" i="220" s="1"/>
  <c r="C63" i="220" s="1"/>
  <c r="C66" i="220" s="1"/>
  <c r="I49" i="246"/>
  <c r="C63" i="246" s="1"/>
  <c r="C66" i="246" s="1"/>
  <c r="F54" i="246"/>
  <c r="H54" i="246" s="1"/>
  <c r="D75" i="246" s="1"/>
  <c r="D76" i="245"/>
  <c r="E76" i="245" s="1"/>
  <c r="E75" i="245"/>
  <c r="F75" i="245" s="1"/>
  <c r="F81" i="245" s="1"/>
  <c r="I49" i="205"/>
  <c r="C63" i="205" s="1"/>
  <c r="F54" i="205"/>
  <c r="H54" i="205" s="1"/>
  <c r="D75" i="205" s="1"/>
  <c r="I49" i="208"/>
  <c r="C63" i="208" s="1"/>
  <c r="F54" i="208"/>
  <c r="H54" i="208" s="1"/>
  <c r="D75" i="208" s="1"/>
  <c r="F54" i="216"/>
  <c r="H54" i="216" s="1"/>
  <c r="D75" i="216" s="1"/>
  <c r="E75" i="216" s="1"/>
  <c r="F75" i="216" s="1"/>
  <c r="I49" i="219"/>
  <c r="C63" i="219" s="1"/>
  <c r="C66" i="219" s="1"/>
  <c r="F54" i="219"/>
  <c r="H54" i="219" s="1"/>
  <c r="D75" i="219" s="1"/>
  <c r="H59" i="213"/>
  <c r="J61" i="213" s="1"/>
  <c r="K61" i="213" s="1"/>
  <c r="H67" i="213"/>
  <c r="H68" i="213"/>
  <c r="G70" i="213"/>
  <c r="G59" i="213" s="1"/>
  <c r="G69" i="213" s="1"/>
  <c r="H62" i="224"/>
  <c r="H68" i="224"/>
  <c r="H67" i="224"/>
  <c r="G70" i="224"/>
  <c r="G59" i="224" s="1"/>
  <c r="G69" i="224" s="1"/>
  <c r="H59" i="224"/>
  <c r="J61" i="224" s="1"/>
  <c r="K61" i="224" s="1"/>
  <c r="G70" i="214"/>
  <c r="G66" i="214" s="1"/>
  <c r="H59" i="214"/>
  <c r="J61" i="214" s="1"/>
  <c r="K61" i="214" s="1"/>
  <c r="H68" i="214"/>
  <c r="H67" i="214"/>
  <c r="H68" i="252"/>
  <c r="H67" i="252"/>
  <c r="G70" i="252"/>
  <c r="G66" i="252" s="1"/>
  <c r="H62" i="252"/>
  <c r="H59" i="252"/>
  <c r="J61" i="252" s="1"/>
  <c r="K61" i="252" s="1"/>
  <c r="G70" i="244"/>
  <c r="G66" i="244" s="1"/>
  <c r="H68" i="244"/>
  <c r="H59" i="244"/>
  <c r="J61" i="244" s="1"/>
  <c r="K61" i="244" s="1"/>
  <c r="H62" i="244"/>
  <c r="H67" i="244"/>
  <c r="G70" i="208"/>
  <c r="G59" i="208" s="1"/>
  <c r="G69" i="208" s="1"/>
  <c r="H62" i="208"/>
  <c r="H68" i="208"/>
  <c r="H67" i="208"/>
  <c r="H59" i="208"/>
  <c r="J61" i="208" s="1"/>
  <c r="K61" i="208" s="1"/>
  <c r="I76" i="205"/>
  <c r="H66" i="240"/>
  <c r="G70" i="212"/>
  <c r="H59" i="212"/>
  <c r="J61" i="212" s="1"/>
  <c r="K61" i="212" s="1"/>
  <c r="H68" i="212"/>
  <c r="H68" i="246"/>
  <c r="H67" i="246"/>
  <c r="H59" i="246"/>
  <c r="J61" i="246" s="1"/>
  <c r="K61" i="246" s="1"/>
  <c r="G70" i="246"/>
  <c r="H59" i="206"/>
  <c r="J61" i="206" s="1"/>
  <c r="K61" i="206" s="1"/>
  <c r="H67" i="206"/>
  <c r="G70" i="206"/>
  <c r="H68" i="206"/>
  <c r="H62" i="206"/>
  <c r="H62" i="212"/>
  <c r="H67" i="212"/>
  <c r="G70" i="220"/>
  <c r="H67" i="220"/>
  <c r="H68" i="220"/>
  <c r="H59" i="220"/>
  <c r="J61" i="220" s="1"/>
  <c r="K61" i="220" s="1"/>
  <c r="H59" i="221"/>
  <c r="J61" i="221" s="1"/>
  <c r="K61" i="221" s="1"/>
  <c r="H67" i="221"/>
  <c r="G70" i="221"/>
  <c r="H64" i="221" s="1"/>
  <c r="H68" i="221"/>
  <c r="H62" i="221"/>
  <c r="H67" i="240"/>
  <c r="G70" i="240"/>
  <c r="G59" i="240" s="1"/>
  <c r="G69" i="240" s="1"/>
  <c r="H59" i="240"/>
  <c r="J61" i="240" s="1"/>
  <c r="K61" i="240" s="1"/>
  <c r="H62" i="240"/>
  <c r="H68" i="240"/>
  <c r="G70" i="247"/>
  <c r="G59" i="247" s="1"/>
  <c r="G69" i="247" s="1"/>
  <c r="H67" i="247"/>
  <c r="H59" i="247"/>
  <c r="J61" i="247" s="1"/>
  <c r="K61" i="247" s="1"/>
  <c r="H62" i="247"/>
  <c r="H68" i="247"/>
  <c r="H62" i="242"/>
  <c r="G70" i="242"/>
  <c r="H67" i="242"/>
  <c r="H59" i="242"/>
  <c r="J61" i="242" s="1"/>
  <c r="K61" i="242" s="1"/>
  <c r="H68" i="242"/>
  <c r="F54" i="243"/>
  <c r="H54" i="243" s="1"/>
  <c r="D75" i="243" s="1"/>
  <c r="H54" i="218"/>
  <c r="D75" i="218" s="1"/>
  <c r="G70" i="201"/>
  <c r="H59" i="201"/>
  <c r="J61" i="201" s="1"/>
  <c r="K61" i="201" s="1"/>
  <c r="H68" i="201"/>
  <c r="H67" i="201"/>
  <c r="H62" i="214"/>
  <c r="G59" i="252"/>
  <c r="G69" i="252" s="1"/>
  <c r="E75" i="201"/>
  <c r="F75" i="201" s="1"/>
  <c r="F81" i="201" s="1"/>
  <c r="C66" i="206"/>
  <c r="F54" i="206"/>
  <c r="H54" i="206" s="1"/>
  <c r="D75" i="206" s="1"/>
  <c r="F54" i="251"/>
  <c r="H54" i="251" s="1"/>
  <c r="D75" i="251" s="1"/>
  <c r="D76" i="251" s="1"/>
  <c r="E76" i="251" s="1"/>
  <c r="H62" i="219"/>
  <c r="G70" i="219"/>
  <c r="H68" i="219"/>
  <c r="H67" i="219"/>
  <c r="H59" i="219"/>
  <c r="J61" i="219" s="1"/>
  <c r="K61" i="219" s="1"/>
  <c r="E75" i="207"/>
  <c r="F75" i="207" s="1"/>
  <c r="F81" i="207" s="1"/>
  <c r="D76" i="202"/>
  <c r="E76" i="202" s="1"/>
  <c r="G59" i="246"/>
  <c r="G69" i="246" s="1"/>
  <c r="H59" i="218"/>
  <c r="J61" i="218" s="1"/>
  <c r="K61" i="218" s="1"/>
  <c r="H68" i="218"/>
  <c r="G70" i="218"/>
  <c r="H67" i="218"/>
  <c r="H67" i="215"/>
  <c r="H68" i="215"/>
  <c r="H59" i="215"/>
  <c r="J61" i="215" s="1"/>
  <c r="K61" i="215" s="1"/>
  <c r="G70" i="215"/>
  <c r="G59" i="215" s="1"/>
  <c r="G69" i="215" s="1"/>
  <c r="G70" i="204"/>
  <c r="G59" i="204" s="1"/>
  <c r="G69" i="204" s="1"/>
  <c r="H67" i="204"/>
  <c r="H68" i="204"/>
  <c r="H59" i="204"/>
  <c r="J61" i="204" s="1"/>
  <c r="K61" i="204" s="1"/>
  <c r="G70" i="249"/>
  <c r="J68" i="249" s="1"/>
  <c r="K68" i="249" s="1"/>
  <c r="L68" i="249" s="1"/>
  <c r="H59" i="249"/>
  <c r="J61" i="249" s="1"/>
  <c r="K61" i="249" s="1"/>
  <c r="H68" i="249"/>
  <c r="H62" i="249"/>
  <c r="H67" i="249"/>
  <c r="H59" i="245"/>
  <c r="J61" i="245" s="1"/>
  <c r="K61" i="245" s="1"/>
  <c r="G70" i="245"/>
  <c r="H68" i="245"/>
  <c r="H62" i="245"/>
  <c r="H67" i="245"/>
  <c r="H67" i="243"/>
  <c r="H62" i="243"/>
  <c r="H68" i="243"/>
  <c r="H59" i="243"/>
  <c r="J61" i="243" s="1"/>
  <c r="K61" i="243" s="1"/>
  <c r="G70" i="243"/>
  <c r="H62" i="220"/>
  <c r="H62" i="201"/>
  <c r="H62" i="213"/>
  <c r="F54" i="242"/>
  <c r="H54" i="242" s="1"/>
  <c r="D75" i="242" s="1"/>
  <c r="E75" i="242" s="1"/>
  <c r="F75" i="242" s="1"/>
  <c r="F76" i="242" s="1"/>
  <c r="C66" i="248"/>
  <c r="G66" i="248" s="1"/>
  <c r="H63" i="248"/>
  <c r="F54" i="248"/>
  <c r="H54" i="248" s="1"/>
  <c r="D75" i="248" s="1"/>
  <c r="D76" i="248" s="1"/>
  <c r="E76" i="248" s="1"/>
  <c r="F54" i="220"/>
  <c r="H54" i="220" s="1"/>
  <c r="D75" i="220" s="1"/>
  <c r="D76" i="220" s="1"/>
  <c r="E76" i="220" s="1"/>
  <c r="C66" i="247"/>
  <c r="H66" i="247" s="1"/>
  <c r="H63" i="246"/>
  <c r="I49" i="217"/>
  <c r="C63" i="217" s="1"/>
  <c r="C66" i="217" s="1"/>
  <c r="H66" i="217" s="1"/>
  <c r="H66" i="204"/>
  <c r="E75" i="212"/>
  <c r="F75" i="212" s="1"/>
  <c r="F76" i="212" s="1"/>
  <c r="E75" i="211"/>
  <c r="F75" i="211" s="1"/>
  <c r="F81" i="211" s="1"/>
  <c r="F54" i="214"/>
  <c r="H54" i="214" s="1"/>
  <c r="D75" i="214" s="1"/>
  <c r="D76" i="214" s="1"/>
  <c r="E76" i="214" s="1"/>
  <c r="H63" i="202"/>
  <c r="D76" i="217"/>
  <c r="E76" i="217" s="1"/>
  <c r="E75" i="217"/>
  <c r="F75" i="217" s="1"/>
  <c r="F81" i="217" s="1"/>
  <c r="C66" i="242"/>
  <c r="G66" i="242" s="1"/>
  <c r="E75" i="251"/>
  <c r="F75" i="251" s="1"/>
  <c r="F76" i="251" s="1"/>
  <c r="I49" i="251"/>
  <c r="C63" i="251" s="1"/>
  <c r="E75" i="213"/>
  <c r="F75" i="213" s="1"/>
  <c r="F81" i="213" s="1"/>
  <c r="J68" i="217"/>
  <c r="K68" i="217" s="1"/>
  <c r="L68" i="217" s="1"/>
  <c r="G66" i="217"/>
  <c r="H63" i="217"/>
  <c r="G81" i="241"/>
  <c r="H66" i="201"/>
  <c r="I76" i="217"/>
  <c r="G81" i="217"/>
  <c r="F81" i="244"/>
  <c r="F81" i="202"/>
  <c r="F76" i="202"/>
  <c r="H66" i="252"/>
  <c r="F76" i="245"/>
  <c r="H66" i="249"/>
  <c r="G66" i="249"/>
  <c r="G81" i="202"/>
  <c r="I76" i="202"/>
  <c r="H66" i="243"/>
  <c r="F76" i="207"/>
  <c r="F81" i="204"/>
  <c r="F76" i="204"/>
  <c r="E75" i="252"/>
  <c r="F75" i="252" s="1"/>
  <c r="E75" i="243"/>
  <c r="F75" i="243" s="1"/>
  <c r="D76" i="243"/>
  <c r="E76" i="243" s="1"/>
  <c r="G66" i="218" l="1"/>
  <c r="G66" i="202"/>
  <c r="F54" i="241"/>
  <c r="H54" i="241" s="1"/>
  <c r="D75" i="241" s="1"/>
  <c r="E75" i="241" s="1"/>
  <c r="F75" i="241" s="1"/>
  <c r="F76" i="241" s="1"/>
  <c r="G71" i="251"/>
  <c r="I75" i="251" s="1"/>
  <c r="H60" i="251"/>
  <c r="G62" i="251"/>
  <c r="H65" i="251"/>
  <c r="G67" i="251"/>
  <c r="H61" i="251"/>
  <c r="G68" i="251"/>
  <c r="G59" i="251"/>
  <c r="G69" i="251" s="1"/>
  <c r="F54" i="247"/>
  <c r="H54" i="247" s="1"/>
  <c r="D75" i="247" s="1"/>
  <c r="E75" i="247" s="1"/>
  <c r="F75" i="247" s="1"/>
  <c r="H64" i="251"/>
  <c r="G68" i="248"/>
  <c r="G71" i="248"/>
  <c r="I75" i="248" s="1"/>
  <c r="H65" i="248"/>
  <c r="G59" i="248"/>
  <c r="G69" i="248" s="1"/>
  <c r="H61" i="248"/>
  <c r="G67" i="248"/>
  <c r="H60" i="248"/>
  <c r="G62" i="248"/>
  <c r="D76" i="216"/>
  <c r="E76" i="216" s="1"/>
  <c r="E75" i="249"/>
  <c r="F75" i="249" s="1"/>
  <c r="F76" i="249" s="1"/>
  <c r="I49" i="212"/>
  <c r="C63" i="212" s="1"/>
  <c r="H63" i="212" s="1"/>
  <c r="G66" i="243"/>
  <c r="H63" i="218"/>
  <c r="G68" i="211"/>
  <c r="G71" i="211"/>
  <c r="I75" i="211" s="1"/>
  <c r="G67" i="211"/>
  <c r="H64" i="211"/>
  <c r="H61" i="211"/>
  <c r="H65" i="211"/>
  <c r="G62" i="211"/>
  <c r="G59" i="211"/>
  <c r="G69" i="211" s="1"/>
  <c r="H60" i="211"/>
  <c r="H64" i="248"/>
  <c r="F81" i="240"/>
  <c r="H66" i="207"/>
  <c r="H63" i="211"/>
  <c r="J68" i="252"/>
  <c r="K68" i="252" s="1"/>
  <c r="L68" i="252" s="1"/>
  <c r="H63" i="207"/>
  <c r="G66" i="201"/>
  <c r="G81" i="207"/>
  <c r="G66" i="206"/>
  <c r="J68" i="201"/>
  <c r="K68" i="201" s="1"/>
  <c r="L68" i="201" s="1"/>
  <c r="H66" i="248"/>
  <c r="D76" i="240"/>
  <c r="E76" i="240" s="1"/>
  <c r="G66" i="211"/>
  <c r="G66" i="207"/>
  <c r="J68" i="248"/>
  <c r="K68" i="248" s="1"/>
  <c r="L68" i="248" s="1"/>
  <c r="J68" i="243"/>
  <c r="K68" i="243" s="1"/>
  <c r="L68" i="243" s="1"/>
  <c r="J68" i="211"/>
  <c r="K68" i="211" s="1"/>
  <c r="L68" i="211" s="1"/>
  <c r="H66" i="221"/>
  <c r="G66" i="221"/>
  <c r="J68" i="221"/>
  <c r="K68" i="221" s="1"/>
  <c r="L68" i="221" s="1"/>
  <c r="F54" i="215"/>
  <c r="H54" i="215" s="1"/>
  <c r="D75" i="215" s="1"/>
  <c r="H63" i="204"/>
  <c r="F54" i="221"/>
  <c r="H54" i="221" s="1"/>
  <c r="D75" i="221" s="1"/>
  <c r="D76" i="221" s="1"/>
  <c r="E76" i="221" s="1"/>
  <c r="F54" i="224"/>
  <c r="H54" i="224" s="1"/>
  <c r="E75" i="224" s="1"/>
  <c r="E76" i="224" s="1"/>
  <c r="F76" i="224" s="1"/>
  <c r="G66" i="204"/>
  <c r="H63" i="215"/>
  <c r="J68" i="204"/>
  <c r="K68" i="204" s="1"/>
  <c r="L68" i="204" s="1"/>
  <c r="H63" i="224"/>
  <c r="G66" i="220"/>
  <c r="H66" i="220"/>
  <c r="J68" i="220"/>
  <c r="K68" i="220" s="1"/>
  <c r="L68" i="220" s="1"/>
  <c r="F76" i="201"/>
  <c r="E75" i="214"/>
  <c r="F75" i="214" s="1"/>
  <c r="J68" i="224"/>
  <c r="K68" i="224" s="1"/>
  <c r="L68" i="224" s="1"/>
  <c r="G66" i="219"/>
  <c r="J68" i="246"/>
  <c r="K68" i="246" s="1"/>
  <c r="L68" i="246" s="1"/>
  <c r="G66" i="246"/>
  <c r="H66" i="246"/>
  <c r="H66" i="213"/>
  <c r="J68" i="213"/>
  <c r="K68" i="213" s="1"/>
  <c r="L68" i="213" s="1"/>
  <c r="H63" i="221"/>
  <c r="J68" i="214"/>
  <c r="K68" i="214" s="1"/>
  <c r="L68" i="214" s="1"/>
  <c r="F81" i="242"/>
  <c r="F76" i="211"/>
  <c r="F81" i="212"/>
  <c r="H66" i="219"/>
  <c r="G66" i="224"/>
  <c r="J68" i="202"/>
  <c r="K68" i="202" s="1"/>
  <c r="L68" i="202" s="1"/>
  <c r="H63" i="247"/>
  <c r="G66" i="247"/>
  <c r="G66" i="240"/>
  <c r="J68" i="245"/>
  <c r="K68" i="245" s="1"/>
  <c r="L68" i="245" s="1"/>
  <c r="J68" i="247"/>
  <c r="K68" i="247" s="1"/>
  <c r="L68" i="247" s="1"/>
  <c r="H66" i="206"/>
  <c r="D76" i="242"/>
  <c r="E76" i="242" s="1"/>
  <c r="H63" i="219"/>
  <c r="H63" i="213"/>
  <c r="G81" i="216"/>
  <c r="I76" i="216"/>
  <c r="H63" i="241"/>
  <c r="C66" i="241"/>
  <c r="J68" i="215"/>
  <c r="K68" i="215" s="1"/>
  <c r="L68" i="215" s="1"/>
  <c r="H61" i="204"/>
  <c r="G62" i="204"/>
  <c r="H64" i="204"/>
  <c r="G68" i="204"/>
  <c r="G71" i="204"/>
  <c r="I75" i="204" s="1"/>
  <c r="H65" i="204"/>
  <c r="H60" i="204"/>
  <c r="G67" i="204"/>
  <c r="H64" i="219"/>
  <c r="H65" i="219"/>
  <c r="G59" i="219"/>
  <c r="G69" i="219" s="1"/>
  <c r="H60" i="219"/>
  <c r="H61" i="219"/>
  <c r="G67" i="219"/>
  <c r="G71" i="219"/>
  <c r="I75" i="219" s="1"/>
  <c r="G62" i="219"/>
  <c r="G68" i="219"/>
  <c r="H63" i="201"/>
  <c r="G59" i="221"/>
  <c r="G69" i="221" s="1"/>
  <c r="H65" i="206"/>
  <c r="H60" i="206"/>
  <c r="G71" i="206"/>
  <c r="I75" i="206" s="1"/>
  <c r="G67" i="206"/>
  <c r="G62" i="206"/>
  <c r="J68" i="206"/>
  <c r="K68" i="206" s="1"/>
  <c r="L68" i="206" s="1"/>
  <c r="H61" i="206"/>
  <c r="G68" i="206"/>
  <c r="H64" i="206"/>
  <c r="G59" i="206"/>
  <c r="G69" i="206" s="1"/>
  <c r="G59" i="244"/>
  <c r="G69" i="244" s="1"/>
  <c r="G71" i="244"/>
  <c r="I75" i="244" s="1"/>
  <c r="H64" i="244"/>
  <c r="G67" i="244"/>
  <c r="H63" i="244"/>
  <c r="H60" i="244"/>
  <c r="H61" i="244"/>
  <c r="G62" i="244"/>
  <c r="G68" i="244"/>
  <c r="H65" i="244"/>
  <c r="J68" i="244"/>
  <c r="K68" i="244" s="1"/>
  <c r="L68" i="244" s="1"/>
  <c r="D76" i="219"/>
  <c r="E76" i="219" s="1"/>
  <c r="E75" i="219"/>
  <c r="F75" i="219" s="1"/>
  <c r="D76" i="208"/>
  <c r="E76" i="208" s="1"/>
  <c r="E75" i="208"/>
  <c r="F75" i="208" s="1"/>
  <c r="E75" i="205"/>
  <c r="F75" i="205" s="1"/>
  <c r="D76" i="205"/>
  <c r="E76" i="205" s="1"/>
  <c r="E75" i="246"/>
  <c r="F75" i="246" s="1"/>
  <c r="D76" i="246"/>
  <c r="E76" i="246" s="1"/>
  <c r="H60" i="243"/>
  <c r="G71" i="243"/>
  <c r="I75" i="243" s="1"/>
  <c r="G68" i="243"/>
  <c r="H64" i="243"/>
  <c r="G67" i="243"/>
  <c r="G59" i="243"/>
  <c r="G69" i="243" s="1"/>
  <c r="G62" i="243"/>
  <c r="H61" i="243"/>
  <c r="H65" i="243"/>
  <c r="H65" i="245"/>
  <c r="G68" i="245"/>
  <c r="G71" i="245"/>
  <c r="I75" i="245" s="1"/>
  <c r="H61" i="245"/>
  <c r="G67" i="245"/>
  <c r="G59" i="245"/>
  <c r="G69" i="245" s="1"/>
  <c r="H60" i="245"/>
  <c r="G62" i="245"/>
  <c r="H64" i="245"/>
  <c r="E75" i="206"/>
  <c r="F75" i="206" s="1"/>
  <c r="D76" i="206"/>
  <c r="E76" i="206" s="1"/>
  <c r="G68" i="242"/>
  <c r="G62" i="242"/>
  <c r="H61" i="242"/>
  <c r="H64" i="242"/>
  <c r="G59" i="242"/>
  <c r="G69" i="242" s="1"/>
  <c r="H60" i="242"/>
  <c r="G71" i="242"/>
  <c r="I75" i="242" s="1"/>
  <c r="H65" i="242"/>
  <c r="G67" i="242"/>
  <c r="G62" i="212"/>
  <c r="H64" i="212"/>
  <c r="G59" i="212"/>
  <c r="G69" i="212" s="1"/>
  <c r="G71" i="212"/>
  <c r="I75" i="212" s="1"/>
  <c r="H65" i="212"/>
  <c r="G68" i="212"/>
  <c r="H60" i="212"/>
  <c r="G67" i="212"/>
  <c r="H61" i="212"/>
  <c r="H64" i="208"/>
  <c r="H60" i="208"/>
  <c r="G62" i="208"/>
  <c r="G68" i="208"/>
  <c r="G71" i="208"/>
  <c r="I75" i="208" s="1"/>
  <c r="G67" i="208"/>
  <c r="H65" i="208"/>
  <c r="H61" i="208"/>
  <c r="G59" i="214"/>
  <c r="G69" i="214" s="1"/>
  <c r="G67" i="214"/>
  <c r="H60" i="214"/>
  <c r="G62" i="214"/>
  <c r="G68" i="214"/>
  <c r="H61" i="214"/>
  <c r="H65" i="214"/>
  <c r="H64" i="214"/>
  <c r="G71" i="214"/>
  <c r="I75" i="214" s="1"/>
  <c r="J68" i="219"/>
  <c r="K68" i="219" s="1"/>
  <c r="L68" i="219" s="1"/>
  <c r="C66" i="208"/>
  <c r="J68" i="208" s="1"/>
  <c r="K68" i="208" s="1"/>
  <c r="L68" i="208" s="1"/>
  <c r="H63" i="208"/>
  <c r="H63" i="205"/>
  <c r="C66" i="205"/>
  <c r="H60" i="215"/>
  <c r="H61" i="215"/>
  <c r="G71" i="215"/>
  <c r="I75" i="215" s="1"/>
  <c r="G68" i="215"/>
  <c r="H65" i="215"/>
  <c r="H64" i="215"/>
  <c r="G67" i="215"/>
  <c r="G62" i="215"/>
  <c r="F75" i="224"/>
  <c r="G75" i="224" s="1"/>
  <c r="G76" i="224" s="1"/>
  <c r="F81" i="224" s="1"/>
  <c r="G59" i="201"/>
  <c r="G69" i="201" s="1"/>
  <c r="G67" i="201"/>
  <c r="G62" i="201"/>
  <c r="G71" i="201"/>
  <c r="I75" i="201" s="1"/>
  <c r="G68" i="201"/>
  <c r="H65" i="201"/>
  <c r="H60" i="201"/>
  <c r="H61" i="201"/>
  <c r="H64" i="201"/>
  <c r="G62" i="220"/>
  <c r="H60" i="220"/>
  <c r="H61" i="220"/>
  <c r="H64" i="220"/>
  <c r="G71" i="220"/>
  <c r="I75" i="220" s="1"/>
  <c r="I76" i="220" s="1"/>
  <c r="G81" i="220" s="1"/>
  <c r="G67" i="220"/>
  <c r="G68" i="220"/>
  <c r="H65" i="220"/>
  <c r="H63" i="245"/>
  <c r="H63" i="242"/>
  <c r="G59" i="249"/>
  <c r="G69" i="249" s="1"/>
  <c r="G71" i="249"/>
  <c r="I75" i="249" s="1"/>
  <c r="H64" i="249"/>
  <c r="H63" i="249"/>
  <c r="H60" i="249"/>
  <c r="G67" i="249"/>
  <c r="H65" i="249"/>
  <c r="G62" i="249"/>
  <c r="G68" i="249"/>
  <c r="H61" i="249"/>
  <c r="H65" i="218"/>
  <c r="G68" i="218"/>
  <c r="H61" i="218"/>
  <c r="H60" i="218"/>
  <c r="G67" i="218"/>
  <c r="G62" i="218"/>
  <c r="G59" i="218"/>
  <c r="G69" i="218" s="1"/>
  <c r="G71" i="218"/>
  <c r="I75" i="218" s="1"/>
  <c r="E75" i="218"/>
  <c r="F75" i="218" s="1"/>
  <c r="D76" i="218"/>
  <c r="E76" i="218" s="1"/>
  <c r="G62" i="247"/>
  <c r="H60" i="247"/>
  <c r="H61" i="247"/>
  <c r="H64" i="247"/>
  <c r="G67" i="247"/>
  <c r="G71" i="247"/>
  <c r="I75" i="247" s="1"/>
  <c r="G68" i="247"/>
  <c r="H65" i="247"/>
  <c r="H60" i="240"/>
  <c r="G68" i="240"/>
  <c r="G62" i="240"/>
  <c r="J68" i="240"/>
  <c r="K68" i="240" s="1"/>
  <c r="L68" i="240" s="1"/>
  <c r="G67" i="240"/>
  <c r="H61" i="240"/>
  <c r="H65" i="240"/>
  <c r="G71" i="240"/>
  <c r="I75" i="240" s="1"/>
  <c r="H63" i="240"/>
  <c r="H64" i="240"/>
  <c r="G62" i="221"/>
  <c r="G71" i="221"/>
  <c r="I75" i="221" s="1"/>
  <c r="H65" i="221"/>
  <c r="G67" i="221"/>
  <c r="H60" i="221"/>
  <c r="H61" i="221"/>
  <c r="G68" i="221"/>
  <c r="H63" i="214"/>
  <c r="G68" i="246"/>
  <c r="H60" i="246"/>
  <c r="G62" i="246"/>
  <c r="H64" i="246"/>
  <c r="G71" i="246"/>
  <c r="I75" i="246" s="1"/>
  <c r="H61" i="246"/>
  <c r="G67" i="246"/>
  <c r="H65" i="246"/>
  <c r="J68" i="218"/>
  <c r="K68" i="218" s="1"/>
  <c r="L68" i="218" s="1"/>
  <c r="H60" i="252"/>
  <c r="G62" i="252"/>
  <c r="G67" i="252"/>
  <c r="G68" i="252"/>
  <c r="H64" i="252"/>
  <c r="G71" i="252"/>
  <c r="I75" i="252" s="1"/>
  <c r="H61" i="252"/>
  <c r="H63" i="252"/>
  <c r="H65" i="252"/>
  <c r="H65" i="224"/>
  <c r="G71" i="224"/>
  <c r="J75" i="224" s="1"/>
  <c r="J76" i="224" s="1"/>
  <c r="G81" i="224" s="1"/>
  <c r="G62" i="224"/>
  <c r="G67" i="224"/>
  <c r="H60" i="224"/>
  <c r="G68" i="224"/>
  <c r="H64" i="224"/>
  <c r="H61" i="224"/>
  <c r="H64" i="213"/>
  <c r="H61" i="213"/>
  <c r="H65" i="213"/>
  <c r="G67" i="213"/>
  <c r="G68" i="213"/>
  <c r="G71" i="213"/>
  <c r="I75" i="213" s="1"/>
  <c r="H60" i="213"/>
  <c r="G62" i="213"/>
  <c r="H63" i="206"/>
  <c r="H63" i="216"/>
  <c r="C66" i="216"/>
  <c r="G66" i="213"/>
  <c r="H63" i="243"/>
  <c r="G59" i="220"/>
  <c r="G69" i="220" s="1"/>
  <c r="H64" i="218"/>
  <c r="H63" i="220"/>
  <c r="F76" i="217"/>
  <c r="F76" i="213"/>
  <c r="E75" i="248"/>
  <c r="F75" i="248" s="1"/>
  <c r="F76" i="248" s="1"/>
  <c r="G66" i="215"/>
  <c r="G66" i="245"/>
  <c r="E75" i="220"/>
  <c r="F75" i="220" s="1"/>
  <c r="F76" i="220" s="1"/>
  <c r="F81" i="220" s="1"/>
  <c r="F81" i="251"/>
  <c r="D76" i="215"/>
  <c r="E76" i="215" s="1"/>
  <c r="E75" i="215"/>
  <c r="F75" i="215" s="1"/>
  <c r="H66" i="242"/>
  <c r="J68" i="242"/>
  <c r="K68" i="242" s="1"/>
  <c r="L68" i="242" s="1"/>
  <c r="C66" i="251"/>
  <c r="H63" i="251"/>
  <c r="H66" i="245"/>
  <c r="F81" i="241"/>
  <c r="F81" i="252"/>
  <c r="F76" i="252"/>
  <c r="F81" i="214"/>
  <c r="F76" i="214"/>
  <c r="F81" i="243"/>
  <c r="F76" i="243"/>
  <c r="F81" i="216"/>
  <c r="F76" i="216"/>
  <c r="I76" i="211" l="1"/>
  <c r="G81" i="211"/>
  <c r="D76" i="247"/>
  <c r="E76" i="247" s="1"/>
  <c r="G81" i="248"/>
  <c r="I76" i="248"/>
  <c r="C66" i="212"/>
  <c r="F81" i="249"/>
  <c r="G81" i="251"/>
  <c r="I76" i="251"/>
  <c r="D76" i="241"/>
  <c r="E76" i="241" s="1"/>
  <c r="E75" i="221"/>
  <c r="F75" i="221" s="1"/>
  <c r="F76" i="221" s="1"/>
  <c r="J68" i="212"/>
  <c r="K68" i="212" s="1"/>
  <c r="L68" i="212" s="1"/>
  <c r="G66" i="241"/>
  <c r="J68" i="241"/>
  <c r="K68" i="241" s="1"/>
  <c r="L68" i="241" s="1"/>
  <c r="H66" i="241"/>
  <c r="H66" i="216"/>
  <c r="J68" i="216"/>
  <c r="K68" i="216" s="1"/>
  <c r="L68" i="216" s="1"/>
  <c r="G66" i="216"/>
  <c r="I76" i="246"/>
  <c r="G81" i="246"/>
  <c r="F81" i="218"/>
  <c r="F76" i="218"/>
  <c r="G66" i="205"/>
  <c r="J68" i="205"/>
  <c r="K68" i="205" s="1"/>
  <c r="L68" i="205" s="1"/>
  <c r="H66" i="205"/>
  <c r="I76" i="212"/>
  <c r="G81" i="212"/>
  <c r="F81" i="205"/>
  <c r="F76" i="205"/>
  <c r="I76" i="213"/>
  <c r="G81" i="213"/>
  <c r="G81" i="247"/>
  <c r="I76" i="247"/>
  <c r="I76" i="218"/>
  <c r="G81" i="218"/>
  <c r="I76" i="249"/>
  <c r="G81" i="249"/>
  <c r="G81" i="215"/>
  <c r="I76" i="215"/>
  <c r="I76" i="214"/>
  <c r="G81" i="214"/>
  <c r="I76" i="208"/>
  <c r="G81" i="208"/>
  <c r="G81" i="245"/>
  <c r="I76" i="245"/>
  <c r="F81" i="208"/>
  <c r="F76" i="208"/>
  <c r="I76" i="252"/>
  <c r="G81" i="252"/>
  <c r="I76" i="201"/>
  <c r="G81" i="201"/>
  <c r="I76" i="242"/>
  <c r="G81" i="242"/>
  <c r="F81" i="206"/>
  <c r="F76" i="206"/>
  <c r="F76" i="246"/>
  <c r="F81" i="246"/>
  <c r="I76" i="244"/>
  <c r="G81" i="244"/>
  <c r="I76" i="219"/>
  <c r="G81" i="219"/>
  <c r="F76" i="247"/>
  <c r="F81" i="247"/>
  <c r="G81" i="204"/>
  <c r="I76" i="204"/>
  <c r="G81" i="221"/>
  <c r="I76" i="221"/>
  <c r="I76" i="240"/>
  <c r="G81" i="240"/>
  <c r="H66" i="208"/>
  <c r="G66" i="208"/>
  <c r="I76" i="243"/>
  <c r="G81" i="243"/>
  <c r="F76" i="219"/>
  <c r="F81" i="219"/>
  <c r="I76" i="206"/>
  <c r="G81" i="206"/>
  <c r="F81" i="248"/>
  <c r="F81" i="215"/>
  <c r="F76" i="215"/>
  <c r="H66" i="251"/>
  <c r="J68" i="251"/>
  <c r="K68" i="251" s="1"/>
  <c r="L68" i="251" s="1"/>
  <c r="G66" i="251"/>
  <c r="H66" i="212" l="1"/>
  <c r="G66" i="212"/>
  <c r="F81" i="221"/>
</calcChain>
</file>

<file path=xl/comments1.xml><?xml version="1.0" encoding="utf-8"?>
<comments xmlns="http://schemas.openxmlformats.org/spreadsheetml/2006/main">
  <authors>
    <author>tc={B16603F9-1199-4E9B-8D9A-6CDDA89A56E2}</author>
    <author>tc={72CAB778-1D1B-495D-B56A-2C449DE085AD}</author>
  </authors>
  <commentList>
    <comment ref="F45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Tener en cuenta: valor nominal, unidad, clase,marcación del fabricante y marcación adicional. ejemplo: (5 kg * M LVF TR)</t>
        </r>
      </text>
    </comment>
    <comment ref="H140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Valor agregado algebraicamente al resultado no corregido de una medición para compensar un error sistemático. Nota: la corrección es igual al error sistemático, con signo negativo.</t>
        </r>
      </text>
    </comment>
  </commentList>
</comments>
</file>

<file path=xl/comments2.xml><?xml version="1.0" encoding="utf-8"?>
<comments xmlns="http://schemas.openxmlformats.org/spreadsheetml/2006/main">
  <authors>
    <author>Elvis Aguirre Romero</author>
  </authors>
  <commentList>
    <comment ref="I48" authorId="0" shapeId="0">
      <text>
        <r>
          <rPr>
            <b/>
            <sz val="9"/>
            <color indexed="81"/>
            <rFont val="Tahoma"/>
            <family val="2"/>
          </rPr>
          <t>Ecuación (E.3-1) NTC 1848:2007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9" authorId="0" shapeId="0">
      <text>
        <r>
          <rPr>
            <b/>
            <sz val="9"/>
            <color indexed="81"/>
            <rFont val="Tahoma"/>
            <family val="2"/>
          </rPr>
          <t>Ecuación (C.6.3-3) NTC 1848:2007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Ecuación (C.5.1-3) NTC 1848:2007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Ecuación (C.6.3-1) NTC 1848:2007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Ecuación (C.6.4-2) NTC 1848:2007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<sst xmlns="http://schemas.openxmlformats.org/spreadsheetml/2006/main" count="5861" uniqueCount="443">
  <si>
    <t>Ciudad</t>
  </si>
  <si>
    <t>Código interno</t>
  </si>
  <si>
    <t>Certificado N°</t>
  </si>
  <si>
    <t>1 mg</t>
  </si>
  <si>
    <t>DATOS DE LA PESA DE REFERENCIA</t>
  </si>
  <si>
    <t xml:space="preserve">F1   1 mg  </t>
  </si>
  <si>
    <t>DATOS DE LA PESA DE PRUEBA</t>
  </si>
  <si>
    <t>Clase</t>
  </si>
  <si>
    <t>Fabricante</t>
  </si>
  <si>
    <t>Serial</t>
  </si>
  <si>
    <t>Marcación</t>
  </si>
  <si>
    <t>Fecha de Calibración</t>
  </si>
  <si>
    <r>
      <t xml:space="preserve">Valor Nominal </t>
    </r>
    <r>
      <rPr>
        <b/>
        <i/>
        <sz val="10"/>
        <color theme="1"/>
        <rFont val="Arial"/>
        <family val="2"/>
      </rPr>
      <t>m</t>
    </r>
    <r>
      <rPr>
        <b/>
        <i/>
        <vertAlign val="subscript"/>
        <sz val="10"/>
        <color theme="1"/>
        <rFont val="Arial"/>
        <family val="2"/>
      </rPr>
      <t>Nt</t>
    </r>
  </si>
  <si>
    <t>g</t>
  </si>
  <si>
    <r>
      <t xml:space="preserve">Valor Nominal </t>
    </r>
    <r>
      <rPr>
        <b/>
        <i/>
        <sz val="10"/>
        <color theme="1"/>
        <rFont val="Arial"/>
        <family val="2"/>
      </rPr>
      <t>m</t>
    </r>
    <r>
      <rPr>
        <b/>
        <i/>
        <vertAlign val="subscript"/>
        <sz val="10"/>
        <color theme="1"/>
        <rFont val="Arial"/>
        <family val="2"/>
      </rPr>
      <t>Nr</t>
    </r>
  </si>
  <si>
    <r>
      <t xml:space="preserve">Densidad </t>
    </r>
    <r>
      <rPr>
        <b/>
        <i/>
        <sz val="10"/>
        <color theme="1"/>
        <rFont val="Arial"/>
        <family val="2"/>
      </rPr>
      <t>ρ</t>
    </r>
    <r>
      <rPr>
        <b/>
        <i/>
        <vertAlign val="subscript"/>
        <sz val="10"/>
        <color theme="1"/>
        <rFont val="Arial"/>
        <family val="2"/>
      </rPr>
      <t>t</t>
    </r>
  </si>
  <si>
    <r>
      <t>kg/m</t>
    </r>
    <r>
      <rPr>
        <vertAlign val="superscript"/>
        <sz val="11"/>
        <color theme="1"/>
        <rFont val="Times New Roman"/>
        <family val="1"/>
      </rPr>
      <t>3</t>
    </r>
  </si>
  <si>
    <r>
      <t xml:space="preserve">Error </t>
    </r>
    <r>
      <rPr>
        <b/>
        <i/>
        <sz val="10"/>
        <color theme="1"/>
        <rFont val="Arial"/>
        <family val="2"/>
      </rPr>
      <t>e</t>
    </r>
    <r>
      <rPr>
        <b/>
        <i/>
        <vertAlign val="subscript"/>
        <sz val="10"/>
        <color theme="1"/>
        <rFont val="Arial"/>
        <family val="2"/>
      </rPr>
      <t>r</t>
    </r>
  </si>
  <si>
    <t>mg</t>
  </si>
  <si>
    <r>
      <t>Incertidumbre de densidad U</t>
    </r>
    <r>
      <rPr>
        <b/>
        <i/>
        <sz val="10"/>
        <color theme="1"/>
        <rFont val="Arial"/>
        <family val="2"/>
      </rPr>
      <t>(ρ</t>
    </r>
    <r>
      <rPr>
        <b/>
        <i/>
        <vertAlign val="subscript"/>
        <sz val="10"/>
        <color theme="1"/>
        <rFont val="Arial"/>
        <family val="2"/>
      </rPr>
      <t>t</t>
    </r>
    <r>
      <rPr>
        <b/>
        <i/>
        <sz val="10"/>
        <color theme="1"/>
        <rFont val="Arial"/>
        <family val="2"/>
      </rPr>
      <t>)</t>
    </r>
  </si>
  <si>
    <r>
      <t xml:space="preserve">Incertidumbre de calibración </t>
    </r>
    <r>
      <rPr>
        <b/>
        <i/>
        <sz val="10"/>
        <color theme="1"/>
        <rFont val="Arial"/>
        <family val="2"/>
      </rPr>
      <t>U(m</t>
    </r>
    <r>
      <rPr>
        <b/>
        <i/>
        <vertAlign val="subscript"/>
        <sz val="10"/>
        <color theme="1"/>
        <rFont val="Arial"/>
        <family val="2"/>
      </rPr>
      <t>cr</t>
    </r>
    <r>
      <rPr>
        <b/>
        <i/>
        <sz val="10"/>
        <color theme="1"/>
        <rFont val="Arial"/>
        <family val="2"/>
      </rPr>
      <t>)</t>
    </r>
    <r>
      <rPr>
        <b/>
        <sz val="10"/>
        <color theme="1"/>
        <rFont val="Arial"/>
        <family val="2"/>
      </rPr>
      <t xml:space="preserve"> (k=2)</t>
    </r>
  </si>
  <si>
    <r>
      <t xml:space="preserve">Densidad </t>
    </r>
    <r>
      <rPr>
        <b/>
        <i/>
        <sz val="10"/>
        <color theme="1"/>
        <rFont val="Arial"/>
        <family val="2"/>
      </rPr>
      <t>ρ</t>
    </r>
    <r>
      <rPr>
        <b/>
        <i/>
        <vertAlign val="subscript"/>
        <sz val="10"/>
        <color theme="1"/>
        <rFont val="Arial"/>
        <family val="2"/>
      </rPr>
      <t>r</t>
    </r>
  </si>
  <si>
    <r>
      <t>kg/m</t>
    </r>
    <r>
      <rPr>
        <vertAlign val="superscript"/>
        <sz val="10"/>
        <color theme="1"/>
        <rFont val="Arial"/>
        <family val="2"/>
      </rPr>
      <t>3</t>
    </r>
  </si>
  <si>
    <t>DATOS DEL INSTRUMENTO DE PESAJE DE FUNCIONAMIENTO NO AUTOMÁTICO-IPFNA</t>
  </si>
  <si>
    <r>
      <t xml:space="preserve">Incertidumbre de densidad </t>
    </r>
    <r>
      <rPr>
        <b/>
        <i/>
        <sz val="10"/>
        <color theme="1"/>
        <rFont val="Arial"/>
        <family val="2"/>
      </rPr>
      <t>u(ρ</t>
    </r>
    <r>
      <rPr>
        <b/>
        <i/>
        <vertAlign val="subscript"/>
        <sz val="10"/>
        <color theme="1"/>
        <rFont val="Arial"/>
        <family val="2"/>
      </rPr>
      <t>r</t>
    </r>
    <r>
      <rPr>
        <b/>
        <i/>
        <sz val="10"/>
        <color theme="1"/>
        <rFont val="Arial"/>
        <family val="2"/>
      </rPr>
      <t xml:space="preserve">) </t>
    </r>
  </si>
  <si>
    <r>
      <t>Densidad Aire en calibración</t>
    </r>
    <r>
      <rPr>
        <i/>
        <sz val="10"/>
        <color theme="1"/>
        <rFont val="Arial"/>
        <family val="2"/>
      </rPr>
      <t xml:space="preserve"> ρ</t>
    </r>
    <r>
      <rPr>
        <i/>
        <vertAlign val="subscript"/>
        <sz val="10"/>
        <color theme="1"/>
        <rFont val="Arial"/>
        <family val="2"/>
      </rPr>
      <t>a1</t>
    </r>
  </si>
  <si>
    <r>
      <t xml:space="preserve">Resolución </t>
    </r>
    <r>
      <rPr>
        <i/>
        <sz val="10"/>
        <color theme="1"/>
        <rFont val="Arial"/>
        <family val="2"/>
      </rPr>
      <t>d</t>
    </r>
  </si>
  <si>
    <t>Código Interno</t>
  </si>
  <si>
    <t>DATOS TERMOHIGRÓMETRO - BARÓMETRO</t>
  </si>
  <si>
    <t>Serie</t>
  </si>
  <si>
    <t>Fecha Certificado</t>
  </si>
  <si>
    <t>M-010</t>
  </si>
  <si>
    <r>
      <t xml:space="preserve">Incertidumbre </t>
    </r>
    <r>
      <rPr>
        <b/>
        <sz val="10"/>
        <color theme="0"/>
        <rFont val="Calibri"/>
        <family val="2"/>
      </rPr>
      <t>±</t>
    </r>
    <r>
      <rPr>
        <b/>
        <sz val="10"/>
        <color theme="0"/>
        <rFont val="Arial"/>
        <family val="2"/>
      </rPr>
      <t xml:space="preserve">  U (k=2)</t>
    </r>
  </si>
  <si>
    <t>Temperatura (°C)</t>
  </si>
  <si>
    <t>Humedad relativa (% hr)</t>
  </si>
  <si>
    <t>Presión (hPa)</t>
  </si>
  <si>
    <t>CICLOS DE PESAJE</t>
  </si>
  <si>
    <t>Hora inicial</t>
  </si>
  <si>
    <r>
      <t xml:space="preserve">N° de Ciclos </t>
    </r>
    <r>
      <rPr>
        <b/>
        <sz val="14"/>
        <color theme="1"/>
        <rFont val="Arial"/>
        <family val="2"/>
      </rPr>
      <t>n</t>
    </r>
  </si>
  <si>
    <t>INDICACIONES (g)</t>
  </si>
  <si>
    <t>EA</t>
  </si>
  <si>
    <t>Ciclo</t>
  </si>
  <si>
    <t>Nombre del Metrólogo</t>
  </si>
  <si>
    <t>Carga</t>
  </si>
  <si>
    <t>A</t>
  </si>
  <si>
    <t>B</t>
  </si>
  <si>
    <t>Hora final</t>
  </si>
  <si>
    <t>ANÁLISIS DE DATOS</t>
  </si>
  <si>
    <t>PROMEDIOS (g)</t>
  </si>
  <si>
    <t>OBSERVACIONES</t>
  </si>
  <si>
    <t>Promedio</t>
  </si>
  <si>
    <r>
      <t xml:space="preserve">Desviación
</t>
    </r>
    <r>
      <rPr>
        <b/>
        <i/>
        <sz val="11"/>
        <color theme="0"/>
        <rFont val="Arial"/>
        <family val="2"/>
      </rPr>
      <t>s</t>
    </r>
  </si>
  <si>
    <t>CÁLCULO DENSIDAD DEL AIRE</t>
  </si>
  <si>
    <t>Condiciones ambientales durante la calibración</t>
  </si>
  <si>
    <t>Magnitud</t>
  </si>
  <si>
    <r>
      <t xml:space="preserve">Densidad aire </t>
    </r>
    <r>
      <rPr>
        <b/>
        <i/>
        <sz val="11"/>
        <color theme="0"/>
        <rFont val="Arial"/>
        <family val="2"/>
      </rPr>
      <t>ρ</t>
    </r>
    <r>
      <rPr>
        <b/>
        <i/>
        <vertAlign val="subscript"/>
        <sz val="11"/>
        <color theme="0"/>
        <rFont val="Arial"/>
        <family val="2"/>
      </rPr>
      <t>a</t>
    </r>
  </si>
  <si>
    <r>
      <t>kg.m</t>
    </r>
    <r>
      <rPr>
        <b/>
        <vertAlign val="superscript"/>
        <sz val="11"/>
        <color theme="1"/>
        <rFont val="Arial"/>
        <family val="2"/>
      </rPr>
      <t>-3</t>
    </r>
  </si>
  <si>
    <t>Promedios</t>
  </si>
  <si>
    <r>
      <t xml:space="preserve">Incertidumbre densidad aire </t>
    </r>
    <r>
      <rPr>
        <b/>
        <i/>
        <sz val="11"/>
        <color theme="0"/>
        <rFont val="Arial"/>
        <family val="2"/>
      </rPr>
      <t>u(ρ</t>
    </r>
    <r>
      <rPr>
        <b/>
        <i/>
        <vertAlign val="subscript"/>
        <sz val="11"/>
        <color theme="0"/>
        <rFont val="Arial"/>
        <family val="2"/>
      </rPr>
      <t>a</t>
    </r>
    <r>
      <rPr>
        <b/>
        <i/>
        <sz val="11"/>
        <color theme="0"/>
        <rFont val="Arial"/>
        <family val="2"/>
      </rPr>
      <t>)</t>
    </r>
  </si>
  <si>
    <t xml:space="preserve">Promedios Corregidos </t>
  </si>
  <si>
    <r>
      <t>Densidad aire convencional</t>
    </r>
    <r>
      <rPr>
        <b/>
        <sz val="14"/>
        <color theme="0"/>
        <rFont val="Arial"/>
        <family val="2"/>
      </rPr>
      <t xml:space="preserve"> </t>
    </r>
    <r>
      <rPr>
        <i/>
        <sz val="14"/>
        <color theme="0"/>
        <rFont val="Arial"/>
        <family val="2"/>
      </rPr>
      <t>ρ</t>
    </r>
    <r>
      <rPr>
        <i/>
        <vertAlign val="subscript"/>
        <sz val="14"/>
        <color theme="0"/>
        <rFont val="Arial"/>
        <family val="2"/>
      </rPr>
      <t>0</t>
    </r>
  </si>
  <si>
    <t>DIFERENCIA PROMEDIO DE LA MASA CONVENCIONAL</t>
  </si>
  <si>
    <t>Promedio Indicación</t>
  </si>
  <si>
    <r>
      <t xml:space="preserve">Masa convencional de referencia </t>
    </r>
    <r>
      <rPr>
        <i/>
        <sz val="11"/>
        <color theme="1"/>
        <rFont val="Arial"/>
        <family val="2"/>
      </rPr>
      <t>m</t>
    </r>
    <r>
      <rPr>
        <i/>
        <vertAlign val="subscript"/>
        <sz val="11"/>
        <color theme="1"/>
        <rFont val="Arial"/>
        <family val="2"/>
      </rPr>
      <t>cr</t>
    </r>
  </si>
  <si>
    <t>Corrección empuje aire</t>
  </si>
  <si>
    <t>C</t>
  </si>
  <si>
    <t>Diferencia masa convencional</t>
  </si>
  <si>
    <t>PRESUPUESTO DE INCERTIDUMBRE</t>
  </si>
  <si>
    <t>Incertidumbre típica</t>
  </si>
  <si>
    <t>Distribución</t>
  </si>
  <si>
    <t>Aporte a la Incertidumbre</t>
  </si>
  <si>
    <t>Proceso de pesaje</t>
  </si>
  <si>
    <t>Normal</t>
  </si>
  <si>
    <t>Calibración pesa referencia</t>
  </si>
  <si>
    <t>U/k</t>
  </si>
  <si>
    <t>Rectangular</t>
  </si>
  <si>
    <t>∞</t>
  </si>
  <si>
    <t>Condicional incertidumbre dominante</t>
  </si>
  <si>
    <t>Inestabilidad pesa referencia</t>
  </si>
  <si>
    <t>Incertidumbre dominante</t>
  </si>
  <si>
    <t>SI</t>
  </si>
  <si>
    <t>≤ 0,3</t>
  </si>
  <si>
    <t>k=1,65</t>
  </si>
  <si>
    <t>Pesa de referencia</t>
  </si>
  <si>
    <r>
      <rPr>
        <b/>
        <sz val="12"/>
        <rFont val="Tahoma"/>
        <family val="2"/>
      </rPr>
      <t>≥</t>
    </r>
    <r>
      <rPr>
        <b/>
        <sz val="12"/>
        <rFont val="Arial"/>
        <family val="2"/>
      </rPr>
      <t xml:space="preserve"> 0,3</t>
    </r>
  </si>
  <si>
    <t>k= 2</t>
  </si>
  <si>
    <t>Densidad  del aire</t>
  </si>
  <si>
    <t>Densidad pesa prueba</t>
  </si>
  <si>
    <t>Densidad pesa referencia</t>
  </si>
  <si>
    <t>Corrección por empuje del aire</t>
  </si>
  <si>
    <t>Resolución balanza</t>
  </si>
  <si>
    <t>Grados de libertad</t>
  </si>
  <si>
    <t>Factor de cobertura k</t>
  </si>
  <si>
    <t xml:space="preserve">Nivel de Confianza            </t>
  </si>
  <si>
    <t>Incertidumbre por repetibilidad del método</t>
  </si>
  <si>
    <t>Incertidumbre estándar combinada</t>
  </si>
  <si>
    <t>Incertidumbre 
expandida</t>
  </si>
  <si>
    <t>RESULTADOS</t>
  </si>
  <si>
    <t xml:space="preserve">Masa convencional </t>
  </si>
  <si>
    <t>Error en masa convencional (mg)</t>
  </si>
  <si>
    <t xml:space="preserve">           </t>
  </si>
  <si>
    <t>±</t>
  </si>
  <si>
    <t xml:space="preserve">Incertidumbre masa convencional           </t>
  </si>
  <si>
    <t>2 mg</t>
  </si>
  <si>
    <t xml:space="preserve">F1   2 mg  </t>
  </si>
  <si>
    <t>2 mg *</t>
  </si>
  <si>
    <t xml:space="preserve">F1   2 mg punto </t>
  </si>
  <si>
    <t>5 mg</t>
  </si>
  <si>
    <t xml:space="preserve">F1   5 mg  </t>
  </si>
  <si>
    <t>10 mg</t>
  </si>
  <si>
    <t xml:space="preserve">F1   10 mg  </t>
  </si>
  <si>
    <t>SC</t>
  </si>
  <si>
    <t>20 mg</t>
  </si>
  <si>
    <t xml:space="preserve">F1   20 mg punto </t>
  </si>
  <si>
    <t>20 mg *</t>
  </si>
  <si>
    <t>LH</t>
  </si>
  <si>
    <t>50 mg</t>
  </si>
  <si>
    <t xml:space="preserve">F1   50 mg  </t>
  </si>
  <si>
    <t>100 mg</t>
  </si>
  <si>
    <t xml:space="preserve">F1   100 mg  </t>
  </si>
  <si>
    <t>200 mg</t>
  </si>
  <si>
    <t xml:space="preserve">F1   200 mg punto </t>
  </si>
  <si>
    <t>200 mg *</t>
  </si>
  <si>
    <t>500 mg</t>
  </si>
  <si>
    <t xml:space="preserve">F1   500 mg  </t>
  </si>
  <si>
    <t xml:space="preserve"> </t>
  </si>
  <si>
    <t xml:space="preserve">Incertidumbre </t>
  </si>
  <si>
    <t>1 g</t>
  </si>
  <si>
    <t xml:space="preserve">F1   1 g  </t>
  </si>
  <si>
    <t>M-011</t>
  </si>
  <si>
    <t>2 g</t>
  </si>
  <si>
    <t xml:space="preserve">F1   2 g  </t>
  </si>
  <si>
    <t>2 g *</t>
  </si>
  <si>
    <t xml:space="preserve">V 2 RL. 2 g  </t>
  </si>
  <si>
    <t xml:space="preserve">5 g </t>
  </si>
  <si>
    <t xml:space="preserve">F1   5 g  </t>
  </si>
  <si>
    <t>10 g</t>
  </si>
  <si>
    <t xml:space="preserve">F1   10 g  </t>
  </si>
  <si>
    <t>20 g</t>
  </si>
  <si>
    <t xml:space="preserve">F1   20 g  </t>
  </si>
  <si>
    <t>20 g *</t>
  </si>
  <si>
    <t>50 g</t>
  </si>
  <si>
    <t xml:space="preserve">F1   50 g  </t>
  </si>
  <si>
    <t>100 g</t>
  </si>
  <si>
    <t xml:space="preserve">F1   100 g  </t>
  </si>
  <si>
    <t>200 g</t>
  </si>
  <si>
    <t xml:space="preserve">F1   200 g  </t>
  </si>
  <si>
    <t>200 g *</t>
  </si>
  <si>
    <t>500 g</t>
  </si>
  <si>
    <t xml:space="preserve">F1   500 g  </t>
  </si>
  <si>
    <t>1 kg</t>
  </si>
  <si>
    <t xml:space="preserve">F1   1 000 g  </t>
  </si>
  <si>
    <t>2 kg</t>
  </si>
  <si>
    <t xml:space="preserve">F1   2 000 g  </t>
  </si>
  <si>
    <t>2 kg *</t>
  </si>
  <si>
    <t>5 kg</t>
  </si>
  <si>
    <t xml:space="preserve">F1   5 000 g  </t>
  </si>
  <si>
    <t>10 kg</t>
  </si>
  <si>
    <t>F1   10 000 g</t>
  </si>
  <si>
    <t xml:space="preserve">M-012  </t>
  </si>
  <si>
    <t>Datos de las Pesas Patrón</t>
  </si>
  <si>
    <t>No</t>
  </si>
  <si>
    <t>Ciudad de Origen</t>
  </si>
  <si>
    <t>Pesas</t>
  </si>
  <si>
    <t>Certificado Actual</t>
  </si>
  <si>
    <t>Valor nominal (g)</t>
  </si>
  <si>
    <t>Error (mg) Anterior según certificado</t>
  </si>
  <si>
    <t>Error (mg) Actual según certificado</t>
  </si>
  <si>
    <t>Deriva (mg)</t>
  </si>
  <si>
    <t>Incertidumbre de calibración (mg)</t>
  </si>
  <si>
    <r>
      <t>Densidad kg/m</t>
    </r>
    <r>
      <rPr>
        <b/>
        <vertAlign val="superscript"/>
        <sz val="12"/>
        <rFont val="Arial"/>
        <family val="2"/>
      </rPr>
      <t>3</t>
    </r>
  </si>
  <si>
    <r>
      <t>Incertidumbre de densidad kg/m</t>
    </r>
    <r>
      <rPr>
        <b/>
        <vertAlign val="superscript"/>
        <sz val="12"/>
        <rFont val="Arial"/>
        <family val="2"/>
      </rPr>
      <t>3</t>
    </r>
  </si>
  <si>
    <r>
      <t>Densidad del aire kg/m</t>
    </r>
    <r>
      <rPr>
        <b/>
        <vertAlign val="superscript"/>
        <sz val="12"/>
        <rFont val="Arial"/>
        <family val="2"/>
      </rPr>
      <t>3</t>
    </r>
  </si>
  <si>
    <t xml:space="preserve">E2   1 g  </t>
  </si>
  <si>
    <t>E 2</t>
  </si>
  <si>
    <t>Sartorius</t>
  </si>
  <si>
    <t>AJS</t>
  </si>
  <si>
    <t>M-001</t>
  </si>
  <si>
    <t xml:space="preserve">E2   2 g  </t>
  </si>
  <si>
    <t>AKI</t>
  </si>
  <si>
    <t>E2   2 g AKJ</t>
  </si>
  <si>
    <t>AKJ</t>
  </si>
  <si>
    <t xml:space="preserve">E2   5 g  </t>
  </si>
  <si>
    <t>AGU</t>
  </si>
  <si>
    <t xml:space="preserve">E2   10 g  </t>
  </si>
  <si>
    <t>AH3</t>
  </si>
  <si>
    <t xml:space="preserve">E2   20 g  </t>
  </si>
  <si>
    <t>AJ1</t>
  </si>
  <si>
    <t>E2   20 g AKA</t>
  </si>
  <si>
    <t>AKA</t>
  </si>
  <si>
    <t xml:space="preserve">E2   50 g  </t>
  </si>
  <si>
    <t>AHL</t>
  </si>
  <si>
    <t xml:space="preserve">E2   100 g  </t>
  </si>
  <si>
    <t>AJG</t>
  </si>
  <si>
    <t xml:space="preserve">E2   200 g  </t>
  </si>
  <si>
    <t>ALZ</t>
  </si>
  <si>
    <t xml:space="preserve">E2   200 g ALW </t>
  </si>
  <si>
    <t>ALW</t>
  </si>
  <si>
    <t xml:space="preserve">E2   500 g  </t>
  </si>
  <si>
    <t>ACT</t>
  </si>
  <si>
    <t xml:space="preserve">E2   1 000 g  </t>
  </si>
  <si>
    <t>ABN</t>
  </si>
  <si>
    <t xml:space="preserve">E2   2 000 g  </t>
  </si>
  <si>
    <t>AC1</t>
  </si>
  <si>
    <t xml:space="preserve">E2   2 000 g AC1 </t>
  </si>
  <si>
    <t>ABY</t>
  </si>
  <si>
    <t xml:space="preserve">E2   5 000 g  </t>
  </si>
  <si>
    <t>AB9</t>
  </si>
  <si>
    <t>E2 10 kg</t>
  </si>
  <si>
    <t>AAM</t>
  </si>
  <si>
    <t>F 1</t>
  </si>
  <si>
    <t>Mettler Toledo</t>
  </si>
  <si>
    <t>M-003</t>
  </si>
  <si>
    <t>F1   20 000 g</t>
  </si>
  <si>
    <t>M-004</t>
  </si>
  <si>
    <t>M-002</t>
  </si>
  <si>
    <t xml:space="preserve">F1   2 g punto </t>
  </si>
  <si>
    <t>2*</t>
  </si>
  <si>
    <t xml:space="preserve">F1   20 g punto </t>
  </si>
  <si>
    <t>20*</t>
  </si>
  <si>
    <t>5 kg C</t>
  </si>
  <si>
    <t xml:space="preserve">F1   200 g punto </t>
  </si>
  <si>
    <t>200*</t>
  </si>
  <si>
    <t>10 kg C</t>
  </si>
  <si>
    <t xml:space="preserve">F1   2 000 g punto </t>
  </si>
  <si>
    <t>F1   1 g  Acc</t>
  </si>
  <si>
    <t>F1</t>
  </si>
  <si>
    <t>Accurate</t>
  </si>
  <si>
    <t>M-018</t>
  </si>
  <si>
    <t>F1   2 g  Acc</t>
  </si>
  <si>
    <t xml:space="preserve">Marcación </t>
  </si>
  <si>
    <r>
      <t xml:space="preserve">Valor Nominal </t>
    </r>
    <r>
      <rPr>
        <b/>
        <i/>
        <sz val="12"/>
        <rFont val="Arial"/>
        <family val="2"/>
      </rPr>
      <t>m</t>
    </r>
    <r>
      <rPr>
        <b/>
        <i/>
        <vertAlign val="subscript"/>
        <sz val="12"/>
        <rFont val="Arial"/>
        <family val="2"/>
      </rPr>
      <t xml:space="preserve">Nt  </t>
    </r>
    <r>
      <rPr>
        <b/>
        <i/>
        <sz val="12"/>
        <rFont val="Arial"/>
        <family val="2"/>
      </rPr>
      <t>en g</t>
    </r>
  </si>
  <si>
    <r>
      <t xml:space="preserve">Densidad </t>
    </r>
    <r>
      <rPr>
        <b/>
        <i/>
        <sz val="12"/>
        <rFont val="Arial"/>
        <family val="2"/>
      </rPr>
      <t>ρ</t>
    </r>
    <r>
      <rPr>
        <b/>
        <i/>
        <vertAlign val="subscript"/>
        <sz val="12"/>
        <rFont val="Arial"/>
        <family val="2"/>
      </rPr>
      <t xml:space="preserve">t            </t>
    </r>
    <r>
      <rPr>
        <b/>
        <i/>
        <sz val="12"/>
        <rFont val="Arial"/>
        <family val="2"/>
      </rPr>
      <t>kg/m3</t>
    </r>
  </si>
  <si>
    <r>
      <t>Incertidumbre de densidad U</t>
    </r>
    <r>
      <rPr>
        <b/>
        <i/>
        <sz val="12"/>
        <rFont val="Arial"/>
        <family val="2"/>
      </rPr>
      <t>(ρ</t>
    </r>
    <r>
      <rPr>
        <b/>
        <i/>
        <vertAlign val="subscript"/>
        <sz val="12"/>
        <rFont val="Arial"/>
        <family val="2"/>
      </rPr>
      <t>t</t>
    </r>
    <r>
      <rPr>
        <b/>
        <i/>
        <sz val="12"/>
        <rFont val="Arial"/>
        <family val="2"/>
      </rPr>
      <t>)                             kg/m3</t>
    </r>
  </si>
  <si>
    <t>Código interno       (# de Radicado)</t>
  </si>
  <si>
    <t>F1   2 g punto Acc</t>
  </si>
  <si>
    <t>2 *</t>
  </si>
  <si>
    <t>F1   5 g  Acc</t>
  </si>
  <si>
    <t>F1   10 g  Acc</t>
  </si>
  <si>
    <t>F1   20 g  Acc</t>
  </si>
  <si>
    <t>ALERTA  VER FOTOGRAFÍAS, SISTEMA TRÁMITES, RT03-F09, PESAS FÍSICAS</t>
  </si>
  <si>
    <t>F1   20 g punto Acc</t>
  </si>
  <si>
    <t>20 *</t>
  </si>
  <si>
    <t>F1   50 g  Acc</t>
  </si>
  <si>
    <t>F1   100 g  Acc</t>
  </si>
  <si>
    <t>F1   200 g  Acc</t>
  </si>
  <si>
    <t>F1   200 g punto Acc</t>
  </si>
  <si>
    <t>200 *</t>
  </si>
  <si>
    <t>F1   500 g  Acc</t>
  </si>
  <si>
    <t>F1   1 000 g  Acc</t>
  </si>
  <si>
    <t>F1   2 000 g  Acc</t>
  </si>
  <si>
    <t>F1   2 000 g punto Acc</t>
  </si>
  <si>
    <t>F1   5 000 g  Acc</t>
  </si>
  <si>
    <t xml:space="preserve">E2 20 kg </t>
  </si>
  <si>
    <t>E2</t>
  </si>
  <si>
    <t>Kern</t>
  </si>
  <si>
    <t>G 1938658</t>
  </si>
  <si>
    <t>No porta</t>
  </si>
  <si>
    <t>M-019</t>
  </si>
  <si>
    <t>F1 20 kg</t>
  </si>
  <si>
    <t>G 1934093</t>
  </si>
  <si>
    <t>M-020</t>
  </si>
  <si>
    <t>F1 20 kg A</t>
  </si>
  <si>
    <t>G 1934095</t>
  </si>
  <si>
    <t>20 A</t>
  </si>
  <si>
    <t>M-021</t>
  </si>
  <si>
    <t>F1 20 kg B</t>
  </si>
  <si>
    <t>G 1934094</t>
  </si>
  <si>
    <t>20 B</t>
  </si>
  <si>
    <t>M-022</t>
  </si>
  <si>
    <t>F1 10 kg C</t>
  </si>
  <si>
    <t>10 C</t>
  </si>
  <si>
    <t>M-023</t>
  </si>
  <si>
    <t>F1 10 kg D</t>
  </si>
  <si>
    <t>10 D</t>
  </si>
  <si>
    <t>M-024</t>
  </si>
  <si>
    <t>F1 5 kg E</t>
  </si>
  <si>
    <t>5 E</t>
  </si>
  <si>
    <t>M-025</t>
  </si>
  <si>
    <t xml:space="preserve">V 2 RL.  1 g  </t>
  </si>
  <si>
    <t>Rice Lake</t>
  </si>
  <si>
    <t>No identificado</t>
  </si>
  <si>
    <t>M-016</t>
  </si>
  <si>
    <t xml:space="preserve">V 2 RL.  2 g punto </t>
  </si>
  <si>
    <t>punto</t>
  </si>
  <si>
    <t xml:space="preserve">V 2 RL.  5 g  </t>
  </si>
  <si>
    <t xml:space="preserve">V 2 RL.  10 g  </t>
  </si>
  <si>
    <t xml:space="preserve">V 2 RL.  20 g  </t>
  </si>
  <si>
    <t>1 000</t>
  </si>
  <si>
    <t xml:space="preserve">V 2 RL. 20 g punto </t>
  </si>
  <si>
    <t>2 000</t>
  </si>
  <si>
    <t xml:space="preserve">V 2 RL. 50 g  </t>
  </si>
  <si>
    <t xml:space="preserve">V 2 RL.  100 g  </t>
  </si>
  <si>
    <t>5 000</t>
  </si>
  <si>
    <t xml:space="preserve">V 2 RL.  200 g  </t>
  </si>
  <si>
    <t>10 000</t>
  </si>
  <si>
    <t xml:space="preserve">V 2 RL.  200 g punto </t>
  </si>
  <si>
    <t xml:space="preserve">V 2 RL.  500 g  </t>
  </si>
  <si>
    <t xml:space="preserve">V 2 RL.  1 000 g  </t>
  </si>
  <si>
    <t>20 000</t>
  </si>
  <si>
    <t xml:space="preserve">V 2 RL.  2 000 g  </t>
  </si>
  <si>
    <t>Número de pesas suministradas para la calibración:</t>
  </si>
  <si>
    <t xml:space="preserve">V 2 RL.  2 000 g punto </t>
  </si>
  <si>
    <t xml:space="preserve">V 2 RL.  5 000 g  </t>
  </si>
  <si>
    <t>Punto</t>
  </si>
  <si>
    <t xml:space="preserve">F1   20 mg  </t>
  </si>
  <si>
    <t>CMC PESA tabla 1 OIML R 111-1 CLASE M1</t>
  </si>
  <si>
    <t>Intervalo de Medición (g) Clase M1 1 g A 20 kg</t>
  </si>
  <si>
    <t>Intervalo de Medición (g) Clase M1 1 mg A 500 mg</t>
  </si>
  <si>
    <t xml:space="preserve">F1   200 mg  </t>
  </si>
  <si>
    <t xml:space="preserve">Valor Nominal </t>
  </si>
  <si>
    <t xml:space="preserve">E M P </t>
  </si>
  <si>
    <t>F1   1 mg  Acc</t>
  </si>
  <si>
    <t>M-026</t>
  </si>
  <si>
    <t>2 * mg</t>
  </si>
  <si>
    <t>F1   2 mg  Acc</t>
  </si>
  <si>
    <t>F1   2 mg punto Acc</t>
  </si>
  <si>
    <t>F1   5 mg  Acc</t>
  </si>
  <si>
    <t>20 * mg</t>
  </si>
  <si>
    <t>F1   10 mg  Acc</t>
  </si>
  <si>
    <t>F1   20 mg  Acc</t>
  </si>
  <si>
    <t>F1   20 mg punto Acc</t>
  </si>
  <si>
    <t>F1   50 mg  Acc</t>
  </si>
  <si>
    <t>F1   100 mg  Acc</t>
  </si>
  <si>
    <t>200 * mg</t>
  </si>
  <si>
    <t>F1   200 mg  Acc</t>
  </si>
  <si>
    <t>F1   200 mg punto Acc</t>
  </si>
  <si>
    <t>F1   500 mg  Acc</t>
  </si>
  <si>
    <t>20 kg</t>
  </si>
  <si>
    <t>Patrón Utilizado en la Calibración - BALANZAS</t>
  </si>
  <si>
    <r>
      <t xml:space="preserve">Resolución </t>
    </r>
    <r>
      <rPr>
        <b/>
        <i/>
        <sz val="12"/>
        <rFont val="Arial"/>
        <family val="2"/>
      </rPr>
      <t>d</t>
    </r>
    <r>
      <rPr>
        <b/>
        <sz val="12"/>
        <rFont val="Arial"/>
        <family val="2"/>
      </rPr>
      <t xml:space="preserve"> (g)</t>
    </r>
  </si>
  <si>
    <t>M-008</t>
  </si>
  <si>
    <t>B 444195367</t>
  </si>
  <si>
    <t>M-007</t>
  </si>
  <si>
    <t>M-006</t>
  </si>
  <si>
    <t>M-014</t>
  </si>
  <si>
    <t>M-005</t>
  </si>
  <si>
    <t>M-009</t>
  </si>
  <si>
    <t>Grupo de trabajo del laboratorio</t>
  </si>
  <si>
    <t>Roles del grupo de trabajo</t>
  </si>
  <si>
    <t>Stivinson Córdoba Sánchez</t>
  </si>
  <si>
    <t xml:space="preserve">  Sustituto del Responsable de la Dirección Técnica</t>
  </si>
  <si>
    <t xml:space="preserve"> Metrólogo de Masa y Volumen</t>
  </si>
  <si>
    <t>Luis Henry Barreto Rojas</t>
  </si>
  <si>
    <t>Responsable de la Dirección Técnica</t>
  </si>
  <si>
    <t>Elvis Aguirre Romero</t>
  </si>
  <si>
    <t xml:space="preserve"> Sustituto del Responsable de la Dirección Técnica</t>
  </si>
  <si>
    <t>Patrón Utilizado en la Calibración - Termohigrómetros</t>
  </si>
  <si>
    <r>
      <t xml:space="preserve">Unidades en   " °C , % hr </t>
    </r>
    <r>
      <rPr>
        <sz val="12"/>
        <color theme="0"/>
        <rFont val="Arial"/>
        <family val="2"/>
      </rPr>
      <t>y</t>
    </r>
    <r>
      <rPr>
        <b/>
        <sz val="12"/>
        <color theme="0"/>
        <rFont val="Arial"/>
        <family val="2"/>
      </rPr>
      <t xml:space="preserve"> hPa " </t>
    </r>
    <r>
      <rPr>
        <sz val="12"/>
        <color theme="0"/>
        <rFont val="Arial"/>
        <family val="2"/>
      </rPr>
      <t xml:space="preserve"> según corresponda</t>
    </r>
  </si>
  <si>
    <t>Unidad</t>
  </si>
  <si>
    <t>Identificación / Serie</t>
  </si>
  <si>
    <t>Capacidad (Según Certificado)</t>
  </si>
  <si>
    <t>División de Escala / Resolución</t>
  </si>
  <si>
    <t>Corrección (Según Certificado)</t>
  </si>
  <si>
    <t>Incertidumbre del Certificado</t>
  </si>
  <si>
    <t>Factor de Cobertura (Según Certificado)</t>
  </si>
  <si>
    <t>Trazabilidad y numero</t>
  </si>
  <si>
    <t>Temperatura</t>
  </si>
  <si>
    <t xml:space="preserve">M-010 </t>
  </si>
  <si>
    <t>Lufft Opus 20</t>
  </si>
  <si>
    <t>0,26.0714.0802.024</t>
  </si>
  <si>
    <t>°C</t>
  </si>
  <si>
    <t>% hr</t>
  </si>
  <si>
    <t>hPa</t>
  </si>
  <si>
    <t>Humedad</t>
  </si>
  <si>
    <t>Presión Atmosférica</t>
  </si>
  <si>
    <t>2021-05-31</t>
  </si>
  <si>
    <t>INM 2148</t>
  </si>
  <si>
    <t xml:space="preserve">M-011 </t>
  </si>
  <si>
    <t>0,22.0714.0802.024</t>
  </si>
  <si>
    <t>INM 5239</t>
  </si>
  <si>
    <t>INM 1997</t>
  </si>
  <si>
    <t>INM 2147</t>
  </si>
  <si>
    <t xml:space="preserve">M-012 </t>
  </si>
  <si>
    <t xml:space="preserve">M-013 </t>
  </si>
  <si>
    <t xml:space="preserve">M-013  </t>
  </si>
  <si>
    <t xml:space="preserve">V-002 </t>
  </si>
  <si>
    <t>0,23.0714.0802.024</t>
  </si>
  <si>
    <t>V-002</t>
  </si>
  <si>
    <t>Lista de aleaciones usadas mas comúnmente para las pesas Tabla B.7.metodo F2 NTC 1848/ 2007</t>
  </si>
  <si>
    <t>°C m</t>
  </si>
  <si>
    <t>°C b</t>
  </si>
  <si>
    <t>% hr m</t>
  </si>
  <si>
    <t>% hr b</t>
  </si>
  <si>
    <t>hPa m</t>
  </si>
  <si>
    <t>hPa b</t>
  </si>
  <si>
    <t>Aleación / material</t>
  </si>
  <si>
    <t>Densidad</t>
  </si>
  <si>
    <t xml:space="preserve">± Incertidumbre (k=2) </t>
  </si>
  <si>
    <t>Platino</t>
  </si>
  <si>
    <r>
      <t>kg m</t>
    </r>
    <r>
      <rPr>
        <vertAlign val="superscript"/>
        <sz val="12"/>
        <rFont val="Arial"/>
        <family val="2"/>
      </rPr>
      <t>-3</t>
    </r>
  </si>
  <si>
    <t>Níquel plata</t>
  </si>
  <si>
    <t>kg m-3</t>
  </si>
  <si>
    <t>Bronce</t>
  </si>
  <si>
    <t xml:space="preserve">Acero inoxidable </t>
  </si>
  <si>
    <t>Acero al carbono</t>
  </si>
  <si>
    <t>Hierro</t>
  </si>
  <si>
    <t>Hierro fundido (blanco)</t>
  </si>
  <si>
    <t>Hierro fundido (gris)</t>
  </si>
  <si>
    <t>Aluminio</t>
  </si>
  <si>
    <t>Acero inoxidable.</t>
  </si>
  <si>
    <t>Grados efectivos de libertad</t>
  </si>
  <si>
    <t xml:space="preserve">k=1,65 </t>
  </si>
  <si>
    <t>Fecha de calibración Actual</t>
  </si>
  <si>
    <t>HOJA DE CÁLCULO PARA COMPROBACIONES INTERMEDIAS DE PESAS</t>
  </si>
  <si>
    <t>Fecha de Ingreso</t>
  </si>
  <si>
    <t>Lugar de comprobación</t>
  </si>
  <si>
    <t>Fecha de comprobación</t>
  </si>
  <si>
    <t>Comprobación N°</t>
  </si>
  <si>
    <t>Fecha de ingreso</t>
  </si>
  <si>
    <t>Información de la comprobación</t>
  </si>
  <si>
    <t>Datos de las Pesas Comprobadas  Laboratorio SIC</t>
  </si>
  <si>
    <t xml:space="preserve">ANÁLISIS DE LOS RESULTADOS OBTENIDOS </t>
  </si>
  <si>
    <t>Valor Indicado</t>
  </si>
  <si>
    <t>U</t>
  </si>
  <si>
    <t>EMP +</t>
  </si>
  <si>
    <t>EMP -</t>
  </si>
  <si>
    <t xml:space="preserve">                     </t>
  </si>
  <si>
    <t>7 900</t>
  </si>
  <si>
    <t xml:space="preserve">20 kg </t>
  </si>
  <si>
    <t>Comprobación # (Número consecutivo -código Interno-año)</t>
  </si>
  <si>
    <t>INM 5912</t>
  </si>
  <si>
    <t>2022-05-17</t>
  </si>
  <si>
    <t>INM 5913</t>
  </si>
  <si>
    <t>2023-03-28</t>
  </si>
  <si>
    <t>INM 6588</t>
  </si>
  <si>
    <t>2023-04-05</t>
  </si>
  <si>
    <t>2023-04-03</t>
  </si>
  <si>
    <t>INM 6603</t>
  </si>
  <si>
    <t>INM 6596</t>
  </si>
  <si>
    <t>INM 6591</t>
  </si>
  <si>
    <t>1 099,608</t>
  </si>
  <si>
    <t>INM 6608</t>
  </si>
  <si>
    <t>INM 6597</t>
  </si>
  <si>
    <t>INM 6390</t>
  </si>
  <si>
    <t>2023-04-11</t>
  </si>
  <si>
    <t>INM 6593</t>
  </si>
  <si>
    <t>2023-04-24</t>
  </si>
  <si>
    <t>INM 6638</t>
  </si>
  <si>
    <t>2023-05-08</t>
  </si>
  <si>
    <t>INM 6667</t>
  </si>
  <si>
    <t>INM 6639</t>
  </si>
  <si>
    <t>INM 6668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</si>
</sst>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3" formatCode="_-* #,##0.00_-;\-* #,##0.00_-;_-* &quot;-&quot;??_-;_-@_-"/>
    <numFmt numFmtId="164" formatCode="yyyy\-mm\-dd;@"/>
    <numFmt numFmtId="165" formatCode="0.000"/>
    <numFmt numFmtId="166" formatCode="0.0"/>
    <numFmt numFmtId="167" formatCode="0.00000"/>
    <numFmt numFmtId="168" formatCode="0.0000"/>
    <numFmt numFmtId="169" formatCode="0_ &quot;kg&quot;"/>
    <numFmt numFmtId="170" formatCode="0_ &quot;g&quot;"/>
    <numFmt numFmtId="171" formatCode="0\ &quot;g&quot;"/>
    <numFmt numFmtId="172" formatCode="0\ &quot;g *&quot;"/>
    <numFmt numFmtId="173" formatCode="\1\ &quot;kg&quot;"/>
    <numFmt numFmtId="174" formatCode="\2\ &quot;kg&quot;"/>
    <numFmt numFmtId="175" formatCode="\2\ &quot;kg *&quot;"/>
    <numFmt numFmtId="176" formatCode="\5\ &quot;kg&quot;"/>
    <numFmt numFmtId="177" formatCode="0\ &quot;kg&quot;"/>
    <numFmt numFmtId="178" formatCode="\5\ &quot;kg C&quot;"/>
    <numFmt numFmtId="179" formatCode="0\ &quot;kg C&quot;"/>
    <numFmt numFmtId="180" formatCode="#,##0.0"/>
    <numFmt numFmtId="181" formatCode="0\ &quot;mg&quot;"/>
    <numFmt numFmtId="182" formatCode="0.0\ &quot;mg&quot;"/>
    <numFmt numFmtId="183" formatCode="0.00\ &quot;g&quot;"/>
    <numFmt numFmtId="184" formatCode="#,##0.000"/>
    <numFmt numFmtId="185" formatCode="0\ 000"/>
    <numFmt numFmtId="186" formatCode="0.000000"/>
    <numFmt numFmtId="187" formatCode="_-* #,##0.0000_-;\-* #,##0.0000_-;_-* &quot;-&quot;??_-;_-@_-"/>
    <numFmt numFmtId="188" formatCode="0.0\ &quot;g&quot;"/>
    <numFmt numFmtId="189" formatCode="0.00000000"/>
    <numFmt numFmtId="190" formatCode="0.00\ &quot;mg&quot;"/>
    <numFmt numFmtId="191" formatCode="0.0000000"/>
    <numFmt numFmtId="192" formatCode="0.000\ &quot;mg&quot;"/>
    <numFmt numFmtId="193" formatCode="yyyy/mm/dd;@"/>
  </numFmts>
  <fonts count="70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theme="1"/>
      <name val="Arial"/>
      <family val="2"/>
    </font>
    <font>
      <b/>
      <i/>
      <vertAlign val="subscript"/>
      <sz val="10"/>
      <color theme="1"/>
      <name val="Arial"/>
      <family val="2"/>
    </font>
    <font>
      <i/>
      <vertAlign val="subscript"/>
      <sz val="10"/>
      <color theme="1"/>
      <name val="Arial"/>
      <family val="2"/>
    </font>
    <font>
      <b/>
      <sz val="10"/>
      <color theme="0"/>
      <name val="Arial"/>
      <family val="2"/>
    </font>
    <font>
      <sz val="16"/>
      <color theme="1"/>
      <name val="Arial"/>
      <family val="2"/>
    </font>
    <font>
      <sz val="11"/>
      <color theme="0" tint="-0.34998626667073579"/>
      <name val="Arial"/>
      <family val="2"/>
    </font>
    <font>
      <b/>
      <sz val="14"/>
      <color theme="0" tint="-0.34998626667073579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i/>
      <sz val="11"/>
      <color theme="0"/>
      <name val="Arial"/>
      <family val="2"/>
    </font>
    <font>
      <b/>
      <i/>
      <vertAlign val="subscript"/>
      <sz val="11"/>
      <color theme="0"/>
      <name val="Arial"/>
      <family val="2"/>
    </font>
    <font>
      <i/>
      <sz val="14"/>
      <color theme="0"/>
      <name val="Arial"/>
      <family val="2"/>
    </font>
    <font>
      <i/>
      <vertAlign val="subscript"/>
      <sz val="14"/>
      <color theme="0"/>
      <name val="Arial"/>
      <family val="2"/>
    </font>
    <font>
      <sz val="12"/>
      <color theme="0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i/>
      <sz val="11"/>
      <color theme="1"/>
      <name val="Arial"/>
      <family val="2"/>
    </font>
    <font>
      <i/>
      <vertAlign val="subscript"/>
      <sz val="11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vertAlign val="superscript"/>
      <sz val="11"/>
      <color theme="1"/>
      <name val="Times New Roman"/>
      <family val="1"/>
    </font>
    <font>
      <sz val="9"/>
      <color theme="1"/>
      <name val="Arial"/>
      <family val="2"/>
    </font>
    <font>
      <b/>
      <sz val="9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theme="0" tint="-0.34998626667073579"/>
      <name val="Arial"/>
      <family val="2"/>
    </font>
    <font>
      <sz val="12"/>
      <name val="Calibri"/>
      <family val="2"/>
      <scheme val="minor"/>
    </font>
    <font>
      <b/>
      <sz val="12"/>
      <name val="Tahoma"/>
      <family val="2"/>
    </font>
    <font>
      <b/>
      <sz val="14"/>
      <color theme="1"/>
      <name val="Cambria Math"/>
      <family val="1"/>
    </font>
    <font>
      <b/>
      <sz val="11"/>
      <name val="Tahoma"/>
      <family val="2"/>
    </font>
    <font>
      <b/>
      <sz val="18"/>
      <color theme="1"/>
      <name val="Tahoma"/>
      <family val="2"/>
    </font>
    <font>
      <b/>
      <vertAlign val="superscript"/>
      <sz val="12"/>
      <name val="Arial"/>
      <family val="2"/>
    </font>
    <font>
      <b/>
      <i/>
      <sz val="12"/>
      <name val="Arial"/>
      <family val="2"/>
    </font>
    <font>
      <b/>
      <i/>
      <vertAlign val="subscript"/>
      <sz val="12"/>
      <name val="Arial"/>
      <family val="2"/>
    </font>
    <font>
      <vertAlign val="superscript"/>
      <sz val="12"/>
      <name val="Arial"/>
      <family val="2"/>
    </font>
    <font>
      <sz val="12"/>
      <name val="Arial Narrow"/>
      <family val="2"/>
    </font>
    <font>
      <sz val="11"/>
      <color theme="1"/>
      <name val="Tahoma"/>
      <family val="2"/>
    </font>
    <font>
      <b/>
      <i/>
      <sz val="12"/>
      <color rgb="FFFF0000"/>
      <name val="Arial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color theme="0"/>
      <name val="Arial"/>
      <family val="2"/>
    </font>
    <font>
      <sz val="8"/>
      <name val="Calibri"/>
      <family val="2"/>
      <scheme val="minor"/>
    </font>
    <font>
      <vertAlign val="superscript"/>
      <sz val="1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1"/>
      <color theme="0"/>
      <name val="Arial"/>
      <family val="2"/>
    </font>
    <font>
      <sz val="24"/>
      <name val="Arial"/>
      <family val="2"/>
    </font>
    <font>
      <sz val="12"/>
      <color theme="0" tint="-0.34998626667073579"/>
      <name val="Arial"/>
      <family val="2"/>
    </font>
    <font>
      <sz val="12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DD7EE"/>
        <bgColor indexed="64"/>
      </patternFill>
    </fill>
    <fill>
      <gradientFill degree="90">
        <stop position="0">
          <color rgb="FF7030A0"/>
        </stop>
        <stop position="1">
          <color rgb="FFFFFF00"/>
        </stop>
      </gradientFill>
    </fill>
    <fill>
      <patternFill patternType="solid">
        <fgColor rgb="FF1F4E78"/>
        <bgColor indexed="64"/>
      </patternFill>
    </fill>
    <fill>
      <patternFill patternType="darkTrellis">
        <fgColor auto="1"/>
        <bgColor auto="1"/>
      </patternFill>
    </fill>
    <fill>
      <patternFill patternType="lightGray">
        <fgColor auto="1"/>
        <bgColor auto="1"/>
      </patternFill>
    </fill>
    <fill>
      <patternFill patternType="mediumGray">
        <fgColor auto="1"/>
        <bgColor auto="1"/>
      </patternFill>
    </fill>
    <fill>
      <patternFill patternType="darkDown">
        <fgColor auto="1"/>
        <bgColor auto="1"/>
      </patternFill>
    </fill>
    <fill>
      <patternFill patternType="solid">
        <fgColor rgb="FF8DB4E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auto="1"/>
      </patternFill>
    </fill>
    <fill>
      <gradientFill type="path">
        <stop position="0">
          <color theme="0" tint="-0.25098422193060094"/>
        </stop>
        <stop position="1">
          <color rgb="FFFFFF00"/>
        </stop>
      </gradient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auto="1"/>
      </patternFill>
    </fill>
    <fill>
      <patternFill patternType="solid">
        <fgColor rgb="FF9BC2E6"/>
        <bgColor auto="1"/>
      </patternFill>
    </fill>
    <fill>
      <patternFill patternType="solid">
        <fgColor rgb="FFFCE4D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CE4D6"/>
        <bgColor auto="1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4" fillId="2" borderId="0" applyNumberFormat="0" applyBorder="0" applyAlignment="0" applyProtection="0"/>
    <xf numFmtId="2" fontId="5" fillId="13" borderId="0">
      <protection hidden="1"/>
    </xf>
    <xf numFmtId="2" fontId="5" fillId="15" borderId="22">
      <alignment horizontal="center" vertical="center"/>
      <protection hidden="1"/>
    </xf>
    <xf numFmtId="2" fontId="5" fillId="16" borderId="22">
      <alignment horizontal="center" vertical="center"/>
      <protection hidden="1"/>
    </xf>
    <xf numFmtId="2" fontId="5" fillId="17" borderId="22">
      <alignment horizontal="center" vertical="center"/>
      <protection hidden="1"/>
    </xf>
    <xf numFmtId="2" fontId="5" fillId="18" borderId="22">
      <alignment horizontal="center" vertical="center"/>
      <protection hidden="1"/>
    </xf>
    <xf numFmtId="9" fontId="43" fillId="0" borderId="0" applyFont="0" applyFill="0" applyBorder="0" applyAlignment="0" applyProtection="0"/>
    <xf numFmtId="164" fontId="5" fillId="24" borderId="0">
      <alignment horizontal="center" vertical="center"/>
      <protection hidden="1"/>
    </xf>
    <xf numFmtId="43" fontId="43" fillId="0" borderId="0" applyFont="0" applyFill="0" applyBorder="0" applyAlignment="0" applyProtection="0"/>
  </cellStyleXfs>
  <cellXfs count="1078">
    <xf numFmtId="0" fontId="0" fillId="0" borderId="0" xfId="0"/>
    <xf numFmtId="166" fontId="30" fillId="4" borderId="8" xfId="0" applyNumberFormat="1" applyFont="1" applyFill="1" applyBorder="1" applyAlignment="1" applyProtection="1">
      <alignment horizontal="center" vertical="center"/>
      <protection locked="0" hidden="1"/>
    </xf>
    <xf numFmtId="166" fontId="30" fillId="10" borderId="8" xfId="0" applyNumberFormat="1" applyFont="1" applyFill="1" applyBorder="1" applyAlignment="1" applyProtection="1">
      <alignment horizontal="center" vertical="center"/>
      <protection locked="0" hidden="1"/>
    </xf>
    <xf numFmtId="166" fontId="30" fillId="10" borderId="9" xfId="0" applyNumberFormat="1" applyFont="1" applyFill="1" applyBorder="1" applyAlignment="1" applyProtection="1">
      <alignment horizontal="center" vertical="center" wrapText="1"/>
      <protection locked="0" hidden="1"/>
    </xf>
    <xf numFmtId="2" fontId="5" fillId="13" borderId="22" xfId="2" applyBorder="1" applyAlignment="1" applyProtection="1">
      <alignment horizontal="center" vertical="center" wrapText="1"/>
      <protection locked="0" hidden="1"/>
    </xf>
    <xf numFmtId="1" fontId="5" fillId="13" borderId="38" xfId="2" applyNumberFormat="1" applyBorder="1" applyAlignment="1" applyProtection="1">
      <alignment horizontal="center" vertical="center"/>
      <protection locked="0" hidden="1"/>
    </xf>
    <xf numFmtId="2" fontId="5" fillId="13" borderId="22" xfId="2" applyBorder="1" applyAlignment="1" applyProtection="1">
      <alignment horizontal="center" vertical="center"/>
      <protection locked="0" hidden="1"/>
    </xf>
    <xf numFmtId="2" fontId="33" fillId="8" borderId="7" xfId="1" applyNumberFormat="1" applyFont="1" applyFill="1" applyBorder="1" applyAlignment="1" applyProtection="1">
      <alignment horizontal="center" vertical="center" wrapText="1"/>
    </xf>
    <xf numFmtId="2" fontId="33" fillId="8" borderId="8" xfId="1" applyNumberFormat="1" applyFont="1" applyFill="1" applyBorder="1" applyAlignment="1" applyProtection="1">
      <alignment horizontal="center" vertical="center" wrapText="1"/>
    </xf>
    <xf numFmtId="2" fontId="10" fillId="8" borderId="8" xfId="1" applyNumberFormat="1" applyFont="1" applyFill="1" applyBorder="1" applyAlignment="1" applyProtection="1">
      <alignment horizontal="center" vertical="center" wrapText="1"/>
    </xf>
    <xf numFmtId="2" fontId="9" fillId="8" borderId="8" xfId="0" applyNumberFormat="1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/>
    </xf>
    <xf numFmtId="2" fontId="5" fillId="0" borderId="0" xfId="0" applyNumberFormat="1" applyFont="1" applyProtection="1">
      <protection hidden="1"/>
    </xf>
    <xf numFmtId="2" fontId="5" fillId="3" borderId="0" xfId="0" applyNumberFormat="1" applyFont="1" applyFill="1" applyProtection="1"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2" fontId="25" fillId="0" borderId="0" xfId="0" applyNumberFormat="1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hidden="1"/>
    </xf>
    <xf numFmtId="2" fontId="35" fillId="0" borderId="0" xfId="0" applyNumberFormat="1" applyFont="1" applyAlignment="1" applyProtection="1">
      <alignment horizontal="center"/>
      <protection hidden="1"/>
    </xf>
    <xf numFmtId="167" fontId="30" fillId="4" borderId="49" xfId="0" applyNumberFormat="1" applyFont="1" applyFill="1" applyBorder="1" applyAlignment="1" applyProtection="1">
      <alignment horizontal="center" vertical="center"/>
      <protection locked="0" hidden="1"/>
    </xf>
    <xf numFmtId="0" fontId="35" fillId="8" borderId="22" xfId="0" applyFont="1" applyFill="1" applyBorder="1" applyAlignment="1" applyProtection="1">
      <alignment horizontal="center" vertical="center" wrapText="1"/>
      <protection hidden="1"/>
    </xf>
    <xf numFmtId="1" fontId="25" fillId="8" borderId="9" xfId="0" applyNumberFormat="1" applyFont="1" applyFill="1" applyBorder="1" applyAlignment="1" applyProtection="1">
      <alignment horizontal="center" vertical="center"/>
      <protection hidden="1"/>
    </xf>
    <xf numFmtId="167" fontId="30" fillId="4" borderId="33" xfId="0" applyNumberFormat="1" applyFont="1" applyFill="1" applyBorder="1" applyAlignment="1" applyProtection="1">
      <alignment horizontal="center" vertical="center"/>
      <protection locked="0" hidden="1"/>
    </xf>
    <xf numFmtId="167" fontId="30" fillId="4" borderId="54" xfId="0" applyNumberFormat="1" applyFont="1" applyFill="1" applyBorder="1" applyAlignment="1" applyProtection="1">
      <alignment horizontal="center" vertical="center"/>
      <protection locked="0" hidden="1"/>
    </xf>
    <xf numFmtId="1" fontId="49" fillId="8" borderId="49" xfId="0" applyNumberFormat="1" applyFont="1" applyFill="1" applyBorder="1" applyAlignment="1" applyProtection="1">
      <alignment horizontal="center" vertical="center"/>
      <protection hidden="1"/>
    </xf>
    <xf numFmtId="1" fontId="49" fillId="8" borderId="34" xfId="0" applyNumberFormat="1" applyFont="1" applyFill="1" applyBorder="1" applyAlignment="1" applyProtection="1">
      <alignment horizontal="center" vertical="center"/>
      <protection hidden="1"/>
    </xf>
    <xf numFmtId="1" fontId="49" fillId="8" borderId="10" xfId="0" applyNumberFormat="1" applyFont="1" applyFill="1" applyBorder="1" applyAlignment="1" applyProtection="1">
      <alignment horizontal="center" vertical="center"/>
      <protection hidden="1"/>
    </xf>
    <xf numFmtId="0" fontId="6" fillId="8" borderId="22" xfId="0" applyFont="1" applyFill="1" applyBorder="1" applyAlignment="1" applyProtection="1">
      <alignment horizontal="center" vertical="center" wrapText="1"/>
      <protection hidden="1"/>
    </xf>
    <xf numFmtId="0" fontId="6" fillId="8" borderId="16" xfId="0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0" borderId="0" xfId="0" applyFont="1"/>
    <xf numFmtId="0" fontId="36" fillId="0" borderId="56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36" fillId="0" borderId="21" xfId="0" applyFont="1" applyBorder="1"/>
    <xf numFmtId="0" fontId="36" fillId="3" borderId="2" xfId="0" applyFont="1" applyFill="1" applyBorder="1" applyAlignment="1">
      <alignment horizontal="center" vertical="center"/>
    </xf>
    <xf numFmtId="165" fontId="36" fillId="3" borderId="2" xfId="0" applyNumberFormat="1" applyFont="1" applyFill="1" applyBorder="1" applyAlignment="1">
      <alignment horizontal="center" vertical="center"/>
    </xf>
    <xf numFmtId="166" fontId="36" fillId="3" borderId="2" xfId="0" applyNumberFormat="1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185" fontId="6" fillId="9" borderId="2" xfId="0" applyNumberFormat="1" applyFont="1" applyFill="1" applyBorder="1" applyAlignment="1">
      <alignment horizontal="center" vertical="center"/>
    </xf>
    <xf numFmtId="166" fontId="5" fillId="10" borderId="22" xfId="0" applyNumberFormat="1" applyFont="1" applyFill="1" applyBorder="1" applyAlignment="1" applyProtection="1">
      <alignment horizontal="center" vertical="center"/>
      <protection locked="0" hidden="1"/>
    </xf>
    <xf numFmtId="0" fontId="36" fillId="0" borderId="6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33" xfId="0" applyFont="1" applyBorder="1" applyAlignment="1">
      <alignment horizontal="center" vertical="center"/>
    </xf>
    <xf numFmtId="0" fontId="41" fillId="11" borderId="9" xfId="0" applyFont="1" applyFill="1" applyBorder="1" applyAlignment="1">
      <alignment horizontal="center" vertical="center"/>
    </xf>
    <xf numFmtId="185" fontId="36" fillId="0" borderId="2" xfId="0" applyNumberFormat="1" applyFont="1" applyBorder="1" applyAlignment="1">
      <alignment horizontal="center" vertical="center"/>
    </xf>
    <xf numFmtId="185" fontId="36" fillId="0" borderId="32" xfId="0" applyNumberFormat="1" applyFont="1" applyBorder="1" applyAlignment="1">
      <alignment horizontal="center" vertical="center"/>
    </xf>
    <xf numFmtId="185" fontId="36" fillId="0" borderId="5" xfId="0" applyNumberFormat="1" applyFont="1" applyBorder="1" applyAlignment="1">
      <alignment horizontal="center" vertical="center"/>
    </xf>
    <xf numFmtId="0" fontId="57" fillId="0" borderId="0" xfId="0" applyFont="1" applyAlignment="1">
      <alignment vertical="top" textRotation="90"/>
    </xf>
    <xf numFmtId="2" fontId="30" fillId="4" borderId="33" xfId="0" applyNumberFormat="1" applyFont="1" applyFill="1" applyBorder="1" applyAlignment="1" applyProtection="1">
      <alignment horizontal="center" vertical="center"/>
      <protection locked="0" hidden="1"/>
    </xf>
    <xf numFmtId="2" fontId="30" fillId="4" borderId="49" xfId="0" applyNumberFormat="1" applyFont="1" applyFill="1" applyBorder="1" applyAlignment="1" applyProtection="1">
      <alignment horizontal="center" vertical="center"/>
      <protection locked="0" hidden="1"/>
    </xf>
    <xf numFmtId="2" fontId="30" fillId="4" borderId="54" xfId="0" applyNumberFormat="1" applyFont="1" applyFill="1" applyBorder="1" applyAlignment="1" applyProtection="1">
      <alignment horizontal="center" vertical="center"/>
      <protection locked="0" hidden="1"/>
    </xf>
    <xf numFmtId="170" fontId="36" fillId="22" borderId="3" xfId="0" applyNumberFormat="1" applyFont="1" applyFill="1" applyBorder="1" applyAlignment="1">
      <alignment horizontal="center" vertical="center"/>
    </xf>
    <xf numFmtId="182" fontId="36" fillId="22" borderId="2" xfId="0" applyNumberFormat="1" applyFont="1" applyFill="1" applyBorder="1" applyAlignment="1">
      <alignment horizontal="center" vertical="center"/>
    </xf>
    <xf numFmtId="181" fontId="36" fillId="22" borderId="10" xfId="0" applyNumberFormat="1" applyFont="1" applyFill="1" applyBorder="1" applyAlignment="1">
      <alignment horizontal="center" vertical="center"/>
    </xf>
    <xf numFmtId="169" fontId="36" fillId="22" borderId="3" xfId="0" applyNumberFormat="1" applyFont="1" applyFill="1" applyBorder="1" applyAlignment="1">
      <alignment horizontal="center" vertical="center"/>
    </xf>
    <xf numFmtId="181" fontId="36" fillId="22" borderId="2" xfId="0" applyNumberFormat="1" applyFont="1" applyFill="1" applyBorder="1" applyAlignment="1">
      <alignment horizontal="center" vertical="center"/>
    </xf>
    <xf numFmtId="183" fontId="36" fillId="22" borderId="2" xfId="0" applyNumberFormat="1" applyFont="1" applyFill="1" applyBorder="1" applyAlignment="1">
      <alignment horizontal="center" vertical="center"/>
    </xf>
    <xf numFmtId="169" fontId="36" fillId="22" borderId="12" xfId="0" applyNumberFormat="1" applyFont="1" applyFill="1" applyBorder="1" applyAlignment="1">
      <alignment horizontal="center" vertical="center"/>
    </xf>
    <xf numFmtId="183" fontId="36" fillId="22" borderId="5" xfId="0" applyNumberFormat="1" applyFont="1" applyFill="1" applyBorder="1" applyAlignment="1">
      <alignment horizontal="center" vertical="center"/>
    </xf>
    <xf numFmtId="0" fontId="36" fillId="22" borderId="7" xfId="0" applyFont="1" applyFill="1" applyBorder="1" applyAlignment="1">
      <alignment horizontal="center" vertical="center"/>
    </xf>
    <xf numFmtId="0" fontId="36" fillId="22" borderId="8" xfId="0" applyFont="1" applyFill="1" applyBorder="1" applyAlignment="1">
      <alignment horizontal="center" vertical="center" wrapText="1"/>
    </xf>
    <xf numFmtId="0" fontId="36" fillId="22" borderId="9" xfId="0" applyFont="1" applyFill="1" applyBorder="1" applyAlignment="1">
      <alignment horizontal="center" vertical="center"/>
    </xf>
    <xf numFmtId="170" fontId="36" fillId="22" borderId="45" xfId="0" applyNumberFormat="1" applyFont="1" applyFill="1" applyBorder="1" applyAlignment="1">
      <alignment horizontal="center" vertical="center"/>
    </xf>
    <xf numFmtId="183" fontId="36" fillId="22" borderId="10" xfId="0" applyNumberFormat="1" applyFont="1" applyFill="1" applyBorder="1" applyAlignment="1">
      <alignment horizontal="center" vertical="center"/>
    </xf>
    <xf numFmtId="188" fontId="36" fillId="22" borderId="6" xfId="0" applyNumberFormat="1" applyFont="1" applyFill="1" applyBorder="1" applyAlignment="1">
      <alignment horizontal="center" vertical="center"/>
    </xf>
    <xf numFmtId="0" fontId="36" fillId="0" borderId="25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1" fontId="5" fillId="26" borderId="16" xfId="2" applyNumberFormat="1" applyFill="1" applyBorder="1" applyAlignment="1">
      <alignment horizontal="center" vertical="center"/>
      <protection hidden="1"/>
    </xf>
    <xf numFmtId="1" fontId="5" fillId="6" borderId="16" xfId="2" applyNumberFormat="1" applyFill="1" applyBorder="1" applyAlignment="1">
      <alignment horizontal="center" vertical="center"/>
      <protection hidden="1"/>
    </xf>
    <xf numFmtId="1" fontId="5" fillId="27" borderId="16" xfId="2" applyNumberFormat="1" applyFill="1" applyBorder="1" applyAlignment="1">
      <alignment horizontal="center" vertical="center" wrapText="1"/>
      <protection hidden="1"/>
    </xf>
    <xf numFmtId="190" fontId="36" fillId="22" borderId="1" xfId="0" applyNumberFormat="1" applyFont="1" applyFill="1" applyBorder="1" applyAlignment="1">
      <alignment horizontal="center" vertical="center"/>
    </xf>
    <xf numFmtId="190" fontId="36" fillId="22" borderId="2" xfId="0" applyNumberFormat="1" applyFont="1" applyFill="1" applyBorder="1" applyAlignment="1">
      <alignment horizontal="center" vertical="center"/>
    </xf>
    <xf numFmtId="1" fontId="25" fillId="8" borderId="2" xfId="0" applyNumberFormat="1" applyFont="1" applyFill="1" applyBorder="1" applyAlignment="1" applyProtection="1">
      <alignment horizontal="center" vertical="center"/>
      <protection hidden="1"/>
    </xf>
    <xf numFmtId="0" fontId="36" fillId="28" borderId="32" xfId="0" applyFont="1" applyFill="1" applyBorder="1" applyAlignment="1">
      <alignment horizontal="center" vertical="center"/>
    </xf>
    <xf numFmtId="164" fontId="36" fillId="28" borderId="32" xfId="0" applyNumberFormat="1" applyFont="1" applyFill="1" applyBorder="1" applyAlignment="1">
      <alignment horizontal="center" vertical="center" wrapText="1"/>
    </xf>
    <xf numFmtId="0" fontId="36" fillId="28" borderId="32" xfId="0" applyFont="1" applyFill="1" applyBorder="1" applyAlignment="1">
      <alignment horizontal="center" vertical="center" wrapText="1"/>
    </xf>
    <xf numFmtId="165" fontId="36" fillId="28" borderId="32" xfId="0" applyNumberFormat="1" applyFont="1" applyFill="1" applyBorder="1" applyAlignment="1">
      <alignment horizontal="center" vertical="center"/>
    </xf>
    <xf numFmtId="165" fontId="36" fillId="28" borderId="32" xfId="0" applyNumberFormat="1" applyFont="1" applyFill="1" applyBorder="1" applyAlignment="1">
      <alignment horizontal="center" vertical="center" wrapText="1"/>
    </xf>
    <xf numFmtId="165" fontId="36" fillId="28" borderId="33" xfId="0" applyNumberFormat="1" applyFont="1" applyFill="1" applyBorder="1" applyAlignment="1">
      <alignment horizontal="center" vertical="center" wrapText="1"/>
    </xf>
    <xf numFmtId="166" fontId="36" fillId="28" borderId="3" xfId="0" applyNumberFormat="1" applyFont="1" applyFill="1" applyBorder="1" applyAlignment="1">
      <alignment horizontal="center" vertical="center"/>
    </xf>
    <xf numFmtId="0" fontId="36" fillId="28" borderId="2" xfId="0" applyFont="1" applyFill="1" applyBorder="1" applyAlignment="1">
      <alignment horizontal="center" vertical="center"/>
    </xf>
    <xf numFmtId="164" fontId="36" fillId="28" borderId="2" xfId="0" applyNumberFormat="1" applyFont="1" applyFill="1" applyBorder="1" applyAlignment="1">
      <alignment horizontal="center" vertical="center" wrapText="1"/>
    </xf>
    <xf numFmtId="0" fontId="36" fillId="28" borderId="2" xfId="0" applyFont="1" applyFill="1" applyBorder="1" applyAlignment="1">
      <alignment horizontal="center" vertical="center" wrapText="1"/>
    </xf>
    <xf numFmtId="166" fontId="36" fillId="28" borderId="2" xfId="0" applyNumberFormat="1" applyFont="1" applyFill="1" applyBorder="1" applyAlignment="1">
      <alignment horizontal="center" vertical="center"/>
    </xf>
    <xf numFmtId="165" fontId="36" fillId="28" borderId="2" xfId="0" applyNumberFormat="1" applyFont="1" applyFill="1" applyBorder="1" applyAlignment="1">
      <alignment horizontal="center" vertical="center"/>
    </xf>
    <xf numFmtId="165" fontId="36" fillId="28" borderId="2" xfId="0" applyNumberFormat="1" applyFont="1" applyFill="1" applyBorder="1" applyAlignment="1">
      <alignment horizontal="center" vertical="center" wrapText="1"/>
    </xf>
    <xf numFmtId="165" fontId="36" fillId="28" borderId="10" xfId="0" applyNumberFormat="1" applyFont="1" applyFill="1" applyBorder="1" applyAlignment="1">
      <alignment horizontal="center" vertical="center" wrapText="1"/>
    </xf>
    <xf numFmtId="0" fontId="36" fillId="28" borderId="3" xfId="0" applyFont="1" applyFill="1" applyBorder="1" applyAlignment="1">
      <alignment horizontal="center" vertical="center"/>
    </xf>
    <xf numFmtId="1" fontId="36" fillId="28" borderId="2" xfId="0" applyNumberFormat="1" applyFont="1" applyFill="1" applyBorder="1" applyAlignment="1">
      <alignment horizontal="center" vertical="center"/>
    </xf>
    <xf numFmtId="185" fontId="36" fillId="28" borderId="32" xfId="0" applyNumberFormat="1" applyFont="1" applyFill="1" applyBorder="1" applyAlignment="1">
      <alignment horizontal="center" vertical="center" wrapText="1"/>
    </xf>
    <xf numFmtId="168" fontId="36" fillId="28" borderId="32" xfId="0" applyNumberFormat="1" applyFont="1" applyFill="1" applyBorder="1" applyAlignment="1">
      <alignment horizontal="center" vertical="center" wrapText="1"/>
    </xf>
    <xf numFmtId="185" fontId="36" fillId="28" borderId="2" xfId="0" applyNumberFormat="1" applyFont="1" applyFill="1" applyBorder="1" applyAlignment="1">
      <alignment horizontal="center" vertical="center" wrapText="1"/>
    </xf>
    <xf numFmtId="168" fontId="36" fillId="28" borderId="2" xfId="0" applyNumberFormat="1" applyFont="1" applyFill="1" applyBorder="1" applyAlignment="1">
      <alignment horizontal="center" vertical="center" wrapText="1"/>
    </xf>
    <xf numFmtId="2" fontId="36" fillId="28" borderId="2" xfId="0" applyNumberFormat="1" applyFont="1" applyFill="1" applyBorder="1" applyAlignment="1">
      <alignment horizontal="center" vertical="center" wrapText="1"/>
    </xf>
    <xf numFmtId="166" fontId="36" fillId="28" borderId="2" xfId="0" applyNumberFormat="1" applyFont="1" applyFill="1" applyBorder="1" applyAlignment="1">
      <alignment horizontal="center" vertical="center" wrapText="1"/>
    </xf>
    <xf numFmtId="164" fontId="36" fillId="28" borderId="32" xfId="0" applyNumberFormat="1" applyFont="1" applyFill="1" applyBorder="1" applyAlignment="1">
      <alignment horizontal="center" vertical="center"/>
    </xf>
    <xf numFmtId="185" fontId="36" fillId="28" borderId="32" xfId="0" applyNumberFormat="1" applyFont="1" applyFill="1" applyBorder="1" applyAlignment="1">
      <alignment horizontal="center" vertical="center"/>
    </xf>
    <xf numFmtId="168" fontId="36" fillId="28" borderId="32" xfId="0" applyNumberFormat="1" applyFont="1" applyFill="1" applyBorder="1" applyAlignment="1">
      <alignment horizontal="center" vertical="center"/>
    </xf>
    <xf numFmtId="164" fontId="36" fillId="28" borderId="2" xfId="0" applyNumberFormat="1" applyFont="1" applyFill="1" applyBorder="1" applyAlignment="1">
      <alignment horizontal="center" vertical="center"/>
    </xf>
    <xf numFmtId="185" fontId="36" fillId="28" borderId="2" xfId="0" applyNumberFormat="1" applyFont="1" applyFill="1" applyBorder="1" applyAlignment="1">
      <alignment horizontal="center" vertical="center"/>
    </xf>
    <xf numFmtId="168" fontId="36" fillId="28" borderId="2" xfId="0" applyNumberFormat="1" applyFont="1" applyFill="1" applyBorder="1" applyAlignment="1">
      <alignment horizontal="center" vertical="center"/>
    </xf>
    <xf numFmtId="2" fontId="36" fillId="28" borderId="2" xfId="0" applyNumberFormat="1" applyFont="1" applyFill="1" applyBorder="1" applyAlignment="1">
      <alignment horizontal="center" vertical="center"/>
    </xf>
    <xf numFmtId="1" fontId="36" fillId="28" borderId="32" xfId="0" applyNumberFormat="1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/>
    </xf>
    <xf numFmtId="164" fontId="36" fillId="28" borderId="1" xfId="0" applyNumberFormat="1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41" fillId="11" borderId="8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2" fontId="36" fillId="13" borderId="32" xfId="2" applyFont="1" applyBorder="1" applyAlignment="1" applyProtection="1">
      <alignment horizontal="center" vertical="center" wrapText="1"/>
      <protection locked="0"/>
    </xf>
    <xf numFmtId="164" fontId="36" fillId="13" borderId="32" xfId="2" applyNumberFormat="1" applyFont="1" applyBorder="1" applyAlignment="1" applyProtection="1">
      <alignment horizontal="center" vertical="center" wrapText="1"/>
      <protection locked="0" hidden="1"/>
    </xf>
    <xf numFmtId="2" fontId="36" fillId="13" borderId="32" xfId="2" applyFont="1" applyBorder="1" applyAlignment="1" applyProtection="1">
      <alignment horizontal="center" vertical="center" wrapText="1"/>
      <protection locked="0" hidden="1"/>
    </xf>
    <xf numFmtId="2" fontId="36" fillId="23" borderId="2" xfId="2" applyFont="1" applyFill="1" applyBorder="1" applyAlignment="1" applyProtection="1">
      <alignment horizontal="center" vertical="center" wrapText="1"/>
      <protection locked="0" hidden="1"/>
    </xf>
    <xf numFmtId="164" fontId="36" fillId="0" borderId="2" xfId="0" applyNumberFormat="1" applyFont="1" applyBorder="1" applyAlignment="1">
      <alignment horizontal="center" vertical="center" wrapText="1"/>
    </xf>
    <xf numFmtId="164" fontId="36" fillId="3" borderId="2" xfId="0" applyNumberFormat="1" applyFont="1" applyFill="1" applyBorder="1" applyAlignment="1">
      <alignment horizontal="center" vertical="center" wrapText="1"/>
    </xf>
    <xf numFmtId="171" fontId="36" fillId="0" borderId="3" xfId="0" applyNumberFormat="1" applyFont="1" applyBorder="1" applyAlignment="1">
      <alignment horizontal="center" vertical="center" wrapText="1"/>
    </xf>
    <xf numFmtId="172" fontId="36" fillId="0" borderId="3" xfId="0" applyNumberFormat="1" applyFont="1" applyBorder="1" applyAlignment="1">
      <alignment horizontal="center" vertical="center" wrapText="1"/>
    </xf>
    <xf numFmtId="164" fontId="36" fillId="0" borderId="0" xfId="0" applyNumberFormat="1" applyFont="1" applyAlignment="1">
      <alignment horizontal="center" vertical="center"/>
    </xf>
    <xf numFmtId="173" fontId="36" fillId="0" borderId="3" xfId="0" applyNumberFormat="1" applyFont="1" applyBorder="1" applyAlignment="1">
      <alignment horizontal="center" vertical="center" wrapText="1"/>
    </xf>
    <xf numFmtId="174" fontId="36" fillId="0" borderId="3" xfId="0" applyNumberFormat="1" applyFont="1" applyBorder="1" applyAlignment="1">
      <alignment horizontal="center" vertical="center" wrapText="1"/>
    </xf>
    <xf numFmtId="175" fontId="36" fillId="0" borderId="3" xfId="0" applyNumberFormat="1" applyFont="1" applyBorder="1" applyAlignment="1">
      <alignment horizontal="center" vertical="center" wrapText="1"/>
    </xf>
    <xf numFmtId="176" fontId="36" fillId="0" borderId="3" xfId="0" applyNumberFormat="1" applyFont="1" applyBorder="1" applyAlignment="1">
      <alignment horizontal="center" vertical="center" wrapText="1"/>
    </xf>
    <xf numFmtId="177" fontId="36" fillId="0" borderId="3" xfId="0" applyNumberFormat="1" applyFont="1" applyBorder="1" applyAlignment="1">
      <alignment horizontal="center" vertical="center" wrapText="1"/>
    </xf>
    <xf numFmtId="165" fontId="36" fillId="3" borderId="0" xfId="0" applyNumberFormat="1" applyFont="1" applyFill="1" applyAlignment="1" applyProtection="1">
      <alignment horizontal="center" vertical="center" wrapText="1"/>
      <protection locked="0"/>
    </xf>
    <xf numFmtId="2" fontId="36" fillId="3" borderId="0" xfId="0" applyNumberFormat="1" applyFont="1" applyFill="1" applyAlignment="1" applyProtection="1">
      <alignment horizontal="center" vertical="center" wrapText="1"/>
      <protection locked="0"/>
    </xf>
    <xf numFmtId="0" fontId="36" fillId="0" borderId="2" xfId="0" applyFont="1" applyBorder="1" applyAlignment="1" applyProtection="1">
      <alignment horizontal="center" vertical="center" wrapText="1"/>
      <protection locked="0"/>
    </xf>
    <xf numFmtId="1" fontId="36" fillId="0" borderId="2" xfId="0" applyNumberFormat="1" applyFont="1" applyBorder="1" applyAlignment="1" applyProtection="1">
      <alignment horizontal="center" vertical="center" wrapText="1"/>
      <protection locked="0"/>
    </xf>
    <xf numFmtId="1" fontId="36" fillId="0" borderId="2" xfId="0" applyNumberFormat="1" applyFont="1" applyBorder="1" applyAlignment="1">
      <alignment horizontal="center" vertical="center" wrapText="1"/>
    </xf>
    <xf numFmtId="185" fontId="36" fillId="23" borderId="2" xfId="2" applyNumberFormat="1" applyFont="1" applyFill="1" applyBorder="1" applyAlignment="1" applyProtection="1">
      <alignment horizontal="center" vertical="center"/>
      <protection locked="0" hidden="1"/>
    </xf>
    <xf numFmtId="2" fontId="36" fillId="0" borderId="10" xfId="0" applyNumberFormat="1" applyFont="1" applyBorder="1" applyAlignment="1" applyProtection="1">
      <alignment horizontal="center" vertical="center" wrapText="1"/>
      <protection locked="0"/>
    </xf>
    <xf numFmtId="0" fontId="35" fillId="21" borderId="63" xfId="0" applyFont="1" applyFill="1" applyBorder="1" applyAlignment="1">
      <alignment horizontal="center" vertical="center"/>
    </xf>
    <xf numFmtId="0" fontId="37" fillId="0" borderId="0" xfId="0" applyFont="1" applyAlignment="1">
      <alignment vertical="center" textRotation="90"/>
    </xf>
    <xf numFmtId="0" fontId="36" fillId="0" borderId="0" xfId="0" applyFont="1" applyAlignment="1">
      <alignment horizontal="center"/>
    </xf>
    <xf numFmtId="166" fontId="36" fillId="28" borderId="11" xfId="0" applyNumberFormat="1" applyFont="1" applyFill="1" applyBorder="1" applyAlignment="1">
      <alignment horizontal="center" vertical="center"/>
    </xf>
    <xf numFmtId="170" fontId="36" fillId="22" borderId="50" xfId="0" applyNumberFormat="1" applyFont="1" applyFill="1" applyBorder="1" applyAlignment="1">
      <alignment horizontal="center" vertical="center"/>
    </xf>
    <xf numFmtId="0" fontId="36" fillId="22" borderId="48" xfId="0" applyFont="1" applyFill="1" applyBorder="1" applyAlignment="1">
      <alignment horizontal="center" vertical="center"/>
    </xf>
    <xf numFmtId="169" fontId="36" fillId="22" borderId="51" xfId="0" applyNumberFormat="1" applyFont="1" applyFill="1" applyBorder="1" applyAlignment="1">
      <alignment horizontal="center" vertical="center"/>
    </xf>
    <xf numFmtId="0" fontId="46" fillId="28" borderId="10" xfId="0" applyFont="1" applyFill="1" applyBorder="1" applyAlignment="1">
      <alignment horizontal="center" vertical="center" wrapText="1"/>
    </xf>
    <xf numFmtId="0" fontId="36" fillId="28" borderId="12" xfId="0" applyFont="1" applyFill="1" applyBorder="1" applyAlignment="1">
      <alignment horizontal="center" vertical="center"/>
    </xf>
    <xf numFmtId="0" fontId="36" fillId="28" borderId="5" xfId="0" applyFont="1" applyFill="1" applyBorder="1" applyAlignment="1">
      <alignment horizontal="center" vertical="center"/>
    </xf>
    <xf numFmtId="0" fontId="46" fillId="28" borderId="6" xfId="0" applyFont="1" applyFill="1" applyBorder="1" applyAlignment="1">
      <alignment horizontal="center" vertical="center" wrapText="1"/>
    </xf>
    <xf numFmtId="0" fontId="36" fillId="28" borderId="11" xfId="0" applyFont="1" applyFill="1" applyBorder="1" applyAlignment="1">
      <alignment horizontal="center" vertical="center"/>
    </xf>
    <xf numFmtId="166" fontId="36" fillId="28" borderId="32" xfId="0" applyNumberFormat="1" applyFont="1" applyFill="1" applyBorder="1" applyAlignment="1">
      <alignment horizontal="center" vertical="center"/>
    </xf>
    <xf numFmtId="166" fontId="46" fillId="28" borderId="10" xfId="0" applyNumberFormat="1" applyFont="1" applyFill="1" applyBorder="1" applyAlignment="1">
      <alignment horizontal="center" vertical="center" wrapText="1"/>
    </xf>
    <xf numFmtId="166" fontId="36" fillId="28" borderId="12" xfId="0" applyNumberFormat="1" applyFont="1" applyFill="1" applyBorder="1" applyAlignment="1">
      <alignment horizontal="center" vertical="center"/>
    </xf>
    <xf numFmtId="166" fontId="36" fillId="28" borderId="5" xfId="0" applyNumberFormat="1" applyFont="1" applyFill="1" applyBorder="1" applyAlignment="1">
      <alignment horizontal="center" vertical="center"/>
    </xf>
    <xf numFmtId="166" fontId="46" fillId="28" borderId="6" xfId="0" applyNumberFormat="1" applyFont="1" applyFill="1" applyBorder="1" applyAlignment="1">
      <alignment horizontal="center" vertical="center" wrapText="1"/>
    </xf>
    <xf numFmtId="0" fontId="36" fillId="28" borderId="33" xfId="0" applyFont="1" applyFill="1" applyBorder="1" applyAlignment="1">
      <alignment horizontal="center" vertical="center" wrapText="1"/>
    </xf>
    <xf numFmtId="166" fontId="46" fillId="28" borderId="33" xfId="0" applyNumberFormat="1" applyFont="1" applyFill="1" applyBorder="1" applyAlignment="1">
      <alignment horizontal="center" vertical="center" wrapText="1"/>
    </xf>
    <xf numFmtId="0" fontId="61" fillId="11" borderId="63" xfId="0" applyFont="1" applyFill="1" applyBorder="1" applyAlignment="1">
      <alignment horizontal="right" vertical="center" wrapText="1"/>
    </xf>
    <xf numFmtId="0" fontId="36" fillId="23" borderId="2" xfId="2" applyNumberFormat="1" applyFont="1" applyFill="1" applyBorder="1" applyAlignment="1" applyProtection="1">
      <alignment horizontal="center" vertical="center"/>
      <protection locked="0" hidden="1"/>
    </xf>
    <xf numFmtId="0" fontId="36" fillId="7" borderId="2" xfId="0" applyFont="1" applyFill="1" applyBorder="1" applyAlignment="1">
      <alignment horizontal="center" vertical="center"/>
    </xf>
    <xf numFmtId="185" fontId="36" fillId="7" borderId="2" xfId="0" applyNumberFormat="1" applyFont="1" applyFill="1" applyBorder="1" applyAlignment="1">
      <alignment horizontal="center" vertical="center"/>
    </xf>
    <xf numFmtId="0" fontId="36" fillId="7" borderId="10" xfId="0" applyFont="1" applyFill="1" applyBorder="1" applyAlignment="1">
      <alignment horizontal="center" vertical="center"/>
    </xf>
    <xf numFmtId="0" fontId="36" fillId="7" borderId="5" xfId="0" applyFont="1" applyFill="1" applyBorder="1" applyAlignment="1">
      <alignment horizontal="center" vertical="center"/>
    </xf>
    <xf numFmtId="0" fontId="36" fillId="7" borderId="6" xfId="0" applyFont="1" applyFill="1" applyBorder="1" applyAlignment="1">
      <alignment horizontal="center" vertical="center"/>
    </xf>
    <xf numFmtId="0" fontId="36" fillId="13" borderId="32" xfId="2" applyNumberFormat="1" applyFont="1" applyBorder="1" applyAlignment="1" applyProtection="1">
      <alignment horizontal="center" vertical="center"/>
      <protection locked="0" hidden="1"/>
    </xf>
    <xf numFmtId="2" fontId="36" fillId="13" borderId="32" xfId="2" applyFont="1" applyBorder="1" applyAlignment="1" applyProtection="1">
      <alignment horizontal="center" vertical="center"/>
      <protection locked="0" hidden="1"/>
    </xf>
    <xf numFmtId="1" fontId="36" fillId="13" borderId="32" xfId="2" applyNumberFormat="1" applyFont="1" applyBorder="1" applyAlignment="1" applyProtection="1">
      <alignment horizontal="center" vertical="center"/>
      <protection locked="0" hidden="1"/>
    </xf>
    <xf numFmtId="1" fontId="36" fillId="13" borderId="32" xfId="2" applyNumberFormat="1" applyFont="1" applyBorder="1" applyAlignment="1">
      <alignment horizontal="center" vertical="center"/>
      <protection hidden="1"/>
    </xf>
    <xf numFmtId="171" fontId="36" fillId="0" borderId="3" xfId="0" applyNumberFormat="1" applyFont="1" applyBorder="1" applyAlignment="1">
      <alignment horizontal="center" vertical="center"/>
    </xf>
    <xf numFmtId="172" fontId="36" fillId="0" borderId="3" xfId="0" applyNumberFormat="1" applyFont="1" applyBorder="1" applyAlignment="1">
      <alignment horizontal="center" vertical="center"/>
    </xf>
    <xf numFmtId="173" fontId="36" fillId="0" borderId="3" xfId="0" applyNumberFormat="1" applyFont="1" applyBorder="1" applyAlignment="1">
      <alignment horizontal="center" vertical="center"/>
    </xf>
    <xf numFmtId="174" fontId="36" fillId="0" borderId="3" xfId="0" applyNumberFormat="1" applyFont="1" applyBorder="1" applyAlignment="1">
      <alignment horizontal="center" vertical="center"/>
    </xf>
    <xf numFmtId="175" fontId="36" fillId="0" borderId="3" xfId="0" applyNumberFormat="1" applyFont="1" applyBorder="1" applyAlignment="1">
      <alignment horizontal="center" vertical="center"/>
    </xf>
    <xf numFmtId="176" fontId="36" fillId="0" borderId="3" xfId="0" applyNumberFormat="1" applyFont="1" applyBorder="1" applyAlignment="1">
      <alignment horizontal="center" vertical="center"/>
    </xf>
    <xf numFmtId="177" fontId="36" fillId="0" borderId="3" xfId="0" applyNumberFormat="1" applyFont="1" applyBorder="1" applyAlignment="1">
      <alignment horizontal="center" vertical="center"/>
    </xf>
    <xf numFmtId="178" fontId="35" fillId="22" borderId="3" xfId="0" applyNumberFormat="1" applyFont="1" applyFill="1" applyBorder="1" applyAlignment="1">
      <alignment horizontal="center" vertical="center"/>
    </xf>
    <xf numFmtId="179" fontId="35" fillId="22" borderId="3" xfId="0" applyNumberFormat="1" applyFont="1" applyFill="1" applyBorder="1" applyAlignment="1">
      <alignment horizontal="center" vertical="center"/>
    </xf>
    <xf numFmtId="0" fontId="36" fillId="23" borderId="5" xfId="2" applyNumberFormat="1" applyFont="1" applyFill="1" applyBorder="1" applyAlignment="1" applyProtection="1">
      <alignment horizontal="center" vertical="center"/>
      <protection locked="0" hidden="1"/>
    </xf>
    <xf numFmtId="0" fontId="36" fillId="0" borderId="5" xfId="0" applyFont="1" applyBorder="1" applyAlignment="1" applyProtection="1">
      <alignment horizontal="center" vertical="center" wrapText="1"/>
      <protection locked="0"/>
    </xf>
    <xf numFmtId="1" fontId="36" fillId="0" borderId="5" xfId="0" applyNumberFormat="1" applyFont="1" applyBorder="1" applyAlignment="1" applyProtection="1">
      <alignment horizontal="center" vertical="center" wrapText="1"/>
      <protection locked="0"/>
    </xf>
    <xf numFmtId="1" fontId="36" fillId="0" borderId="5" xfId="0" applyNumberFormat="1" applyFont="1" applyBorder="1" applyAlignment="1">
      <alignment horizontal="center" vertical="center" wrapText="1"/>
    </xf>
    <xf numFmtId="185" fontId="36" fillId="23" borderId="5" xfId="2" applyNumberFormat="1" applyFont="1" applyFill="1" applyBorder="1" applyAlignment="1" applyProtection="1">
      <alignment horizontal="center" vertical="center"/>
      <protection locked="0" hidden="1"/>
    </xf>
    <xf numFmtId="2" fontId="36" fillId="0" borderId="6" xfId="0" applyNumberFormat="1" applyFont="1" applyBorder="1" applyAlignment="1" applyProtection="1">
      <alignment horizontal="center" vertical="center" wrapText="1"/>
      <protection locked="0"/>
    </xf>
    <xf numFmtId="0" fontId="36" fillId="9" borderId="2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 wrapText="1"/>
    </xf>
    <xf numFmtId="0" fontId="36" fillId="9" borderId="3" xfId="0" applyFont="1" applyFill="1" applyBorder="1" applyAlignment="1">
      <alignment horizontal="center" vertical="center" wrapText="1"/>
    </xf>
    <xf numFmtId="0" fontId="36" fillId="9" borderId="32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 wrapText="1"/>
    </xf>
    <xf numFmtId="0" fontId="36" fillId="9" borderId="33" xfId="0" applyFont="1" applyFill="1" applyBorder="1" applyAlignment="1">
      <alignment horizontal="center" vertical="center" wrapText="1"/>
    </xf>
    <xf numFmtId="0" fontId="36" fillId="9" borderId="12" xfId="0" applyFont="1" applyFill="1" applyBorder="1" applyAlignment="1">
      <alignment horizontal="center" vertical="center" wrapText="1"/>
    </xf>
    <xf numFmtId="0" fontId="36" fillId="9" borderId="5" xfId="0" applyFont="1" applyFill="1" applyBorder="1" applyAlignment="1">
      <alignment horizontal="center" vertical="center"/>
    </xf>
    <xf numFmtId="0" fontId="36" fillId="9" borderId="6" xfId="0" applyFont="1" applyFill="1" applyBorder="1" applyAlignment="1">
      <alignment horizontal="center" vertical="center"/>
    </xf>
    <xf numFmtId="0" fontId="36" fillId="9" borderId="33" xfId="0" applyFont="1" applyFill="1" applyBorder="1" applyAlignment="1">
      <alignment horizontal="center" vertical="center"/>
    </xf>
    <xf numFmtId="185" fontId="36" fillId="9" borderId="20" xfId="0" applyNumberFormat="1" applyFont="1" applyFill="1" applyBorder="1" applyAlignment="1">
      <alignment horizontal="center" vertical="center"/>
    </xf>
    <xf numFmtId="1" fontId="36" fillId="9" borderId="2" xfId="0" applyNumberFormat="1" applyFont="1" applyFill="1" applyBorder="1" applyAlignment="1">
      <alignment horizontal="center" vertical="center"/>
    </xf>
    <xf numFmtId="185" fontId="36" fillId="9" borderId="2" xfId="0" applyNumberFormat="1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185" fontId="36" fillId="28" borderId="1" xfId="0" applyNumberFormat="1" applyFont="1" applyFill="1" applyBorder="1" applyAlignment="1">
      <alignment horizontal="center" vertical="center"/>
    </xf>
    <xf numFmtId="168" fontId="36" fillId="28" borderId="1" xfId="0" applyNumberFormat="1" applyFont="1" applyFill="1" applyBorder="1" applyAlignment="1">
      <alignment horizontal="center" vertical="center"/>
    </xf>
    <xf numFmtId="182" fontId="36" fillId="22" borderId="46" xfId="0" applyNumberFormat="1" applyFont="1" applyFill="1" applyBorder="1" applyAlignment="1">
      <alignment horizontal="center" vertical="center"/>
    </xf>
    <xf numFmtId="182" fontId="36" fillId="22" borderId="14" xfId="0" applyNumberFormat="1" applyFont="1" applyFill="1" applyBorder="1" applyAlignment="1">
      <alignment horizontal="center" vertical="center"/>
    </xf>
    <xf numFmtId="181" fontId="36" fillId="22" borderId="14" xfId="0" applyNumberFormat="1" applyFont="1" applyFill="1" applyBorder="1" applyAlignment="1">
      <alignment horizontal="center" vertical="center"/>
    </xf>
    <xf numFmtId="182" fontId="36" fillId="30" borderId="14" xfId="0" applyNumberFormat="1" applyFont="1" applyFill="1" applyBorder="1" applyAlignment="1">
      <alignment horizontal="center" vertical="center"/>
    </xf>
    <xf numFmtId="0" fontId="36" fillId="30" borderId="45" xfId="0" applyFont="1" applyFill="1" applyBorder="1" applyAlignment="1">
      <alignment horizontal="center" vertical="center"/>
    </xf>
    <xf numFmtId="0" fontId="36" fillId="30" borderId="3" xfId="0" applyFont="1" applyFill="1" applyBorder="1" applyAlignment="1">
      <alignment horizontal="center" vertical="center"/>
    </xf>
    <xf numFmtId="0" fontId="36" fillId="30" borderId="12" xfId="0" applyFont="1" applyFill="1" applyBorder="1" applyAlignment="1">
      <alignment horizontal="center" vertical="center"/>
    </xf>
    <xf numFmtId="0" fontId="36" fillId="21" borderId="0" xfId="0" applyFont="1" applyFill="1" applyAlignment="1">
      <alignment horizontal="center" vertical="center" wrapText="1"/>
    </xf>
    <xf numFmtId="167" fontId="30" fillId="4" borderId="11" xfId="0" applyNumberFormat="1" applyFont="1" applyFill="1" applyBorder="1" applyAlignment="1" applyProtection="1">
      <alignment horizontal="center" vertical="center"/>
      <protection locked="0" hidden="1"/>
    </xf>
    <xf numFmtId="167" fontId="30" fillId="4" borderId="45" xfId="0" applyNumberFormat="1" applyFont="1" applyFill="1" applyBorder="1" applyAlignment="1" applyProtection="1">
      <alignment horizontal="center" vertical="center"/>
      <protection locked="0" hidden="1"/>
    </xf>
    <xf numFmtId="167" fontId="30" fillId="4" borderId="43" xfId="0" applyNumberFormat="1" applyFont="1" applyFill="1" applyBorder="1" applyAlignment="1" applyProtection="1">
      <alignment horizontal="center" vertical="center"/>
      <protection locked="0" hidden="1"/>
    </xf>
    <xf numFmtId="20" fontId="5" fillId="4" borderId="7" xfId="0" applyNumberFormat="1" applyFont="1" applyFill="1" applyBorder="1" applyAlignment="1" applyProtection="1">
      <alignment horizontal="center" vertical="center"/>
      <protection locked="0" hidden="1"/>
    </xf>
    <xf numFmtId="190" fontId="36" fillId="30" borderId="49" xfId="0" applyNumberFormat="1" applyFont="1" applyFill="1" applyBorder="1" applyAlignment="1">
      <alignment horizontal="center" vertical="center"/>
    </xf>
    <xf numFmtId="182" fontId="36" fillId="30" borderId="49" xfId="0" applyNumberFormat="1" applyFont="1" applyFill="1" applyBorder="1" applyAlignment="1">
      <alignment horizontal="center" vertical="center"/>
    </xf>
    <xf numFmtId="190" fontId="36" fillId="30" borderId="2" xfId="0" applyNumberFormat="1" applyFont="1" applyFill="1" applyBorder="1" applyAlignment="1">
      <alignment horizontal="center" vertical="center"/>
    </xf>
    <xf numFmtId="190" fontId="36" fillId="30" borderId="5" xfId="0" applyNumberFormat="1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21" borderId="0" xfId="0" applyFont="1" applyFill="1" applyAlignment="1">
      <alignment horizontal="center" vertical="center"/>
    </xf>
    <xf numFmtId="2" fontId="36" fillId="23" borderId="2" xfId="2" applyFont="1" applyFill="1" applyBorder="1" applyAlignment="1" applyProtection="1">
      <alignment horizontal="center" vertical="center"/>
      <protection locked="0" hidden="1"/>
    </xf>
    <xf numFmtId="1" fontId="36" fillId="23" borderId="2" xfId="2" applyNumberFormat="1" applyFont="1" applyFill="1" applyBorder="1" applyAlignment="1" applyProtection="1">
      <alignment horizontal="center" vertical="center"/>
      <protection locked="0" hidden="1"/>
    </xf>
    <xf numFmtId="1" fontId="40" fillId="8" borderId="1" xfId="0" applyNumberFormat="1" applyFont="1" applyFill="1" applyBorder="1" applyAlignment="1" applyProtection="1">
      <alignment horizontal="center" vertical="center"/>
      <protection hidden="1"/>
    </xf>
    <xf numFmtId="1" fontId="40" fillId="8" borderId="8" xfId="0" applyNumberFormat="1" applyFont="1" applyFill="1" applyBorder="1" applyAlignment="1" applyProtection="1">
      <alignment horizontal="center" vertical="center"/>
      <protection hidden="1"/>
    </xf>
    <xf numFmtId="1" fontId="40" fillId="8" borderId="20" xfId="0" applyNumberFormat="1" applyFont="1" applyFill="1" applyBorder="1" applyAlignment="1" applyProtection="1">
      <alignment horizontal="center" vertical="center"/>
      <protection hidden="1"/>
    </xf>
    <xf numFmtId="1" fontId="25" fillId="8" borderId="1" xfId="0" applyNumberFormat="1" applyFont="1" applyFill="1" applyBorder="1" applyAlignment="1" applyProtection="1">
      <alignment horizontal="center" vertical="center"/>
      <protection hidden="1"/>
    </xf>
    <xf numFmtId="1" fontId="25" fillId="8" borderId="20" xfId="0" applyNumberFormat="1" applyFont="1" applyFill="1" applyBorder="1" applyAlignment="1" applyProtection="1">
      <alignment horizontal="center" vertical="center"/>
      <protection hidden="1"/>
    </xf>
    <xf numFmtId="1" fontId="25" fillId="8" borderId="47" xfId="0" applyNumberFormat="1" applyFont="1" applyFill="1" applyBorder="1" applyAlignment="1" applyProtection="1">
      <alignment horizontal="center" vertical="center"/>
      <protection hidden="1"/>
    </xf>
    <xf numFmtId="0" fontId="37" fillId="8" borderId="7" xfId="0" applyFont="1" applyFill="1" applyBorder="1" applyAlignment="1" applyProtection="1">
      <alignment horizontal="center" vertical="center" wrapText="1"/>
      <protection hidden="1"/>
    </xf>
    <xf numFmtId="0" fontId="47" fillId="8" borderId="8" xfId="0" applyFont="1" applyFill="1" applyBorder="1" applyAlignment="1" applyProtection="1">
      <alignment horizontal="center" vertical="center" wrapText="1"/>
      <protection hidden="1"/>
    </xf>
    <xf numFmtId="0" fontId="47" fillId="8" borderId="9" xfId="0" applyFont="1" applyFill="1" applyBorder="1" applyAlignment="1" applyProtection="1">
      <alignment horizontal="center" vertical="center" wrapText="1"/>
      <protection hidden="1"/>
    </xf>
    <xf numFmtId="0" fontId="37" fillId="8" borderId="8" xfId="0" applyFont="1" applyFill="1" applyBorder="1" applyAlignment="1" applyProtection="1">
      <alignment horizontal="center" vertical="center" wrapText="1"/>
      <protection hidden="1"/>
    </xf>
    <xf numFmtId="0" fontId="37" fillId="8" borderId="9" xfId="0" applyFont="1" applyFill="1" applyBorder="1" applyAlignment="1" applyProtection="1">
      <alignment horizontal="center" vertical="center" wrapText="1"/>
      <protection hidden="1"/>
    </xf>
    <xf numFmtId="166" fontId="40" fillId="8" borderId="15" xfId="0" applyNumberFormat="1" applyFont="1" applyFill="1" applyBorder="1" applyAlignment="1" applyProtection="1">
      <alignment horizontal="center" vertical="center"/>
      <protection hidden="1"/>
    </xf>
    <xf numFmtId="9" fontId="5" fillId="8" borderId="22" xfId="7" applyFont="1" applyFill="1" applyBorder="1" applyAlignment="1" applyProtection="1">
      <alignment horizontal="center" vertical="center"/>
      <protection hidden="1"/>
    </xf>
    <xf numFmtId="9" fontId="25" fillId="8" borderId="22" xfId="7" applyFont="1" applyFill="1" applyBorder="1" applyAlignment="1" applyProtection="1">
      <alignment horizontal="center" vertical="center"/>
      <protection hidden="1"/>
    </xf>
    <xf numFmtId="168" fontId="30" fillId="0" borderId="0" xfId="0" applyNumberFormat="1" applyFont="1" applyAlignment="1" applyProtection="1">
      <alignment horizontal="center"/>
      <protection hidden="1"/>
    </xf>
    <xf numFmtId="192" fontId="36" fillId="30" borderId="1" xfId="0" applyNumberFormat="1" applyFont="1" applyFill="1" applyBorder="1" applyAlignment="1">
      <alignment horizontal="center" vertical="center"/>
    </xf>
    <xf numFmtId="192" fontId="36" fillId="30" borderId="2" xfId="0" applyNumberFormat="1" applyFont="1" applyFill="1" applyBorder="1" applyAlignment="1">
      <alignment horizontal="center" vertical="center"/>
    </xf>
    <xf numFmtId="2" fontId="36" fillId="28" borderId="1" xfId="0" applyNumberFormat="1" applyFont="1" applyFill="1" applyBorder="1" applyAlignment="1">
      <alignment horizontal="center" vertical="center"/>
    </xf>
    <xf numFmtId="0" fontId="41" fillId="11" borderId="7" xfId="0" applyFont="1" applyFill="1" applyBorder="1" applyAlignment="1">
      <alignment horizontal="center" vertical="center"/>
    </xf>
    <xf numFmtId="1" fontId="36" fillId="28" borderId="5" xfId="0" applyNumberFormat="1" applyFont="1" applyFill="1" applyBorder="1" applyAlignment="1">
      <alignment horizontal="center" vertical="center"/>
    </xf>
    <xf numFmtId="165" fontId="36" fillId="28" borderId="5" xfId="0" applyNumberFormat="1" applyFont="1" applyFill="1" applyBorder="1" applyAlignment="1">
      <alignment horizontal="center" vertical="center"/>
    </xf>
    <xf numFmtId="165" fontId="36" fillId="28" borderId="5" xfId="0" applyNumberFormat="1" applyFont="1" applyFill="1" applyBorder="1" applyAlignment="1">
      <alignment horizontal="center" vertical="center" wrapText="1"/>
    </xf>
    <xf numFmtId="165" fontId="36" fillId="28" borderId="10" xfId="0" applyNumberFormat="1" applyFont="1" applyFill="1" applyBorder="1" applyAlignment="1">
      <alignment horizontal="center" vertical="center"/>
    </xf>
    <xf numFmtId="165" fontId="36" fillId="28" borderId="6" xfId="0" applyNumberFormat="1" applyFont="1" applyFill="1" applyBorder="1" applyAlignment="1">
      <alignment horizontal="center" vertical="center" wrapText="1"/>
    </xf>
    <xf numFmtId="0" fontId="41" fillId="11" borderId="8" xfId="0" applyFont="1" applyFill="1" applyBorder="1" applyAlignment="1">
      <alignment horizontal="center" vertical="center" wrapText="1"/>
    </xf>
    <xf numFmtId="0" fontId="41" fillId="11" borderId="9" xfId="0" applyFont="1" applyFill="1" applyBorder="1" applyAlignment="1">
      <alignment horizontal="center" vertical="center" wrapText="1"/>
    </xf>
    <xf numFmtId="3" fontId="36" fillId="28" borderId="3" xfId="0" applyNumberFormat="1" applyFont="1" applyFill="1" applyBorder="1" applyAlignment="1">
      <alignment horizontal="center" vertical="center"/>
    </xf>
    <xf numFmtId="3" fontId="36" fillId="31" borderId="38" xfId="0" applyNumberFormat="1" applyFont="1" applyFill="1" applyBorder="1" applyAlignment="1">
      <alignment vertical="center" wrapText="1"/>
    </xf>
    <xf numFmtId="3" fontId="36" fillId="31" borderId="63" xfId="0" applyNumberFormat="1" applyFont="1" applyFill="1" applyBorder="1" applyAlignment="1">
      <alignment horizontal="center" wrapText="1"/>
    </xf>
    <xf numFmtId="3" fontId="36" fillId="31" borderId="60" xfId="0" applyNumberFormat="1" applyFont="1" applyFill="1" applyBorder="1" applyAlignment="1">
      <alignment horizontal="center" vertical="center" wrapText="1"/>
    </xf>
    <xf numFmtId="0" fontId="36" fillId="9" borderId="2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center" vertical="center"/>
    </xf>
    <xf numFmtId="0" fontId="36" fillId="9" borderId="45" xfId="0" applyFont="1" applyFill="1" applyBorder="1" applyAlignment="1">
      <alignment horizontal="center" vertical="center" wrapText="1"/>
    </xf>
    <xf numFmtId="0" fontId="36" fillId="9" borderId="3" xfId="0" applyFont="1" applyFill="1" applyBorder="1" applyAlignment="1">
      <alignment horizontal="center" vertical="center"/>
    </xf>
    <xf numFmtId="0" fontId="36" fillId="9" borderId="12" xfId="0" applyFont="1" applyFill="1" applyBorder="1" applyAlignment="1">
      <alignment horizontal="center" vertical="center"/>
    </xf>
    <xf numFmtId="185" fontId="36" fillId="9" borderId="1" xfId="0" applyNumberFormat="1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 wrapText="1"/>
    </xf>
    <xf numFmtId="164" fontId="36" fillId="28" borderId="5" xfId="0" applyNumberFormat="1" applyFont="1" applyFill="1" applyBorder="1" applyAlignment="1">
      <alignment horizontal="center" vertical="center"/>
    </xf>
    <xf numFmtId="185" fontId="36" fillId="28" borderId="5" xfId="0" applyNumberFormat="1" applyFont="1" applyFill="1" applyBorder="1" applyAlignment="1">
      <alignment horizontal="center" vertical="center"/>
    </xf>
    <xf numFmtId="168" fontId="36" fillId="28" borderId="5" xfId="0" applyNumberFormat="1" applyFont="1" applyFill="1" applyBorder="1" applyAlignment="1">
      <alignment horizontal="center" vertical="center"/>
    </xf>
    <xf numFmtId="166" fontId="36" fillId="28" borderId="1" xfId="0" applyNumberFormat="1" applyFont="1" applyFill="1" applyBorder="1" applyAlignment="1">
      <alignment horizontal="center" vertical="center"/>
    </xf>
    <xf numFmtId="0" fontId="41" fillId="11" borderId="7" xfId="0" applyFont="1" applyFill="1" applyBorder="1" applyAlignment="1">
      <alignment horizontal="center" vertical="center" wrapText="1"/>
    </xf>
    <xf numFmtId="0" fontId="36" fillId="8" borderId="11" xfId="0" applyFont="1" applyFill="1" applyBorder="1" applyAlignment="1">
      <alignment horizontal="center" vertical="center" wrapText="1"/>
    </xf>
    <xf numFmtId="0" fontId="46" fillId="8" borderId="32" xfId="0" applyFont="1" applyFill="1" applyBorder="1" applyAlignment="1">
      <alignment horizontal="center" vertical="center" wrapText="1"/>
    </xf>
    <xf numFmtId="0" fontId="46" fillId="8" borderId="33" xfId="0" applyFont="1" applyFill="1" applyBorder="1" applyAlignment="1">
      <alignment horizontal="center" vertical="center" wrapText="1"/>
    </xf>
    <xf numFmtId="166" fontId="36" fillId="8" borderId="3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46" fillId="8" borderId="10" xfId="0" applyFont="1" applyFill="1" applyBorder="1" applyAlignment="1">
      <alignment horizontal="center" vertical="center" wrapText="1"/>
    </xf>
    <xf numFmtId="0" fontId="36" fillId="8" borderId="12" xfId="0" applyFont="1" applyFill="1" applyBorder="1" applyAlignment="1">
      <alignment horizontal="center" vertical="center"/>
    </xf>
    <xf numFmtId="0" fontId="46" fillId="8" borderId="5" xfId="0" applyFont="1" applyFill="1" applyBorder="1" applyAlignment="1">
      <alignment vertical="center" wrapText="1"/>
    </xf>
    <xf numFmtId="0" fontId="46" fillId="8" borderId="6" xfId="0" applyFont="1" applyFill="1" applyBorder="1" applyAlignment="1">
      <alignment vertical="center" wrapText="1"/>
    </xf>
    <xf numFmtId="0" fontId="36" fillId="28" borderId="5" xfId="0" applyFont="1" applyFill="1" applyBorder="1" applyAlignment="1">
      <alignment horizontal="center" vertical="center" wrapText="1"/>
    </xf>
    <xf numFmtId="2" fontId="25" fillId="8" borderId="9" xfId="0" applyNumberFormat="1" applyFont="1" applyFill="1" applyBorder="1" applyAlignment="1" applyProtection="1">
      <alignment horizontal="center" vertical="center"/>
      <protection hidden="1"/>
    </xf>
    <xf numFmtId="9" fontId="25" fillId="8" borderId="9" xfId="7" applyFont="1" applyFill="1" applyBorder="1" applyAlignment="1" applyProtection="1">
      <alignment horizontal="center" vertical="center"/>
      <protection hidden="1"/>
    </xf>
    <xf numFmtId="1" fontId="49" fillId="8" borderId="42" xfId="0" applyNumberFormat="1" applyFont="1" applyFill="1" applyBorder="1" applyAlignment="1" applyProtection="1">
      <alignment horizontal="center" vertical="center"/>
      <protection hidden="1"/>
    </xf>
    <xf numFmtId="2" fontId="49" fillId="8" borderId="6" xfId="0" applyNumberFormat="1" applyFont="1" applyFill="1" applyBorder="1" applyAlignment="1" applyProtection="1">
      <alignment horizontal="center" vertical="center"/>
      <protection hidden="1"/>
    </xf>
    <xf numFmtId="9" fontId="49" fillId="8" borderId="6" xfId="7" applyFont="1" applyFill="1" applyBorder="1" applyAlignment="1" applyProtection="1">
      <alignment horizontal="center" vertical="center"/>
      <protection hidden="1"/>
    </xf>
    <xf numFmtId="1" fontId="49" fillId="8" borderId="43" xfId="0" applyNumberFormat="1" applyFont="1" applyFill="1" applyBorder="1" applyAlignment="1" applyProtection="1">
      <alignment horizontal="center" vertical="center"/>
      <protection hidden="1"/>
    </xf>
    <xf numFmtId="2" fontId="49" fillId="8" borderId="47" xfId="0" applyNumberFormat="1" applyFont="1" applyFill="1" applyBorder="1" applyAlignment="1" applyProtection="1">
      <alignment horizontal="center" vertical="center"/>
      <protection hidden="1"/>
    </xf>
    <xf numFmtId="9" fontId="49" fillId="8" borderId="54" xfId="7" applyFont="1" applyFill="1" applyBorder="1" applyAlignment="1" applyProtection="1">
      <alignment horizontal="center" vertical="center"/>
      <protection hidden="1"/>
    </xf>
    <xf numFmtId="0" fontId="37" fillId="8" borderId="43" xfId="0" applyFont="1" applyFill="1" applyBorder="1" applyAlignment="1" applyProtection="1">
      <alignment horizontal="center" vertical="center" wrapText="1"/>
      <protection hidden="1"/>
    </xf>
    <xf numFmtId="0" fontId="37" fillId="8" borderId="47" xfId="0" applyFont="1" applyFill="1" applyBorder="1" applyAlignment="1" applyProtection="1">
      <alignment horizontal="center" vertical="center" wrapText="1"/>
      <protection hidden="1"/>
    </xf>
    <xf numFmtId="0" fontId="37" fillId="8" borderId="54" xfId="0" applyFont="1" applyFill="1" applyBorder="1" applyAlignment="1" applyProtection="1">
      <alignment horizontal="center" vertical="center" wrapText="1"/>
      <protection hidden="1"/>
    </xf>
    <xf numFmtId="0" fontId="35" fillId="8" borderId="7" xfId="0" applyFont="1" applyFill="1" applyBorder="1" applyAlignment="1" applyProtection="1">
      <alignment horizontal="center" vertical="center" wrapText="1"/>
      <protection hidden="1"/>
    </xf>
    <xf numFmtId="186" fontId="35" fillId="8" borderId="8" xfId="0" applyNumberFormat="1" applyFont="1" applyFill="1" applyBorder="1" applyAlignment="1" applyProtection="1">
      <alignment horizontal="center" vertical="center" wrapText="1"/>
      <protection hidden="1"/>
    </xf>
    <xf numFmtId="1" fontId="49" fillId="8" borderId="63" xfId="0" applyNumberFormat="1" applyFont="1" applyFill="1" applyBorder="1" applyAlignment="1" applyProtection="1">
      <alignment horizontal="center" vertical="center"/>
      <protection hidden="1"/>
    </xf>
    <xf numFmtId="2" fontId="49" fillId="8" borderId="54" xfId="0" applyNumberFormat="1" applyFont="1" applyFill="1" applyBorder="1" applyAlignment="1" applyProtection="1">
      <alignment horizontal="center" vertical="center"/>
      <protection hidden="1"/>
    </xf>
    <xf numFmtId="1" fontId="49" fillId="8" borderId="9" xfId="0" applyNumberFormat="1" applyFont="1" applyFill="1" applyBorder="1" applyAlignment="1" applyProtection="1">
      <alignment horizontal="center" vertical="center" wrapText="1"/>
      <protection hidden="1"/>
    </xf>
    <xf numFmtId="166" fontId="40" fillId="8" borderId="53" xfId="0" applyNumberFormat="1" applyFont="1" applyFill="1" applyBorder="1" applyAlignment="1" applyProtection="1">
      <alignment horizontal="center" vertical="center"/>
      <protection hidden="1"/>
    </xf>
    <xf numFmtId="2" fontId="30" fillId="4" borderId="11" xfId="0" applyNumberFormat="1" applyFont="1" applyFill="1" applyBorder="1" applyAlignment="1" applyProtection="1">
      <alignment horizontal="center" vertical="center"/>
      <protection locked="0" hidden="1"/>
    </xf>
    <xf numFmtId="2" fontId="30" fillId="4" borderId="45" xfId="0" applyNumberFormat="1" applyFont="1" applyFill="1" applyBorder="1" applyAlignment="1" applyProtection="1">
      <alignment horizontal="center" vertical="center"/>
      <protection locked="0" hidden="1"/>
    </xf>
    <xf numFmtId="2" fontId="30" fillId="4" borderId="43" xfId="0" applyNumberFormat="1" applyFont="1" applyFill="1" applyBorder="1" applyAlignment="1" applyProtection="1">
      <alignment horizontal="center" vertical="center"/>
      <protection locked="0" hidden="1"/>
    </xf>
    <xf numFmtId="164" fontId="36" fillId="28" borderId="5" xfId="0" applyNumberFormat="1" applyFont="1" applyFill="1" applyBorder="1" applyAlignment="1">
      <alignment horizontal="center" vertical="center" wrapText="1"/>
    </xf>
    <xf numFmtId="168" fontId="36" fillId="0" borderId="0" xfId="0" applyNumberFormat="1" applyFont="1" applyAlignment="1">
      <alignment horizontal="center" vertical="center"/>
    </xf>
    <xf numFmtId="182" fontId="36" fillId="30" borderId="54" xfId="0" applyNumberFormat="1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2" fontId="36" fillId="28" borderId="32" xfId="0" applyNumberFormat="1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2" fontId="5" fillId="3" borderId="26" xfId="0" applyNumberFormat="1" applyFont="1" applyFill="1" applyBorder="1" applyProtection="1">
      <protection hidden="1"/>
    </xf>
    <xf numFmtId="2" fontId="32" fillId="0" borderId="0" xfId="0" applyNumberFormat="1" applyFont="1" applyProtection="1">
      <protection hidden="1"/>
    </xf>
    <xf numFmtId="2" fontId="33" fillId="8" borderId="7" xfId="1" applyNumberFormat="1" applyFont="1" applyFill="1" applyBorder="1" applyAlignment="1" applyProtection="1">
      <alignment horizontal="center" vertical="center" wrapText="1"/>
      <protection hidden="1"/>
    </xf>
    <xf numFmtId="2" fontId="33" fillId="8" borderId="8" xfId="1" applyNumberFormat="1" applyFont="1" applyFill="1" applyBorder="1" applyAlignment="1" applyProtection="1">
      <alignment horizontal="center" vertical="center" wrapText="1"/>
      <protection hidden="1"/>
    </xf>
    <xf numFmtId="2" fontId="10" fillId="8" borderId="8" xfId="1" applyNumberFormat="1" applyFont="1" applyFill="1" applyBorder="1" applyAlignment="1" applyProtection="1">
      <alignment horizontal="center" vertical="center" wrapText="1"/>
      <protection hidden="1"/>
    </xf>
    <xf numFmtId="2" fontId="9" fillId="8" borderId="8" xfId="0" applyNumberFormat="1" applyFont="1" applyFill="1" applyBorder="1" applyAlignment="1" applyProtection="1">
      <alignment horizontal="center" vertical="center" wrapText="1"/>
      <protection hidden="1"/>
    </xf>
    <xf numFmtId="14" fontId="6" fillId="12" borderId="43" xfId="0" applyNumberFormat="1" applyFont="1" applyFill="1" applyBorder="1" applyAlignment="1" applyProtection="1">
      <alignment horizontal="center" vertical="center" wrapText="1"/>
      <protection hidden="1"/>
    </xf>
    <xf numFmtId="164" fontId="6" fillId="12" borderId="43" xfId="0" applyNumberFormat="1" applyFont="1" applyFill="1" applyBorder="1" applyAlignment="1" applyProtection="1">
      <alignment horizontal="center" vertical="center" wrapText="1"/>
      <protection hidden="1"/>
    </xf>
    <xf numFmtId="0" fontId="6" fillId="12" borderId="43" xfId="0" applyFont="1" applyFill="1" applyBorder="1" applyAlignment="1" applyProtection="1">
      <alignment horizontal="center" vertical="center" wrapText="1"/>
      <protection hidden="1"/>
    </xf>
    <xf numFmtId="0" fontId="9" fillId="6" borderId="11" xfId="0" applyFont="1" applyFill="1" applyBorder="1" applyAlignment="1" applyProtection="1">
      <alignment vertical="center"/>
      <protection hidden="1"/>
    </xf>
    <xf numFmtId="0" fontId="6" fillId="9" borderId="32" xfId="0" applyFont="1" applyFill="1" applyBorder="1" applyAlignment="1" applyProtection="1">
      <alignment horizontal="center" vertical="center"/>
      <protection hidden="1"/>
    </xf>
    <xf numFmtId="0" fontId="9" fillId="8" borderId="32" xfId="0" applyFont="1" applyFill="1" applyBorder="1" applyAlignment="1" applyProtection="1">
      <alignment vertical="center"/>
      <protection hidden="1"/>
    </xf>
    <xf numFmtId="0" fontId="6" fillId="9" borderId="33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Protection="1">
      <protection hidden="1"/>
    </xf>
    <xf numFmtId="0" fontId="9" fillId="6" borderId="32" xfId="0" applyFont="1" applyFill="1" applyBorder="1" applyAlignment="1" applyProtection="1">
      <alignment vertical="center"/>
      <protection hidden="1"/>
    </xf>
    <xf numFmtId="0" fontId="5" fillId="3" borderId="0" xfId="0" applyFont="1" applyFill="1" applyProtection="1">
      <protection hidden="1"/>
    </xf>
    <xf numFmtId="0" fontId="9" fillId="6" borderId="3" xfId="0" applyFont="1" applyFill="1" applyBorder="1" applyAlignment="1" applyProtection="1">
      <alignment vertical="center"/>
      <protection hidden="1"/>
    </xf>
    <xf numFmtId="0" fontId="6" fillId="9" borderId="2" xfId="0" applyFont="1" applyFill="1" applyBorder="1" applyAlignment="1" applyProtection="1">
      <alignment horizontal="center" vertical="center"/>
      <protection hidden="1"/>
    </xf>
    <xf numFmtId="0" fontId="9" fillId="6" borderId="2" xfId="0" applyFont="1" applyFill="1" applyBorder="1" applyAlignment="1" applyProtection="1">
      <alignment vertical="center"/>
      <protection hidden="1"/>
    </xf>
    <xf numFmtId="0" fontId="6" fillId="9" borderId="10" xfId="0" applyFont="1" applyFill="1" applyBorder="1" applyAlignment="1" applyProtection="1">
      <alignment horizontal="center" vertical="center"/>
      <protection hidden="1"/>
    </xf>
    <xf numFmtId="0" fontId="6" fillId="9" borderId="10" xfId="0" applyFont="1" applyFill="1" applyBorder="1" applyAlignment="1" applyProtection="1">
      <alignment horizontal="center" vertical="center" wrapText="1"/>
      <protection hidden="1"/>
    </xf>
    <xf numFmtId="0" fontId="9" fillId="6" borderId="3" xfId="0" applyFont="1" applyFill="1" applyBorder="1" applyAlignment="1" applyProtection="1">
      <alignment vertical="center" wrapText="1"/>
      <protection hidden="1"/>
    </xf>
    <xf numFmtId="0" fontId="9" fillId="6" borderId="2" xfId="0" applyFont="1" applyFill="1" applyBorder="1" applyAlignment="1" applyProtection="1">
      <alignment horizontal="center" vertical="center" wrapText="1"/>
      <protection hidden="1"/>
    </xf>
    <xf numFmtId="164" fontId="6" fillId="9" borderId="10" xfId="0" applyNumberFormat="1" applyFont="1" applyFill="1" applyBorder="1" applyAlignment="1" applyProtection="1">
      <alignment horizontal="center" vertical="center"/>
      <protection hidden="1"/>
    </xf>
    <xf numFmtId="185" fontId="56" fillId="0" borderId="0" xfId="0" applyNumberFormat="1" applyFont="1" applyAlignment="1" applyProtection="1">
      <alignment vertical="center"/>
      <protection hidden="1"/>
    </xf>
    <xf numFmtId="165" fontId="6" fillId="9" borderId="2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85" fontId="6" fillId="9" borderId="2" xfId="0" applyNumberFormat="1" applyFont="1" applyFill="1" applyBorder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9" borderId="5" xfId="0" applyFont="1" applyFill="1" applyBorder="1" applyAlignment="1" applyProtection="1">
      <alignment horizontal="center" vertical="center"/>
      <protection hidden="1"/>
    </xf>
    <xf numFmtId="0" fontId="6" fillId="9" borderId="6" xfId="0" applyFont="1" applyFill="1" applyBorder="1" applyAlignment="1" applyProtection="1">
      <alignment horizontal="center" vertical="center"/>
      <protection hidden="1"/>
    </xf>
    <xf numFmtId="0" fontId="5" fillId="3" borderId="33" xfId="0" applyFont="1" applyFill="1" applyBorder="1" applyAlignment="1" applyProtection="1">
      <alignment vertical="center"/>
      <protection hidden="1"/>
    </xf>
    <xf numFmtId="0" fontId="9" fillId="6" borderId="12" xfId="0" applyFont="1" applyFill="1" applyBorder="1" applyAlignment="1" applyProtection="1">
      <alignment vertical="center" wrapText="1"/>
      <protection hidden="1"/>
    </xf>
    <xf numFmtId="0" fontId="6" fillId="8" borderId="5" xfId="0" applyFont="1" applyFill="1" applyBorder="1" applyAlignment="1" applyProtection="1">
      <alignment horizontal="center" vertical="center" wrapText="1"/>
      <protection hidden="1"/>
    </xf>
    <xf numFmtId="0" fontId="9" fillId="6" borderId="43" xfId="0" applyFont="1" applyFill="1" applyBorder="1" applyAlignment="1" applyProtection="1">
      <alignment horizontal="left" vertical="center" wrapText="1"/>
      <protection hidden="1"/>
    </xf>
    <xf numFmtId="0" fontId="32" fillId="9" borderId="47" xfId="0" applyFont="1" applyFill="1" applyBorder="1" applyAlignment="1" applyProtection="1">
      <alignment horizontal="center" vertical="center" wrapText="1"/>
      <protection hidden="1"/>
    </xf>
    <xf numFmtId="0" fontId="9" fillId="6" borderId="47" xfId="0" applyFont="1" applyFill="1" applyBorder="1" applyAlignment="1" applyProtection="1">
      <alignment horizontal="left" vertical="center" wrapText="1"/>
      <protection hidden="1"/>
    </xf>
    <xf numFmtId="1" fontId="32" fillId="9" borderId="47" xfId="0" applyNumberFormat="1" applyFont="1" applyFill="1" applyBorder="1" applyAlignment="1" applyProtection="1">
      <alignment horizontal="center" vertical="center" wrapText="1"/>
      <protection hidden="1"/>
    </xf>
    <xf numFmtId="0" fontId="39" fillId="6" borderId="47" xfId="0" applyFont="1" applyFill="1" applyBorder="1" applyAlignment="1" applyProtection="1">
      <alignment horizontal="left" vertical="center" wrapText="1"/>
      <protection hidden="1"/>
    </xf>
    <xf numFmtId="164" fontId="6" fillId="9" borderId="43" xfId="0" applyNumberFormat="1" applyFont="1" applyFill="1" applyBorder="1" applyAlignment="1" applyProtection="1">
      <alignment horizontal="center" vertical="center" wrapText="1"/>
      <protection hidden="1"/>
    </xf>
    <xf numFmtId="0" fontId="39" fillId="6" borderId="64" xfId="0" applyFont="1" applyFill="1" applyBorder="1" applyAlignment="1" applyProtection="1">
      <alignment horizontal="center" vertical="center" wrapText="1"/>
      <protection hidden="1"/>
    </xf>
    <xf numFmtId="166" fontId="32" fillId="9" borderId="64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Protection="1">
      <protection hidden="1"/>
    </xf>
    <xf numFmtId="0" fontId="16" fillId="0" borderId="0" xfId="0" applyFont="1" applyProtection="1">
      <protection hidden="1"/>
    </xf>
    <xf numFmtId="0" fontId="17" fillId="3" borderId="21" xfId="0" applyFont="1" applyFill="1" applyBorder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17" fillId="3" borderId="29" xfId="0" applyFont="1" applyFill="1" applyBorder="1" applyAlignment="1" applyProtection="1">
      <alignment horizontal="center" vertical="center"/>
      <protection hidden="1"/>
    </xf>
    <xf numFmtId="0" fontId="9" fillId="6" borderId="15" xfId="0" applyFont="1" applyFill="1" applyBorder="1" applyAlignment="1" applyProtection="1">
      <alignment vertical="center" wrapText="1"/>
      <protection hidden="1"/>
    </xf>
    <xf numFmtId="166" fontId="9" fillId="6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6" borderId="7" xfId="0" applyFont="1" applyFill="1" applyBorder="1" applyAlignment="1" applyProtection="1">
      <alignment horizontal="center" vertical="center" wrapText="1"/>
      <protection hidden="1"/>
    </xf>
    <xf numFmtId="0" fontId="5" fillId="6" borderId="30" xfId="0" applyFont="1" applyFill="1" applyBorder="1" applyAlignment="1" applyProtection="1">
      <alignment horizontal="center" vertical="center"/>
      <protection hidden="1"/>
    </xf>
    <xf numFmtId="0" fontId="25" fillId="6" borderId="8" xfId="0" applyFont="1" applyFill="1" applyBorder="1" applyAlignment="1" applyProtection="1">
      <alignment horizontal="center" vertical="center"/>
      <protection hidden="1"/>
    </xf>
    <xf numFmtId="0" fontId="25" fillId="6" borderId="9" xfId="0" applyFont="1" applyFill="1" applyBorder="1" applyAlignment="1" applyProtection="1">
      <alignment horizontal="center" vertical="center"/>
      <protection hidden="1"/>
    </xf>
    <xf numFmtId="0" fontId="25" fillId="6" borderId="13" xfId="0" applyFont="1" applyFill="1" applyBorder="1" applyAlignment="1" applyProtection="1">
      <alignment horizontal="center" vertical="center"/>
      <protection hidden="1"/>
    </xf>
    <xf numFmtId="0" fontId="25" fillId="6" borderId="14" xfId="0" applyFont="1" applyFill="1" applyBorder="1" applyAlignment="1" applyProtection="1">
      <alignment horizontal="center" vertical="center"/>
      <protection hidden="1"/>
    </xf>
    <xf numFmtId="0" fontId="25" fillId="6" borderId="4" xfId="0" applyFont="1" applyFill="1" applyBorder="1" applyAlignment="1" applyProtection="1">
      <alignment horizontal="center" vertical="center"/>
      <protection hidden="1"/>
    </xf>
    <xf numFmtId="0" fontId="25" fillId="6" borderId="7" xfId="0" applyFont="1" applyFill="1" applyBorder="1" applyAlignment="1" applyProtection="1">
      <alignment vertical="center" wrapText="1"/>
      <protection hidden="1"/>
    </xf>
    <xf numFmtId="166" fontId="9" fillId="6" borderId="8" xfId="0" applyNumberFormat="1" applyFont="1" applyFill="1" applyBorder="1" applyAlignment="1" applyProtection="1">
      <alignment horizontal="right" vertical="center" wrapText="1"/>
      <protection hidden="1"/>
    </xf>
    <xf numFmtId="0" fontId="16" fillId="3" borderId="26" xfId="0" applyFont="1" applyFill="1" applyBorder="1" applyProtection="1">
      <protection hidden="1"/>
    </xf>
    <xf numFmtId="0" fontId="25" fillId="6" borderId="38" xfId="0" applyFont="1" applyFill="1" applyBorder="1" applyAlignment="1" applyProtection="1">
      <alignment horizontal="center" vertical="center"/>
      <protection hidden="1"/>
    </xf>
    <xf numFmtId="0" fontId="25" fillId="6" borderId="40" xfId="0" applyFont="1" applyFill="1" applyBorder="1" applyAlignment="1" applyProtection="1">
      <alignment horizontal="center" vertical="center"/>
      <protection hidden="1"/>
    </xf>
    <xf numFmtId="0" fontId="25" fillId="6" borderId="33" xfId="0" applyFont="1" applyFill="1" applyBorder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vertical="center"/>
      <protection hidden="1"/>
    </xf>
    <xf numFmtId="0" fontId="25" fillId="6" borderId="39" xfId="0" applyFont="1" applyFill="1" applyBorder="1" applyAlignment="1" applyProtection="1">
      <alignment horizontal="center" vertical="center"/>
      <protection hidden="1"/>
    </xf>
    <xf numFmtId="167" fontId="5" fillId="6" borderId="40" xfId="0" applyNumberFormat="1" applyFont="1" applyFill="1" applyBorder="1" applyAlignment="1" applyProtection="1">
      <alignment horizontal="center" vertical="center"/>
      <protection hidden="1"/>
    </xf>
    <xf numFmtId="167" fontId="5" fillId="6" borderId="33" xfId="0" applyNumberFormat="1" applyFont="1" applyFill="1" applyBorder="1" applyAlignment="1" applyProtection="1">
      <alignment horizontal="center" vertical="center"/>
      <protection hidden="1"/>
    </xf>
    <xf numFmtId="0" fontId="25" fillId="6" borderId="41" xfId="0" applyFont="1" applyFill="1" applyBorder="1" applyAlignment="1" applyProtection="1">
      <alignment horizontal="center" vertical="center"/>
      <protection hidden="1"/>
    </xf>
    <xf numFmtId="167" fontId="5" fillId="6" borderId="19" xfId="0" applyNumberFormat="1" applyFont="1" applyFill="1" applyBorder="1" applyAlignment="1" applyProtection="1">
      <alignment horizontal="center" vertical="center"/>
      <protection hidden="1"/>
    </xf>
    <xf numFmtId="167" fontId="5" fillId="6" borderId="2" xfId="0" applyNumberFormat="1" applyFont="1" applyFill="1" applyBorder="1" applyAlignment="1" applyProtection="1">
      <alignment horizontal="center" vertical="center"/>
      <protection hidden="1"/>
    </xf>
    <xf numFmtId="167" fontId="5" fillId="6" borderId="10" xfId="0" applyNumberFormat="1" applyFont="1" applyFill="1" applyBorder="1" applyAlignment="1" applyProtection="1">
      <alignment horizontal="center" vertical="center"/>
      <protection hidden="1"/>
    </xf>
    <xf numFmtId="0" fontId="25" fillId="6" borderId="42" xfId="0" applyFont="1" applyFill="1" applyBorder="1" applyAlignment="1" applyProtection="1">
      <alignment horizontal="center" vertical="center"/>
      <protection hidden="1"/>
    </xf>
    <xf numFmtId="167" fontId="5" fillId="6" borderId="37" xfId="0" applyNumberFormat="1" applyFont="1" applyFill="1" applyBorder="1" applyAlignment="1" applyProtection="1">
      <alignment horizontal="center" vertical="center"/>
      <protection hidden="1"/>
    </xf>
    <xf numFmtId="167" fontId="5" fillId="6" borderId="6" xfId="0" applyNumberFormat="1" applyFont="1" applyFill="1" applyBorder="1" applyAlignment="1" applyProtection="1">
      <alignment horizontal="center" vertical="center"/>
      <protection hidden="1"/>
    </xf>
    <xf numFmtId="0" fontId="7" fillId="5" borderId="7" xfId="0" applyFont="1" applyFill="1" applyBorder="1" applyAlignment="1" applyProtection="1">
      <alignment horizontal="center" vertical="top" wrapText="1"/>
      <protection hidden="1"/>
    </xf>
    <xf numFmtId="167" fontId="25" fillId="6" borderId="16" xfId="0" applyNumberFormat="1" applyFont="1" applyFill="1" applyBorder="1" applyAlignment="1" applyProtection="1">
      <alignment horizontal="center" vertical="center"/>
      <protection hidden="1"/>
    </xf>
    <xf numFmtId="0" fontId="7" fillId="5" borderId="43" xfId="0" applyFont="1" applyFill="1" applyBorder="1" applyAlignment="1" applyProtection="1">
      <alignment horizontal="center" vertical="center" wrapText="1"/>
      <protection hidden="1"/>
    </xf>
    <xf numFmtId="189" fontId="25" fillId="6" borderId="23" xfId="0" applyNumberFormat="1" applyFont="1" applyFill="1" applyBorder="1" applyAlignment="1" applyProtection="1">
      <alignment horizontal="center" vertical="center"/>
      <protection hidden="1"/>
    </xf>
    <xf numFmtId="165" fontId="16" fillId="3" borderId="0" xfId="0" applyNumberFormat="1" applyFont="1" applyFill="1" applyProtection="1">
      <protection hidden="1"/>
    </xf>
    <xf numFmtId="0" fontId="25" fillId="6" borderId="59" xfId="0" applyFont="1" applyFill="1" applyBorder="1" applyAlignment="1" applyProtection="1">
      <alignment horizontal="center" vertical="center" wrapText="1"/>
      <protection hidden="1"/>
    </xf>
    <xf numFmtId="0" fontId="25" fillId="6" borderId="27" xfId="0" applyFont="1" applyFill="1" applyBorder="1" applyAlignment="1" applyProtection="1">
      <alignment horizontal="center" vertical="center" wrapText="1"/>
      <protection hidden="1"/>
    </xf>
    <xf numFmtId="0" fontId="25" fillId="6" borderId="58" xfId="0" applyFont="1" applyFill="1" applyBorder="1" applyAlignment="1" applyProtection="1">
      <alignment vertical="center" wrapText="1"/>
      <protection hidden="1"/>
    </xf>
    <xf numFmtId="168" fontId="25" fillId="8" borderId="13" xfId="0" applyNumberFormat="1" applyFont="1" applyFill="1" applyBorder="1" applyAlignment="1" applyProtection="1">
      <alignment horizontal="center" vertical="center"/>
      <protection hidden="1"/>
    </xf>
    <xf numFmtId="0" fontId="25" fillId="8" borderId="44" xfId="0" applyFont="1" applyFill="1" applyBorder="1" applyAlignment="1" applyProtection="1">
      <alignment horizontal="center" vertical="center"/>
      <protection hidden="1"/>
    </xf>
    <xf numFmtId="166" fontId="5" fillId="8" borderId="11" xfId="0" applyNumberFormat="1" applyFont="1" applyFill="1" applyBorder="1" applyAlignment="1" applyProtection="1">
      <alignment horizontal="center" vertical="center" wrapText="1"/>
      <protection hidden="1"/>
    </xf>
    <xf numFmtId="166" fontId="5" fillId="8" borderId="32" xfId="0" applyNumberFormat="1" applyFont="1" applyFill="1" applyBorder="1" applyAlignment="1" applyProtection="1">
      <alignment horizontal="center" vertical="center" wrapText="1"/>
      <protection hidden="1"/>
    </xf>
    <xf numFmtId="166" fontId="5" fillId="8" borderId="33" xfId="0" applyNumberFormat="1" applyFont="1" applyFill="1" applyBorder="1" applyAlignment="1" applyProtection="1">
      <alignment horizontal="center" vertical="center" wrapText="1"/>
      <protection hidden="1"/>
    </xf>
    <xf numFmtId="168" fontId="25" fillId="8" borderId="4" xfId="0" applyNumberFormat="1" applyFont="1" applyFill="1" applyBorder="1" applyAlignment="1" applyProtection="1">
      <alignment horizontal="center" vertical="center"/>
      <protection hidden="1"/>
    </xf>
    <xf numFmtId="0" fontId="25" fillId="6" borderId="35" xfId="0" applyFont="1" applyFill="1" applyBorder="1" applyAlignment="1" applyProtection="1">
      <alignment horizontal="center" vertical="center"/>
      <protection hidden="1"/>
    </xf>
    <xf numFmtId="11" fontId="16" fillId="0" borderId="0" xfId="0" applyNumberFormat="1" applyFont="1" applyProtection="1">
      <protection hidden="1"/>
    </xf>
    <xf numFmtId="166" fontId="5" fillId="8" borderId="12" xfId="0" applyNumberFormat="1" applyFont="1" applyFill="1" applyBorder="1" applyAlignment="1" applyProtection="1">
      <alignment horizontal="center" vertical="center" wrapText="1"/>
      <protection hidden="1"/>
    </xf>
    <xf numFmtId="166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166" fontId="5" fillId="8" borderId="6" xfId="0" applyNumberFormat="1" applyFont="1" applyFill="1" applyBorder="1" applyAlignment="1" applyProtection="1">
      <alignment horizontal="center" vertical="center" wrapText="1"/>
      <protection hidden="1"/>
    </xf>
    <xf numFmtId="2" fontId="25" fillId="6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56" xfId="0" applyFont="1" applyFill="1" applyBorder="1" applyAlignment="1" applyProtection="1">
      <alignment horizontal="center" wrapText="1"/>
      <protection hidden="1"/>
    </xf>
    <xf numFmtId="0" fontId="5" fillId="6" borderId="52" xfId="0" applyFont="1" applyFill="1" applyBorder="1" applyAlignment="1" applyProtection="1">
      <alignment horizontal="center"/>
      <protection hidden="1"/>
    </xf>
    <xf numFmtId="0" fontId="5" fillId="6" borderId="46" xfId="0" applyFont="1" applyFill="1" applyBorder="1" applyAlignment="1" applyProtection="1">
      <alignment horizontal="center" wrapText="1"/>
      <protection hidden="1"/>
    </xf>
    <xf numFmtId="0" fontId="27" fillId="6" borderId="52" xfId="0" applyFont="1" applyFill="1" applyBorder="1" applyAlignment="1" applyProtection="1">
      <alignment horizontal="center" vertical="center"/>
      <protection hidden="1"/>
    </xf>
    <xf numFmtId="167" fontId="5" fillId="6" borderId="36" xfId="0" applyNumberFormat="1" applyFont="1" applyFill="1" applyBorder="1" applyAlignment="1" applyProtection="1">
      <alignment horizontal="center" vertical="center"/>
      <protection hidden="1"/>
    </xf>
    <xf numFmtId="0" fontId="5" fillId="8" borderId="37" xfId="0" applyFont="1" applyFill="1" applyBorder="1" applyAlignment="1" applyProtection="1">
      <alignment horizontal="center" vertical="center"/>
      <protection hidden="1"/>
    </xf>
    <xf numFmtId="167" fontId="5" fillId="8" borderId="4" xfId="0" applyNumberFormat="1" applyFont="1" applyFill="1" applyBorder="1" applyAlignment="1" applyProtection="1">
      <alignment horizontal="center" vertical="center"/>
      <protection hidden="1"/>
    </xf>
    <xf numFmtId="11" fontId="5" fillId="8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7" xfId="0" applyFont="1" applyFill="1" applyBorder="1" applyAlignment="1" applyProtection="1">
      <alignment horizontal="center"/>
      <protection hidden="1"/>
    </xf>
    <xf numFmtId="11" fontId="25" fillId="8" borderId="4" xfId="0" applyNumberFormat="1" applyFont="1" applyFill="1" applyBorder="1" applyAlignment="1" applyProtection="1">
      <alignment horizontal="center" vertical="center"/>
      <protection hidden="1"/>
    </xf>
    <xf numFmtId="0" fontId="42" fillId="14" borderId="22" xfId="0" applyFont="1" applyFill="1" applyBorder="1" applyAlignment="1" applyProtection="1">
      <alignment horizontal="center" wrapText="1"/>
      <protection hidden="1"/>
    </xf>
    <xf numFmtId="0" fontId="45" fillId="0" borderId="0" xfId="0" applyFont="1" applyProtection="1">
      <protection hidden="1"/>
    </xf>
    <xf numFmtId="0" fontId="9" fillId="6" borderId="7" xfId="0" applyFont="1" applyFill="1" applyBorder="1" applyAlignment="1" applyProtection="1">
      <alignment horizontal="center" vertical="center" wrapText="1"/>
      <protection hidden="1"/>
    </xf>
    <xf numFmtId="0" fontId="25" fillId="6" borderId="8" xfId="0" applyFont="1" applyFill="1" applyBorder="1" applyAlignment="1" applyProtection="1">
      <alignment vertical="top" wrapText="1"/>
      <protection hidden="1"/>
    </xf>
    <xf numFmtId="165" fontId="25" fillId="6" borderId="8" xfId="0" applyNumberFormat="1" applyFont="1" applyFill="1" applyBorder="1" applyAlignment="1" applyProtection="1">
      <alignment horizontal="center" vertical="center"/>
      <protection hidden="1"/>
    </xf>
    <xf numFmtId="165" fontId="7" fillId="0" borderId="0" xfId="0" applyNumberFormat="1" applyFont="1" applyAlignment="1" applyProtection="1">
      <alignment horizontal="center" vertical="center"/>
      <protection hidden="1"/>
    </xf>
    <xf numFmtId="2" fontId="16" fillId="3" borderId="0" xfId="0" applyNumberFormat="1" applyFont="1" applyFill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165" fontId="7" fillId="0" borderId="0" xfId="7" applyNumberFormat="1" applyFont="1" applyFill="1" applyAlignment="1" applyProtection="1">
      <alignment horizontal="center" vertical="center"/>
      <protection hidden="1"/>
    </xf>
    <xf numFmtId="0" fontId="9" fillId="6" borderId="57" xfId="0" applyFont="1" applyFill="1" applyBorder="1" applyAlignment="1" applyProtection="1">
      <alignment horizontal="center" vertical="center" wrapText="1"/>
      <protection hidden="1"/>
    </xf>
    <xf numFmtId="0" fontId="5" fillId="6" borderId="20" xfId="0" applyFont="1" applyFill="1" applyBorder="1" applyProtection="1">
      <protection hidden="1"/>
    </xf>
    <xf numFmtId="2" fontId="5" fillId="7" borderId="20" xfId="0" applyNumberFormat="1" applyFont="1" applyFill="1" applyBorder="1" applyAlignment="1" applyProtection="1">
      <alignment horizontal="center" vertical="center"/>
      <protection hidden="1"/>
    </xf>
    <xf numFmtId="0" fontId="5" fillId="7" borderId="20" xfId="0" applyFont="1" applyFill="1" applyBorder="1" applyAlignment="1" applyProtection="1">
      <alignment horizontal="center" vertical="center"/>
      <protection hidden="1"/>
    </xf>
    <xf numFmtId="0" fontId="35" fillId="8" borderId="8" xfId="0" applyFont="1" applyFill="1" applyBorder="1" applyAlignment="1" applyProtection="1">
      <alignment horizontal="center" vertical="center"/>
      <protection hidden="1"/>
    </xf>
    <xf numFmtId="0" fontId="25" fillId="6" borderId="8" xfId="0" applyFont="1" applyFill="1" applyBorder="1" applyProtection="1">
      <protection hidden="1"/>
    </xf>
    <xf numFmtId="2" fontId="25" fillId="6" borderId="8" xfId="0" applyNumberFormat="1" applyFont="1" applyFill="1" applyBorder="1" applyAlignment="1" applyProtection="1">
      <alignment horizontal="center" vertical="center"/>
      <protection hidden="1"/>
    </xf>
    <xf numFmtId="2" fontId="5" fillId="9" borderId="1" xfId="0" applyNumberFormat="1" applyFont="1" applyFill="1" applyBorder="1" applyAlignment="1" applyProtection="1">
      <alignment horizontal="center" vertical="center"/>
      <protection hidden="1"/>
    </xf>
    <xf numFmtId="0" fontId="9" fillId="6" borderId="3" xfId="0" applyFont="1" applyFill="1" applyBorder="1" applyAlignment="1" applyProtection="1">
      <alignment horizontal="center" vertical="center" wrapTex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1" fontId="5" fillId="7" borderId="2" xfId="0" applyNumberFormat="1" applyFont="1" applyFill="1" applyBorder="1" applyAlignment="1" applyProtection="1">
      <alignment horizontal="center" vertical="center"/>
      <protection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6" borderId="20" xfId="0" applyFont="1" applyFill="1" applyBorder="1" applyAlignment="1" applyProtection="1">
      <alignment horizontal="center" vertical="center"/>
      <protection hidden="1"/>
    </xf>
    <xf numFmtId="1" fontId="5" fillId="7" borderId="20" xfId="0" applyNumberFormat="1" applyFont="1" applyFill="1" applyBorder="1" applyAlignment="1" applyProtection="1">
      <alignment horizontal="center" vertical="center"/>
      <protection hidden="1"/>
    </xf>
    <xf numFmtId="0" fontId="25" fillId="8" borderId="8" xfId="0" applyFont="1" applyFill="1" applyBorder="1" applyAlignment="1" applyProtection="1">
      <alignment horizontal="center" vertical="center"/>
      <protection hidden="1"/>
    </xf>
    <xf numFmtId="0" fontId="9" fillId="6" borderId="43" xfId="0" applyFont="1" applyFill="1" applyBorder="1" applyAlignment="1" applyProtection="1">
      <alignment horizontal="center" vertical="center" wrapText="1"/>
      <protection hidden="1"/>
    </xf>
    <xf numFmtId="0" fontId="25" fillId="6" borderId="47" xfId="0" applyFont="1" applyFill="1" applyBorder="1" applyProtection="1">
      <protection hidden="1"/>
    </xf>
    <xf numFmtId="167" fontId="25" fillId="6" borderId="47" xfId="0" applyNumberFormat="1" applyFont="1" applyFill="1" applyBorder="1" applyAlignment="1" applyProtection="1">
      <alignment horizontal="center" vertical="center"/>
      <protection hidden="1"/>
    </xf>
    <xf numFmtId="0" fontId="25" fillId="8" borderId="47" xfId="0" applyFont="1" applyFill="1" applyBorder="1" applyAlignment="1" applyProtection="1">
      <alignment horizontal="center" vertical="center"/>
      <protection hidden="1"/>
    </xf>
    <xf numFmtId="0" fontId="25" fillId="8" borderId="15" xfId="0" applyFont="1" applyFill="1" applyBorder="1" applyAlignment="1" applyProtection="1">
      <alignment horizontal="center" vertical="center" wrapText="1"/>
      <protection hidden="1"/>
    </xf>
    <xf numFmtId="0" fontId="25" fillId="8" borderId="16" xfId="0" applyFont="1" applyFill="1" applyBorder="1" applyAlignment="1" applyProtection="1">
      <alignment horizontal="center" vertical="center" wrapText="1"/>
      <protection hidden="1"/>
    </xf>
    <xf numFmtId="0" fontId="9" fillId="8" borderId="43" xfId="0" applyFont="1" applyFill="1" applyBorder="1" applyAlignment="1" applyProtection="1">
      <alignment horizontal="center" vertical="center" wrapText="1"/>
      <protection hidden="1"/>
    </xf>
    <xf numFmtId="0" fontId="25" fillId="8" borderId="47" xfId="0" applyFont="1" applyFill="1" applyBorder="1" applyProtection="1">
      <protection hidden="1"/>
    </xf>
    <xf numFmtId="167" fontId="5" fillId="8" borderId="47" xfId="0" applyNumberFormat="1" applyFont="1" applyFill="1" applyBorder="1" applyAlignment="1" applyProtection="1">
      <alignment horizontal="center" vertical="center"/>
      <protection hidden="1"/>
    </xf>
    <xf numFmtId="0" fontId="5" fillId="8" borderId="54" xfId="0" applyFont="1" applyFill="1" applyBorder="1" applyAlignment="1" applyProtection="1">
      <alignment horizontal="center" vertical="center"/>
      <protection hidden="1"/>
    </xf>
    <xf numFmtId="0" fontId="25" fillId="9" borderId="16" xfId="0" applyFont="1" applyFill="1" applyBorder="1" applyAlignment="1" applyProtection="1">
      <alignment wrapText="1"/>
      <protection hidden="1"/>
    </xf>
    <xf numFmtId="165" fontId="25" fillId="8" borderId="22" xfId="0" applyNumberFormat="1" applyFont="1" applyFill="1" applyBorder="1" applyAlignment="1" applyProtection="1">
      <alignment horizontal="center" vertical="center"/>
      <protection hidden="1"/>
    </xf>
    <xf numFmtId="0" fontId="25" fillId="9" borderId="44" xfId="0" applyFont="1" applyFill="1" applyBorder="1" applyAlignment="1" applyProtection="1">
      <alignment horizontal="center" vertical="center"/>
      <protection hidden="1"/>
    </xf>
    <xf numFmtId="0" fontId="25" fillId="9" borderId="16" xfId="0" applyFont="1" applyFill="1" applyBorder="1" applyAlignment="1" applyProtection="1">
      <alignment vertical="center" wrapText="1"/>
      <protection hidden="1"/>
    </xf>
    <xf numFmtId="0" fontId="25" fillId="9" borderId="35" xfId="0" applyFont="1" applyFill="1" applyBorder="1" applyAlignment="1" applyProtection="1">
      <alignment horizontal="center" vertical="center"/>
      <protection hidden="1"/>
    </xf>
    <xf numFmtId="0" fontId="48" fillId="0" borderId="0" xfId="0" applyFont="1" applyProtection="1">
      <protection hidden="1"/>
    </xf>
    <xf numFmtId="0" fontId="16" fillId="3" borderId="25" xfId="0" applyFont="1" applyFill="1" applyBorder="1" applyAlignment="1" applyProtection="1">
      <alignment vertical="center" wrapText="1"/>
      <protection hidden="1"/>
    </xf>
    <xf numFmtId="0" fontId="16" fillId="3" borderId="24" xfId="0" applyFont="1" applyFill="1" applyBorder="1" applyAlignment="1" applyProtection="1">
      <alignment vertical="center" wrapText="1"/>
      <protection hidden="1"/>
    </xf>
    <xf numFmtId="166" fontId="9" fillId="8" borderId="32" xfId="0" applyNumberFormat="1" applyFont="1" applyFill="1" applyBorder="1" applyAlignment="1" applyProtection="1">
      <alignment horizontal="center" vertical="center" wrapText="1"/>
      <protection hidden="1"/>
    </xf>
    <xf numFmtId="0" fontId="9" fillId="8" borderId="32" xfId="0" applyFont="1" applyFill="1" applyBorder="1" applyAlignment="1" applyProtection="1">
      <alignment horizontal="center" vertical="center"/>
      <protection hidden="1"/>
    </xf>
    <xf numFmtId="0" fontId="35" fillId="8" borderId="32" xfId="0" applyFont="1" applyFill="1" applyBorder="1" applyAlignment="1" applyProtection="1">
      <alignment horizontal="center" vertical="center"/>
      <protection hidden="1"/>
    </xf>
    <xf numFmtId="165" fontId="5" fillId="6" borderId="3" xfId="0" applyNumberFormat="1" applyFont="1" applyFill="1" applyBorder="1" applyAlignment="1" applyProtection="1">
      <alignment horizontal="center" vertical="center"/>
      <protection hidden="1"/>
    </xf>
    <xf numFmtId="165" fontId="5" fillId="8" borderId="2" xfId="0" applyNumberFormat="1" applyFont="1" applyFill="1" applyBorder="1" applyAlignment="1" applyProtection="1">
      <alignment horizontal="center" vertical="center"/>
      <protection hidden="1"/>
    </xf>
    <xf numFmtId="165" fontId="5" fillId="6" borderId="2" xfId="0" applyNumberFormat="1" applyFont="1" applyFill="1" applyBorder="1" applyAlignment="1" applyProtection="1">
      <alignment horizontal="center" vertical="center"/>
      <protection hidden="1"/>
    </xf>
    <xf numFmtId="165" fontId="25" fillId="8" borderId="2" xfId="0" applyNumberFormat="1" applyFont="1" applyFill="1" applyBorder="1" applyAlignment="1" applyProtection="1">
      <alignment horizontal="center" vertical="center"/>
      <protection hidden="1"/>
    </xf>
    <xf numFmtId="2" fontId="25" fillId="8" borderId="2" xfId="0" applyNumberFormat="1" applyFont="1" applyFill="1" applyBorder="1" applyAlignment="1" applyProtection="1">
      <alignment horizontal="center" vertical="center"/>
      <protection hidden="1"/>
    </xf>
    <xf numFmtId="165" fontId="25" fillId="6" borderId="2" xfId="0" applyNumberFormat="1" applyFont="1" applyFill="1" applyBorder="1" applyAlignment="1" applyProtection="1">
      <alignment horizontal="center" vertical="center"/>
      <protection hidden="1"/>
    </xf>
    <xf numFmtId="165" fontId="5" fillId="8" borderId="12" xfId="0" applyNumberFormat="1" applyFont="1" applyFill="1" applyBorder="1" applyAlignment="1" applyProtection="1">
      <alignment horizontal="center" vertical="center"/>
      <protection hidden="1"/>
    </xf>
    <xf numFmtId="165" fontId="5" fillId="8" borderId="5" xfId="0" applyNumberFormat="1" applyFont="1" applyFill="1" applyBorder="1" applyAlignment="1" applyProtection="1">
      <alignment horizontal="center" vertical="center"/>
      <protection hidden="1"/>
    </xf>
    <xf numFmtId="165" fontId="25" fillId="8" borderId="5" xfId="0" applyNumberFormat="1" applyFont="1" applyFill="1" applyBorder="1" applyAlignment="1" applyProtection="1">
      <alignment horizontal="center" vertical="center"/>
      <protection hidden="1"/>
    </xf>
    <xf numFmtId="167" fontId="25" fillId="8" borderId="5" xfId="0" applyNumberFormat="1" applyFont="1" applyFill="1" applyBorder="1" applyAlignment="1" applyProtection="1">
      <alignment horizontal="center" vertical="center"/>
      <protection hidden="1"/>
    </xf>
    <xf numFmtId="167" fontId="5" fillId="8" borderId="5" xfId="0" applyNumberFormat="1" applyFont="1" applyFill="1" applyBorder="1" applyAlignment="1" applyProtection="1">
      <alignment horizontal="center" vertical="center"/>
      <protection hidden="1"/>
    </xf>
    <xf numFmtId="165" fontId="5" fillId="3" borderId="0" xfId="0" applyNumberFormat="1" applyFont="1" applyFill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vertical="center"/>
      <protection hidden="1"/>
    </xf>
    <xf numFmtId="167" fontId="25" fillId="6" borderId="23" xfId="0" applyNumberFormat="1" applyFont="1" applyFill="1" applyBorder="1" applyAlignment="1" applyProtection="1">
      <alignment horizontal="center" vertical="center"/>
      <protection hidden="1"/>
    </xf>
    <xf numFmtId="168" fontId="38" fillId="8" borderId="13" xfId="0" applyNumberFormat="1" applyFont="1" applyFill="1" applyBorder="1" applyAlignment="1" applyProtection="1">
      <alignment horizontal="center" vertical="center"/>
      <protection hidden="1"/>
    </xf>
    <xf numFmtId="0" fontId="25" fillId="8" borderId="35" xfId="0" applyFont="1" applyFill="1" applyBorder="1" applyAlignment="1" applyProtection="1">
      <alignment horizontal="center" vertical="center"/>
      <protection hidden="1"/>
    </xf>
    <xf numFmtId="0" fontId="5" fillId="6" borderId="37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11" fontId="5" fillId="6" borderId="4" xfId="0" applyNumberFormat="1" applyFont="1" applyFill="1" applyBorder="1" applyAlignment="1" applyProtection="1">
      <alignment horizontal="center" vertical="center"/>
      <protection hidden="1"/>
    </xf>
    <xf numFmtId="11" fontId="25" fillId="6" borderId="4" xfId="0" applyNumberFormat="1" applyFont="1" applyFill="1" applyBorder="1" applyAlignment="1" applyProtection="1">
      <alignment horizontal="center" vertical="center"/>
      <protection hidden="1"/>
    </xf>
    <xf numFmtId="0" fontId="35" fillId="8" borderId="22" xfId="0" applyFont="1" applyFill="1" applyBorder="1" applyAlignment="1" applyProtection="1">
      <alignment horizontal="center" vertical="center"/>
      <protection hidden="1"/>
    </xf>
    <xf numFmtId="2" fontId="25" fillId="8" borderId="5" xfId="0" applyNumberFormat="1" applyFont="1" applyFill="1" applyBorder="1" applyAlignment="1" applyProtection="1">
      <alignment horizontal="center" vertical="center"/>
      <protection hidden="1"/>
    </xf>
    <xf numFmtId="165" fontId="25" fillId="6" borderId="16" xfId="0" applyNumberFormat="1" applyFont="1" applyFill="1" applyBorder="1" applyAlignment="1" applyProtection="1">
      <alignment horizontal="center" vertical="center"/>
      <protection hidden="1"/>
    </xf>
    <xf numFmtId="165" fontId="5" fillId="6" borderId="4" xfId="0" applyNumberFormat="1" applyFont="1" applyFill="1" applyBorder="1" applyAlignment="1" applyProtection="1">
      <alignment horizontal="center" vertical="center"/>
      <protection hidden="1"/>
    </xf>
    <xf numFmtId="168" fontId="25" fillId="8" borderId="5" xfId="0" applyNumberFormat="1" applyFont="1" applyFill="1" applyBorder="1" applyAlignment="1" applyProtection="1">
      <alignment horizontal="center" vertical="center"/>
      <protection hidden="1"/>
    </xf>
    <xf numFmtId="186" fontId="25" fillId="6" borderId="23" xfId="0" applyNumberFormat="1" applyFont="1" applyFill="1" applyBorder="1" applyAlignment="1" applyProtection="1">
      <alignment horizontal="center" vertical="center"/>
      <protection hidden="1"/>
    </xf>
    <xf numFmtId="0" fontId="17" fillId="3" borderId="25" xfId="0" applyFont="1" applyFill="1" applyBorder="1" applyAlignment="1" applyProtection="1">
      <alignment horizontal="center" vertical="center"/>
      <protection hidden="1"/>
    </xf>
    <xf numFmtId="0" fontId="17" fillId="3" borderId="26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Protection="1">
      <protection hidden="1"/>
    </xf>
    <xf numFmtId="164" fontId="6" fillId="3" borderId="0" xfId="0" applyNumberFormat="1" applyFont="1" applyFill="1" applyProtection="1">
      <protection hidden="1"/>
    </xf>
    <xf numFmtId="186" fontId="25" fillId="8" borderId="5" xfId="0" applyNumberFormat="1" applyFont="1" applyFill="1" applyBorder="1" applyAlignment="1" applyProtection="1">
      <alignment horizontal="center" vertical="center"/>
      <protection hidden="1"/>
    </xf>
    <xf numFmtId="0" fontId="9" fillId="6" borderId="7" xfId="0" applyFont="1" applyFill="1" applyBorder="1" applyAlignment="1" applyProtection="1">
      <alignment horizontal="left" vertical="center" wrapText="1"/>
      <protection hidden="1"/>
    </xf>
    <xf numFmtId="0" fontId="32" fillId="9" borderId="8" xfId="0" applyFont="1" applyFill="1" applyBorder="1" applyAlignment="1" applyProtection="1">
      <alignment horizontal="center" vertical="center" wrapText="1"/>
      <protection hidden="1"/>
    </xf>
    <xf numFmtId="0" fontId="9" fillId="6" borderId="8" xfId="0" applyFont="1" applyFill="1" applyBorder="1" applyAlignment="1" applyProtection="1">
      <alignment horizontal="left" vertical="center" wrapText="1"/>
      <protection hidden="1"/>
    </xf>
    <xf numFmtId="1" fontId="32" fillId="9" borderId="8" xfId="0" applyNumberFormat="1" applyFont="1" applyFill="1" applyBorder="1" applyAlignment="1" applyProtection="1">
      <alignment horizontal="center" vertical="center" wrapText="1"/>
      <protection hidden="1"/>
    </xf>
    <xf numFmtId="0" fontId="39" fillId="6" borderId="8" xfId="0" applyFont="1" applyFill="1" applyBorder="1" applyAlignment="1" applyProtection="1">
      <alignment horizontal="left" vertical="center" wrapText="1"/>
      <protection hidden="1"/>
    </xf>
    <xf numFmtId="1" fontId="6" fillId="9" borderId="2" xfId="0" applyNumberFormat="1" applyFont="1" applyFill="1" applyBorder="1" applyAlignment="1" applyProtection="1">
      <alignment horizontal="center" vertical="center"/>
      <protection hidden="1"/>
    </xf>
    <xf numFmtId="2" fontId="7" fillId="0" borderId="0" xfId="0" applyNumberFormat="1" applyFont="1" applyAlignment="1" applyProtection="1">
      <alignment horizontal="center" vertical="center"/>
      <protection hidden="1"/>
    </xf>
    <xf numFmtId="2" fontId="16" fillId="3" borderId="0" xfId="0" applyNumberFormat="1" applyFont="1" applyFill="1" applyAlignment="1" applyProtection="1">
      <alignment horizontal="center" vertical="center"/>
      <protection hidden="1"/>
    </xf>
    <xf numFmtId="9" fontId="7" fillId="0" borderId="0" xfId="7" applyFont="1" applyFill="1" applyAlignment="1" applyProtection="1">
      <alignment horizontal="center" vertical="center"/>
      <protection hidden="1"/>
    </xf>
    <xf numFmtId="165" fontId="5" fillId="8" borderId="47" xfId="0" applyNumberFormat="1" applyFont="1" applyFill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66" fontId="25" fillId="8" borderId="2" xfId="0" applyNumberFormat="1" applyFont="1" applyFill="1" applyBorder="1" applyAlignment="1" applyProtection="1">
      <alignment horizontal="center" vertical="center"/>
      <protection hidden="1"/>
    </xf>
    <xf numFmtId="1" fontId="5" fillId="8" borderId="12" xfId="0" applyNumberFormat="1" applyFont="1" applyFill="1" applyBorder="1" applyAlignment="1" applyProtection="1">
      <alignment horizontal="center" vertical="center"/>
      <protection hidden="1"/>
    </xf>
    <xf numFmtId="166" fontId="25" fillId="8" borderId="5" xfId="0" applyNumberFormat="1" applyFont="1" applyFill="1" applyBorder="1" applyAlignment="1" applyProtection="1">
      <alignment horizontal="center" vertical="center"/>
      <protection hidden="1"/>
    </xf>
    <xf numFmtId="2" fontId="25" fillId="6" borderId="16" xfId="0" applyNumberFormat="1" applyFont="1" applyFill="1" applyBorder="1" applyAlignment="1" applyProtection="1">
      <alignment horizontal="center" vertical="center"/>
      <protection hidden="1"/>
    </xf>
    <xf numFmtId="2" fontId="25" fillId="6" borderId="23" xfId="0" applyNumberFormat="1" applyFont="1" applyFill="1" applyBorder="1" applyAlignment="1" applyProtection="1">
      <alignment horizontal="center" vertical="center"/>
      <protection hidden="1"/>
    </xf>
    <xf numFmtId="1" fontId="25" fillId="6" borderId="2" xfId="0" applyNumberFormat="1" applyFont="1" applyFill="1" applyBorder="1" applyAlignment="1" applyProtection="1">
      <alignment horizontal="center" vertical="center"/>
      <protection hidden="1"/>
    </xf>
    <xf numFmtId="0" fontId="25" fillId="8" borderId="7" xfId="0" applyFont="1" applyFill="1" applyBorder="1" applyAlignment="1" applyProtection="1">
      <alignment horizontal="center" vertical="center" wrapText="1"/>
      <protection hidden="1"/>
    </xf>
    <xf numFmtId="0" fontId="25" fillId="8" borderId="9" xfId="0" applyFont="1" applyFill="1" applyBorder="1" applyAlignment="1" applyProtection="1">
      <alignment horizontal="center" vertical="center" wrapText="1"/>
      <protection hidden="1"/>
    </xf>
    <xf numFmtId="187" fontId="25" fillId="8" borderId="5" xfId="9" applyNumberFormat="1" applyFont="1" applyFill="1" applyBorder="1" applyAlignment="1" applyProtection="1">
      <alignment horizontal="center" vertical="center"/>
      <protection hidden="1"/>
    </xf>
    <xf numFmtId="2" fontId="40" fillId="8" borderId="22" xfId="0" applyNumberFormat="1" applyFont="1" applyFill="1" applyBorder="1" applyAlignment="1" applyProtection="1">
      <alignment horizontal="center" vertical="center"/>
      <protection hidden="1"/>
    </xf>
    <xf numFmtId="9" fontId="25" fillId="8" borderId="16" xfId="7" applyFont="1" applyFill="1" applyBorder="1" applyAlignment="1" applyProtection="1">
      <alignment horizontal="center" vertical="center"/>
      <protection hidden="1"/>
    </xf>
    <xf numFmtId="166" fontId="25" fillId="6" borderId="2" xfId="0" applyNumberFormat="1" applyFont="1" applyFill="1" applyBorder="1" applyAlignment="1" applyProtection="1">
      <alignment horizontal="center" vertical="center"/>
      <protection hidden="1"/>
    </xf>
    <xf numFmtId="167" fontId="25" fillId="8" borderId="47" xfId="0" applyNumberFormat="1" applyFont="1" applyFill="1" applyBorder="1" applyAlignment="1" applyProtection="1">
      <alignment horizontal="center" vertical="center"/>
      <protection hidden="1"/>
    </xf>
    <xf numFmtId="0" fontId="25" fillId="8" borderId="54" xfId="0" applyFont="1" applyFill="1" applyBorder="1" applyAlignment="1" applyProtection="1">
      <alignment horizontal="center" vertical="center"/>
      <protection hidden="1"/>
    </xf>
    <xf numFmtId="2" fontId="25" fillId="6" borderId="2" xfId="0" applyNumberFormat="1" applyFont="1" applyFill="1" applyBorder="1" applyAlignment="1" applyProtection="1">
      <alignment horizontal="center" vertical="center"/>
      <protection hidden="1"/>
    </xf>
    <xf numFmtId="1" fontId="5" fillId="29" borderId="16" xfId="2" applyNumberFormat="1" applyFill="1" applyBorder="1" applyAlignment="1">
      <alignment horizontal="center" vertical="center"/>
      <protection hidden="1"/>
    </xf>
    <xf numFmtId="165" fontId="25" fillId="6" borderId="23" xfId="0" applyNumberFormat="1" applyFont="1" applyFill="1" applyBorder="1" applyAlignment="1" applyProtection="1">
      <alignment horizontal="center" vertical="center"/>
      <protection hidden="1"/>
    </xf>
    <xf numFmtId="165" fontId="5" fillId="6" borderId="36" xfId="0" applyNumberFormat="1" applyFont="1" applyFill="1" applyBorder="1" applyAlignment="1" applyProtection="1">
      <alignment horizontal="center" vertical="center"/>
      <protection hidden="1"/>
    </xf>
    <xf numFmtId="0" fontId="35" fillId="8" borderId="30" xfId="0" applyFont="1" applyFill="1" applyBorder="1" applyAlignment="1" applyProtection="1">
      <alignment horizontal="center" vertical="center"/>
      <protection hidden="1"/>
    </xf>
    <xf numFmtId="167" fontId="25" fillId="6" borderId="8" xfId="0" applyNumberFormat="1" applyFont="1" applyFill="1" applyBorder="1" applyAlignment="1" applyProtection="1">
      <alignment horizontal="center" vertical="center"/>
      <protection hidden="1"/>
    </xf>
    <xf numFmtId="9" fontId="16" fillId="0" borderId="0" xfId="7" applyFont="1" applyFill="1" applyProtection="1">
      <protection hidden="1"/>
    </xf>
    <xf numFmtId="185" fontId="36" fillId="9" borderId="48" xfId="0" applyNumberFormat="1" applyFont="1" applyFill="1" applyBorder="1" applyAlignment="1">
      <alignment horizontal="center" vertical="center"/>
    </xf>
    <xf numFmtId="185" fontId="36" fillId="9" borderId="5" xfId="0" applyNumberFormat="1" applyFont="1" applyFill="1" applyBorder="1" applyAlignment="1">
      <alignment horizontal="center" vertical="center"/>
    </xf>
    <xf numFmtId="0" fontId="36" fillId="25" borderId="38" xfId="0" applyFont="1" applyFill="1" applyBorder="1" applyAlignment="1">
      <alignment vertical="center" wrapText="1"/>
    </xf>
    <xf numFmtId="0" fontId="36" fillId="9" borderId="5" xfId="0" applyFont="1" applyFill="1" applyBorder="1" applyAlignment="1">
      <alignment horizontal="center" vertical="center" wrapText="1"/>
    </xf>
    <xf numFmtId="166" fontId="36" fillId="28" borderId="5" xfId="0" applyNumberFormat="1" applyFont="1" applyFill="1" applyBorder="1" applyAlignment="1">
      <alignment horizontal="center" vertical="center" wrapText="1"/>
    </xf>
    <xf numFmtId="185" fontId="36" fillId="28" borderId="5" xfId="0" applyNumberFormat="1" applyFont="1" applyFill="1" applyBorder="1" applyAlignment="1">
      <alignment horizontal="center" vertical="center" wrapText="1"/>
    </xf>
    <xf numFmtId="0" fontId="36" fillId="9" borderId="6" xfId="0" applyFont="1" applyFill="1" applyBorder="1" applyAlignment="1">
      <alignment horizontal="center" vertical="center" wrapText="1"/>
    </xf>
    <xf numFmtId="168" fontId="36" fillId="28" borderId="48" xfId="0" applyNumberFormat="1" applyFont="1" applyFill="1" applyBorder="1" applyAlignment="1">
      <alignment horizontal="center" vertical="center" wrapText="1"/>
    </xf>
    <xf numFmtId="0" fontId="36" fillId="25" borderId="22" xfId="0" applyFont="1" applyFill="1" applyBorder="1" applyAlignment="1">
      <alignment horizontal="center" vertical="center" wrapText="1"/>
    </xf>
    <xf numFmtId="168" fontId="36" fillId="28" borderId="48" xfId="0" applyNumberFormat="1" applyFont="1" applyFill="1" applyBorder="1" applyAlignment="1">
      <alignment horizontal="center" vertical="center"/>
    </xf>
    <xf numFmtId="2" fontId="6" fillId="9" borderId="2" xfId="0" applyNumberFormat="1" applyFont="1" applyFill="1" applyBorder="1" applyAlignment="1" applyProtection="1">
      <alignment horizontal="center" vertical="center"/>
      <protection hidden="1"/>
    </xf>
    <xf numFmtId="165" fontId="5" fillId="7" borderId="20" xfId="0" applyNumberFormat="1" applyFont="1" applyFill="1" applyBorder="1" applyAlignment="1" applyProtection="1">
      <alignment horizontal="center" vertical="center"/>
      <protection hidden="1"/>
    </xf>
    <xf numFmtId="1" fontId="3" fillId="8" borderId="11" xfId="0" applyNumberFormat="1" applyFont="1" applyFill="1" applyBorder="1" applyAlignment="1" applyProtection="1">
      <alignment horizontal="center" vertical="center"/>
      <protection hidden="1"/>
    </xf>
    <xf numFmtId="2" fontId="3" fillId="0" borderId="3" xfId="2" applyFont="1" applyFill="1" applyBorder="1" applyAlignment="1">
      <alignment horizontal="center" vertical="center"/>
      <protection hidden="1"/>
    </xf>
    <xf numFmtId="2" fontId="3" fillId="23" borderId="2" xfId="2" applyFont="1" applyFill="1" applyBorder="1" applyAlignment="1" applyProtection="1">
      <alignment horizontal="center" vertical="center" wrapText="1"/>
      <protection locked="0" hidden="1"/>
    </xf>
    <xf numFmtId="164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178" fontId="3" fillId="0" borderId="3" xfId="0" applyNumberFormat="1" applyFont="1" applyBorder="1" applyAlignment="1">
      <alignment horizontal="center" vertical="center" wrapText="1"/>
    </xf>
    <xf numFmtId="179" fontId="3" fillId="0" borderId="3" xfId="0" applyNumberFormat="1" applyFont="1" applyBorder="1" applyAlignment="1">
      <alignment horizontal="center" vertical="center" wrapText="1"/>
    </xf>
    <xf numFmtId="2" fontId="3" fillId="23" borderId="5" xfId="2" applyFont="1" applyFill="1" applyBorder="1" applyAlignment="1" applyProtection="1">
      <alignment horizontal="center" vertical="center" wrapText="1"/>
      <protection locked="0" hidden="1"/>
    </xf>
    <xf numFmtId="164" fontId="3" fillId="0" borderId="5" xfId="0" applyNumberFormat="1" applyFont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2" fontId="3" fillId="13" borderId="33" xfId="2" applyFont="1" applyBorder="1" applyAlignment="1">
      <alignment horizontal="center" vertical="center"/>
      <protection hidden="1"/>
    </xf>
    <xf numFmtId="168" fontId="36" fillId="9" borderId="2" xfId="0" applyNumberFormat="1" applyFont="1" applyFill="1" applyBorder="1" applyAlignment="1">
      <alignment horizontal="center" vertical="center" wrapText="1"/>
    </xf>
    <xf numFmtId="168" fontId="36" fillId="9" borderId="32" xfId="0" applyNumberFormat="1" applyFont="1" applyFill="1" applyBorder="1" applyAlignment="1">
      <alignment horizontal="center" vertical="center" wrapText="1"/>
    </xf>
    <xf numFmtId="168" fontId="36" fillId="9" borderId="5" xfId="0" applyNumberFormat="1" applyFont="1" applyFill="1" applyBorder="1" applyAlignment="1">
      <alignment horizontal="center" vertical="center" wrapText="1"/>
    </xf>
    <xf numFmtId="168" fontId="36" fillId="28" borderId="5" xfId="0" applyNumberFormat="1" applyFont="1" applyFill="1" applyBorder="1" applyAlignment="1">
      <alignment horizontal="center" vertical="center" wrapText="1"/>
    </xf>
    <xf numFmtId="165" fontId="36" fillId="9" borderId="32" xfId="0" applyNumberFormat="1" applyFont="1" applyFill="1" applyBorder="1" applyAlignment="1">
      <alignment horizontal="center" vertical="center" wrapText="1"/>
    </xf>
    <xf numFmtId="165" fontId="36" fillId="9" borderId="2" xfId="0" applyNumberFormat="1" applyFont="1" applyFill="1" applyBorder="1" applyAlignment="1">
      <alignment horizontal="center" vertical="center" wrapText="1"/>
    </xf>
    <xf numFmtId="165" fontId="36" fillId="9" borderId="5" xfId="0" applyNumberFormat="1" applyFont="1" applyFill="1" applyBorder="1" applyAlignment="1">
      <alignment horizontal="center" vertical="center" wrapText="1"/>
    </xf>
    <xf numFmtId="191" fontId="6" fillId="9" borderId="2" xfId="0" applyNumberFormat="1" applyFont="1" applyFill="1" applyBorder="1" applyAlignment="1">
      <alignment horizontal="center" vertical="center"/>
    </xf>
    <xf numFmtId="1" fontId="40" fillId="8" borderId="49" xfId="0" applyNumberFormat="1" applyFont="1" applyFill="1" applyBorder="1" applyAlignment="1" applyProtection="1">
      <alignment horizontal="center" vertical="center"/>
      <protection hidden="1"/>
    </xf>
    <xf numFmtId="1" fontId="40" fillId="8" borderId="34" xfId="0" applyNumberFormat="1" applyFont="1" applyFill="1" applyBorder="1" applyAlignment="1" applyProtection="1">
      <alignment horizontal="center" vertical="center"/>
      <protection hidden="1"/>
    </xf>
    <xf numFmtId="1" fontId="40" fillId="8" borderId="10" xfId="0" applyNumberFormat="1" applyFont="1" applyFill="1" applyBorder="1" applyAlignment="1" applyProtection="1">
      <alignment horizontal="center" vertical="center"/>
      <protection hidden="1"/>
    </xf>
    <xf numFmtId="166" fontId="6" fillId="9" borderId="2" xfId="0" applyNumberFormat="1" applyFont="1" applyFill="1" applyBorder="1" applyAlignment="1" applyProtection="1">
      <alignment horizontal="center" vertical="center"/>
      <protection hidden="1"/>
    </xf>
    <xf numFmtId="2" fontId="36" fillId="28" borderId="32" xfId="0" applyNumberFormat="1" applyFont="1" applyFill="1" applyBorder="1" applyAlignment="1">
      <alignment horizontal="center" vertical="center" wrapText="1"/>
    </xf>
    <xf numFmtId="0" fontId="36" fillId="9" borderId="57" xfId="0" applyFont="1" applyFill="1" applyBorder="1" applyAlignment="1">
      <alignment horizontal="center" vertical="center" wrapText="1"/>
    </xf>
    <xf numFmtId="0" fontId="36" fillId="9" borderId="20" xfId="0" applyFont="1" applyFill="1" applyBorder="1" applyAlignment="1">
      <alignment horizontal="center" vertical="center"/>
    </xf>
    <xf numFmtId="0" fontId="36" fillId="28" borderId="20" xfId="0" applyFont="1" applyFill="1" applyBorder="1" applyAlignment="1">
      <alignment horizontal="center" vertical="center"/>
    </xf>
    <xf numFmtId="164" fontId="36" fillId="28" borderId="20" xfId="0" applyNumberFormat="1" applyFont="1" applyFill="1" applyBorder="1" applyAlignment="1">
      <alignment horizontal="center" vertical="center"/>
    </xf>
    <xf numFmtId="0" fontId="36" fillId="28" borderId="20" xfId="0" applyFont="1" applyFill="1" applyBorder="1" applyAlignment="1">
      <alignment horizontal="center" vertical="center" wrapText="1"/>
    </xf>
    <xf numFmtId="165" fontId="36" fillId="9" borderId="20" xfId="0" applyNumberFormat="1" applyFont="1" applyFill="1" applyBorder="1" applyAlignment="1">
      <alignment horizontal="center" vertical="center" wrapText="1"/>
    </xf>
    <xf numFmtId="185" fontId="36" fillId="28" borderId="20" xfId="0" applyNumberFormat="1" applyFont="1" applyFill="1" applyBorder="1" applyAlignment="1">
      <alignment horizontal="center" vertical="center"/>
    </xf>
    <xf numFmtId="168" fontId="36" fillId="28" borderId="20" xfId="0" applyNumberFormat="1" applyFont="1" applyFill="1" applyBorder="1" applyAlignment="1">
      <alignment horizontal="center" vertical="center"/>
    </xf>
    <xf numFmtId="0" fontId="36" fillId="9" borderId="34" xfId="0" applyFont="1" applyFill="1" applyBorder="1" applyAlignment="1">
      <alignment horizontal="center" vertical="center"/>
    </xf>
    <xf numFmtId="1" fontId="36" fillId="9" borderId="1" xfId="0" applyNumberFormat="1" applyFont="1" applyFill="1" applyBorder="1" applyAlignment="1">
      <alignment horizontal="center" vertical="center"/>
    </xf>
    <xf numFmtId="165" fontId="36" fillId="28" borderId="1" xfId="0" applyNumberFormat="1" applyFont="1" applyFill="1" applyBorder="1" applyAlignment="1">
      <alignment horizontal="center" vertical="center"/>
    </xf>
    <xf numFmtId="165" fontId="36" fillId="9" borderId="1" xfId="0" applyNumberFormat="1" applyFont="1" applyFill="1" applyBorder="1" applyAlignment="1">
      <alignment horizontal="center" vertical="center" wrapText="1"/>
    </xf>
    <xf numFmtId="0" fontId="36" fillId="9" borderId="49" xfId="0" applyFont="1" applyFill="1" applyBorder="1" applyAlignment="1">
      <alignment horizontal="center" vertical="center"/>
    </xf>
    <xf numFmtId="2" fontId="25" fillId="8" borderId="51" xfId="0" applyNumberFormat="1" applyFont="1" applyFill="1" applyBorder="1" applyAlignment="1" applyProtection="1">
      <alignment horizontal="center" vertical="center"/>
      <protection hidden="1"/>
    </xf>
    <xf numFmtId="2" fontId="25" fillId="8" borderId="54" xfId="0" applyNumberFormat="1" applyFont="1" applyFill="1" applyBorder="1" applyAlignment="1" applyProtection="1">
      <alignment horizontal="center" vertical="center"/>
      <protection hidden="1"/>
    </xf>
    <xf numFmtId="1" fontId="40" fillId="8" borderId="9" xfId="0" applyNumberFormat="1" applyFont="1" applyFill="1" applyBorder="1" applyAlignment="1" applyProtection="1">
      <alignment horizontal="center" vertical="center"/>
      <protection hidden="1"/>
    </xf>
    <xf numFmtId="0" fontId="16" fillId="21" borderId="0" xfId="0" applyFont="1" applyFill="1"/>
    <xf numFmtId="0" fontId="66" fillId="0" borderId="0" xfId="0" applyFont="1" applyProtection="1">
      <protection hidden="1"/>
    </xf>
    <xf numFmtId="9" fontId="16" fillId="0" borderId="0" xfId="0" applyNumberFormat="1" applyFont="1" applyProtection="1">
      <protection hidden="1"/>
    </xf>
    <xf numFmtId="2" fontId="36" fillId="9" borderId="5" xfId="0" applyNumberFormat="1" applyFont="1" applyFill="1" applyBorder="1" applyAlignment="1">
      <alignment horizontal="center" vertical="center" wrapText="1"/>
    </xf>
    <xf numFmtId="2" fontId="36" fillId="9" borderId="2" xfId="0" applyNumberFormat="1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164" fontId="36" fillId="13" borderId="33" xfId="2" applyNumberFormat="1" applyFont="1" applyBorder="1" applyAlignment="1" applyProtection="1">
      <alignment horizontal="center" vertical="center" wrapText="1"/>
      <protection locked="0" hidden="1"/>
    </xf>
    <xf numFmtId="164" fontId="36" fillId="24" borderId="10" xfId="8" applyFont="1" applyBorder="1" applyAlignment="1" applyProtection="1">
      <alignment horizontal="center" vertical="center" wrapText="1"/>
      <protection locked="0" hidden="1"/>
    </xf>
    <xf numFmtId="0" fontId="3" fillId="0" borderId="5" xfId="0" applyFont="1" applyBorder="1" applyAlignment="1">
      <alignment horizontal="center" vertical="center" wrapText="1"/>
    </xf>
    <xf numFmtId="164" fontId="36" fillId="24" borderId="6" xfId="8" applyFont="1" applyBorder="1" applyAlignment="1" applyProtection="1">
      <alignment horizontal="center" vertical="center" wrapText="1"/>
      <protection locked="0" hidden="1"/>
    </xf>
    <xf numFmtId="0" fontId="36" fillId="0" borderId="15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193" fontId="36" fillId="13" borderId="32" xfId="2" applyNumberFormat="1" applyFont="1" applyBorder="1" applyAlignment="1" applyProtection="1">
      <alignment horizontal="center" vertical="center" wrapText="1"/>
      <protection locked="0"/>
    </xf>
    <xf numFmtId="2" fontId="5" fillId="21" borderId="0" xfId="0" applyNumberFormat="1" applyFont="1" applyFill="1" applyProtection="1">
      <protection hidden="1"/>
    </xf>
    <xf numFmtId="0" fontId="35" fillId="21" borderId="33" xfId="0" applyFont="1" applyFill="1" applyBorder="1" applyAlignment="1">
      <alignment horizontal="center" vertical="center"/>
    </xf>
    <xf numFmtId="2" fontId="25" fillId="21" borderId="0" xfId="0" applyNumberFormat="1" applyFont="1" applyFill="1" applyAlignment="1" applyProtection="1">
      <alignment horizontal="center" vertical="center" wrapText="1"/>
      <protection hidden="1"/>
    </xf>
    <xf numFmtId="2" fontId="2" fillId="21" borderId="0" xfId="0" applyNumberFormat="1" applyFont="1" applyFill="1" applyProtection="1">
      <protection hidden="1"/>
    </xf>
    <xf numFmtId="0" fontId="35" fillId="21" borderId="10" xfId="0" applyFont="1" applyFill="1" applyBorder="1" applyAlignment="1">
      <alignment horizontal="center" vertical="center"/>
    </xf>
    <xf numFmtId="0" fontId="35" fillId="21" borderId="6" xfId="0" applyFont="1" applyFill="1" applyBorder="1" applyAlignment="1">
      <alignment horizontal="center" vertical="center"/>
    </xf>
    <xf numFmtId="2" fontId="35" fillId="21" borderId="0" xfId="0" applyNumberFormat="1" applyFont="1" applyFill="1" applyAlignment="1" applyProtection="1">
      <alignment horizontal="center" vertical="center"/>
      <protection hidden="1"/>
    </xf>
    <xf numFmtId="2" fontId="2" fillId="21" borderId="0" xfId="0" applyNumberFormat="1" applyFont="1" applyFill="1" applyAlignment="1" applyProtection="1">
      <alignment horizontal="center" vertical="center"/>
      <protection hidden="1"/>
    </xf>
    <xf numFmtId="0" fontId="68" fillId="21" borderId="0" xfId="0" applyFont="1" applyFill="1"/>
    <xf numFmtId="2" fontId="35" fillId="21" borderId="50" xfId="0" applyNumberFormat="1" applyFont="1" applyFill="1" applyBorder="1" applyAlignment="1" applyProtection="1">
      <alignment horizontal="center" vertical="center" wrapText="1"/>
      <protection hidden="1"/>
    </xf>
    <xf numFmtId="2" fontId="35" fillId="21" borderId="61" xfId="0" applyNumberFormat="1" applyFont="1" applyFill="1" applyBorder="1" applyAlignment="1" applyProtection="1">
      <alignment horizontal="center" vertical="center"/>
      <protection hidden="1"/>
    </xf>
    <xf numFmtId="0" fontId="35" fillId="21" borderId="11" xfId="0" applyFont="1" applyFill="1" applyBorder="1" applyAlignment="1">
      <alignment horizontal="center" vertical="center"/>
    </xf>
    <xf numFmtId="0" fontId="35" fillId="21" borderId="3" xfId="0" applyFont="1" applyFill="1" applyBorder="1" applyAlignment="1">
      <alignment horizontal="center" vertical="center"/>
    </xf>
    <xf numFmtId="0" fontId="35" fillId="21" borderId="12" xfId="0" applyFont="1" applyFill="1" applyBorder="1" applyAlignment="1">
      <alignment horizontal="center" vertical="center"/>
    </xf>
    <xf numFmtId="2" fontId="35" fillId="21" borderId="17" xfId="0" applyNumberFormat="1" applyFont="1" applyFill="1" applyBorder="1" applyAlignment="1" applyProtection="1">
      <alignment horizontal="center" vertical="center"/>
      <protection hidden="1"/>
    </xf>
    <xf numFmtId="2" fontId="35" fillId="21" borderId="22" xfId="0" applyNumberFormat="1" applyFont="1" applyFill="1" applyBorder="1" applyAlignment="1" applyProtection="1">
      <alignment horizontal="center" vertical="center"/>
      <protection hidden="1"/>
    </xf>
    <xf numFmtId="0" fontId="25" fillId="6" borderId="30" xfId="0" applyFont="1" applyFill="1" applyBorder="1" applyAlignment="1" applyProtection="1">
      <alignment vertical="center" wrapText="1"/>
      <protection hidden="1"/>
    </xf>
    <xf numFmtId="0" fontId="25" fillId="6" borderId="31" xfId="0" applyFont="1" applyFill="1" applyBorder="1" applyAlignment="1" applyProtection="1">
      <alignment vertical="center" wrapText="1"/>
      <protection hidden="1"/>
    </xf>
    <xf numFmtId="166" fontId="25" fillId="6" borderId="30" xfId="0" applyNumberFormat="1" applyFont="1" applyFill="1" applyBorder="1" applyAlignment="1" applyProtection="1">
      <alignment vertical="center" wrapText="1"/>
      <protection hidden="1"/>
    </xf>
    <xf numFmtId="166" fontId="25" fillId="6" borderId="31" xfId="0" applyNumberFormat="1" applyFont="1" applyFill="1" applyBorder="1" applyAlignment="1" applyProtection="1">
      <alignment vertical="center" wrapText="1"/>
      <protection hidden="1"/>
    </xf>
    <xf numFmtId="179" fontId="1" fillId="22" borderId="12" xfId="0" applyNumberFormat="1" applyFont="1" applyFill="1" applyBorder="1" applyAlignment="1">
      <alignment horizontal="center" vertical="center"/>
    </xf>
    <xf numFmtId="179" fontId="1" fillId="0" borderId="12" xfId="0" applyNumberFormat="1" applyFont="1" applyBorder="1" applyAlignment="1">
      <alignment horizontal="center" vertical="center" wrapText="1"/>
    </xf>
    <xf numFmtId="165" fontId="30" fillId="4" borderId="11" xfId="0" applyNumberFormat="1" applyFont="1" applyFill="1" applyBorder="1" applyAlignment="1" applyProtection="1">
      <alignment horizontal="center" vertical="center"/>
      <protection locked="0" hidden="1"/>
    </xf>
    <xf numFmtId="165" fontId="30" fillId="4" borderId="33" xfId="0" applyNumberFormat="1" applyFont="1" applyFill="1" applyBorder="1" applyAlignment="1" applyProtection="1">
      <alignment horizontal="center" vertical="center"/>
      <protection locked="0" hidden="1"/>
    </xf>
    <xf numFmtId="165" fontId="30" fillId="4" borderId="45" xfId="0" applyNumberFormat="1" applyFont="1" applyFill="1" applyBorder="1" applyAlignment="1" applyProtection="1">
      <alignment horizontal="center" vertical="center"/>
      <protection locked="0" hidden="1"/>
    </xf>
    <xf numFmtId="165" fontId="30" fillId="4" borderId="49" xfId="0" applyNumberFormat="1" applyFont="1" applyFill="1" applyBorder="1" applyAlignment="1" applyProtection="1">
      <alignment horizontal="center" vertical="center"/>
      <protection locked="0" hidden="1"/>
    </xf>
    <xf numFmtId="165" fontId="30" fillId="4" borderId="43" xfId="0" applyNumberFormat="1" applyFont="1" applyFill="1" applyBorder="1" applyAlignment="1" applyProtection="1">
      <alignment horizontal="center" vertical="center"/>
      <protection locked="0" hidden="1"/>
    </xf>
    <xf numFmtId="165" fontId="30" fillId="4" borderId="54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11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33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45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49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43" xfId="0" applyNumberFormat="1" applyFont="1" applyFill="1" applyBorder="1" applyAlignment="1" applyProtection="1">
      <alignment horizontal="center" vertical="center"/>
      <protection locked="0" hidden="1"/>
    </xf>
    <xf numFmtId="166" fontId="30" fillId="4" borderId="54" xfId="0" applyNumberFormat="1" applyFont="1" applyFill="1" applyBorder="1" applyAlignment="1" applyProtection="1">
      <alignment horizontal="center" vertical="center"/>
      <protection locked="0" hidden="1"/>
    </xf>
    <xf numFmtId="0" fontId="5" fillId="8" borderId="30" xfId="0" applyFont="1" applyFill="1" applyBorder="1" applyAlignment="1" applyProtection="1">
      <alignment horizontal="center" vertical="center"/>
      <protection hidden="1"/>
    </xf>
    <xf numFmtId="1" fontId="40" fillId="8" borderId="32" xfId="0" applyNumberFormat="1" applyFont="1" applyFill="1" applyBorder="1" applyAlignment="1" applyProtection="1">
      <alignment horizontal="center" vertical="center"/>
      <protection hidden="1"/>
    </xf>
    <xf numFmtId="1" fontId="40" fillId="8" borderId="27" xfId="0" applyNumberFormat="1" applyFont="1" applyFill="1" applyBorder="1" applyAlignment="1" applyProtection="1">
      <alignment horizontal="center" vertical="center"/>
      <protection hidden="1"/>
    </xf>
    <xf numFmtId="1" fontId="40" fillId="8" borderId="48" xfId="0" applyNumberFormat="1" applyFont="1" applyFill="1" applyBorder="1" applyAlignment="1" applyProtection="1">
      <alignment horizontal="center" vertical="center"/>
      <protection hidden="1"/>
    </xf>
    <xf numFmtId="1" fontId="40" fillId="8" borderId="2" xfId="0" applyNumberFormat="1" applyFont="1" applyFill="1" applyBorder="1" applyAlignment="1" applyProtection="1">
      <alignment horizontal="center" vertical="center"/>
      <protection hidden="1"/>
    </xf>
    <xf numFmtId="1" fontId="40" fillId="8" borderId="47" xfId="0" applyNumberFormat="1" applyFont="1" applyFill="1" applyBorder="1" applyAlignment="1" applyProtection="1">
      <alignment horizontal="center" vertical="center"/>
      <protection hidden="1"/>
    </xf>
    <xf numFmtId="2" fontId="5" fillId="32" borderId="0" xfId="0" applyNumberFormat="1" applyFont="1" applyFill="1" applyProtection="1">
      <protection hidden="1"/>
    </xf>
    <xf numFmtId="0" fontId="16" fillId="32" borderId="0" xfId="0" applyFont="1" applyFill="1"/>
    <xf numFmtId="2" fontId="35" fillId="32" borderId="50" xfId="0" applyNumberFormat="1" applyFont="1" applyFill="1" applyBorder="1" applyAlignment="1" applyProtection="1">
      <alignment horizontal="center" vertical="center" wrapText="1"/>
      <protection hidden="1"/>
    </xf>
    <xf numFmtId="2" fontId="35" fillId="32" borderId="61" xfId="0" applyNumberFormat="1" applyFont="1" applyFill="1" applyBorder="1" applyAlignment="1" applyProtection="1">
      <alignment horizontal="center" vertical="center"/>
      <protection hidden="1"/>
    </xf>
    <xf numFmtId="0" fontId="35" fillId="32" borderId="11" xfId="0" applyFont="1" applyFill="1" applyBorder="1" applyAlignment="1">
      <alignment horizontal="center" vertical="center"/>
    </xf>
    <xf numFmtId="0" fontId="35" fillId="32" borderId="33" xfId="0" applyFont="1" applyFill="1" applyBorder="1" applyAlignment="1">
      <alignment horizontal="center" vertical="center"/>
    </xf>
    <xf numFmtId="2" fontId="25" fillId="32" borderId="0" xfId="0" applyNumberFormat="1" applyFont="1" applyFill="1" applyAlignment="1" applyProtection="1">
      <alignment horizontal="center" vertical="center" wrapText="1"/>
      <protection hidden="1"/>
    </xf>
    <xf numFmtId="2" fontId="35" fillId="32" borderId="22" xfId="0" applyNumberFormat="1" applyFont="1" applyFill="1" applyBorder="1" applyAlignment="1" applyProtection="1">
      <alignment horizontal="center" vertical="center"/>
      <protection hidden="1"/>
    </xf>
    <xf numFmtId="2" fontId="35" fillId="32" borderId="17" xfId="0" applyNumberFormat="1" applyFont="1" applyFill="1" applyBorder="1" applyAlignment="1" applyProtection="1">
      <alignment horizontal="center" vertical="center"/>
      <protection hidden="1"/>
    </xf>
    <xf numFmtId="0" fontId="35" fillId="32" borderId="3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2" fontId="2" fillId="32" borderId="0" xfId="0" applyNumberFormat="1" applyFont="1" applyFill="1" applyProtection="1">
      <protection hidden="1"/>
    </xf>
    <xf numFmtId="0" fontId="35" fillId="32" borderId="12" xfId="0" applyFont="1" applyFill="1" applyBorder="1" applyAlignment="1">
      <alignment horizontal="center" vertical="center"/>
    </xf>
    <xf numFmtId="0" fontId="35" fillId="32" borderId="6" xfId="0" applyFont="1" applyFill="1" applyBorder="1" applyAlignment="1">
      <alignment horizontal="center" vertical="center"/>
    </xf>
    <xf numFmtId="2" fontId="35" fillId="32" borderId="0" xfId="0" applyNumberFormat="1" applyFont="1" applyFill="1" applyAlignment="1" applyProtection="1">
      <alignment horizontal="center" vertical="center"/>
      <protection hidden="1"/>
    </xf>
    <xf numFmtId="2" fontId="2" fillId="32" borderId="0" xfId="0" applyNumberFormat="1" applyFont="1" applyFill="1" applyAlignment="1" applyProtection="1">
      <alignment horizontal="center" vertical="center"/>
      <protection hidden="1"/>
    </xf>
    <xf numFmtId="166" fontId="35" fillId="32" borderId="22" xfId="0" applyNumberFormat="1" applyFont="1" applyFill="1" applyBorder="1" applyAlignment="1" applyProtection="1">
      <alignment horizontal="center" vertical="center"/>
      <protection hidden="1"/>
    </xf>
    <xf numFmtId="1" fontId="35" fillId="32" borderId="17" xfId="0" applyNumberFormat="1" applyFont="1" applyFill="1" applyBorder="1" applyAlignment="1" applyProtection="1">
      <alignment horizontal="center" vertical="center"/>
      <protection hidden="1"/>
    </xf>
    <xf numFmtId="166" fontId="35" fillId="32" borderId="17" xfId="0" applyNumberFormat="1" applyFont="1" applyFill="1" applyBorder="1" applyAlignment="1" applyProtection="1">
      <alignment horizontal="center" vertical="center"/>
      <protection hidden="1"/>
    </xf>
    <xf numFmtId="166" fontId="35" fillId="32" borderId="3" xfId="0" applyNumberFormat="1" applyFont="1" applyFill="1" applyBorder="1" applyAlignment="1">
      <alignment horizontal="center" vertical="center"/>
    </xf>
    <xf numFmtId="166" fontId="35" fillId="32" borderId="10" xfId="0" applyNumberFormat="1" applyFont="1" applyFill="1" applyBorder="1" applyAlignment="1">
      <alignment horizontal="center" vertical="center"/>
    </xf>
    <xf numFmtId="166" fontId="35" fillId="32" borderId="12" xfId="0" applyNumberFormat="1" applyFont="1" applyFill="1" applyBorder="1" applyAlignment="1">
      <alignment horizontal="center" vertical="center"/>
    </xf>
    <xf numFmtId="166" fontId="35" fillId="32" borderId="6" xfId="0" applyNumberFormat="1" applyFont="1" applyFill="1" applyBorder="1" applyAlignment="1">
      <alignment horizontal="center" vertical="center"/>
    </xf>
    <xf numFmtId="2" fontId="35" fillId="32" borderId="3" xfId="0" applyNumberFormat="1" applyFont="1" applyFill="1" applyBorder="1" applyAlignment="1">
      <alignment horizontal="center" vertical="center"/>
    </xf>
    <xf numFmtId="2" fontId="35" fillId="32" borderId="10" xfId="0" applyNumberFormat="1" applyFont="1" applyFill="1" applyBorder="1" applyAlignment="1">
      <alignment horizontal="center" vertical="center"/>
    </xf>
    <xf numFmtId="2" fontId="35" fillId="32" borderId="12" xfId="0" applyNumberFormat="1" applyFont="1" applyFill="1" applyBorder="1" applyAlignment="1">
      <alignment horizontal="center" vertical="center"/>
    </xf>
    <xf numFmtId="2" fontId="35" fillId="32" borderId="6" xfId="0" applyNumberFormat="1" applyFont="1" applyFill="1" applyBorder="1" applyAlignment="1">
      <alignment horizontal="center" vertical="center"/>
    </xf>
    <xf numFmtId="165" fontId="35" fillId="32" borderId="17" xfId="0" applyNumberFormat="1" applyFont="1" applyFill="1" applyBorder="1" applyAlignment="1" applyProtection="1">
      <alignment horizontal="center" vertical="center"/>
      <protection hidden="1"/>
    </xf>
    <xf numFmtId="165" fontId="35" fillId="32" borderId="3" xfId="0" applyNumberFormat="1" applyFont="1" applyFill="1" applyBorder="1" applyAlignment="1">
      <alignment horizontal="center" vertical="center"/>
    </xf>
    <xf numFmtId="165" fontId="35" fillId="32" borderId="10" xfId="0" applyNumberFormat="1" applyFont="1" applyFill="1" applyBorder="1" applyAlignment="1">
      <alignment horizontal="center" vertical="center"/>
    </xf>
    <xf numFmtId="165" fontId="35" fillId="32" borderId="12" xfId="0" applyNumberFormat="1" applyFont="1" applyFill="1" applyBorder="1" applyAlignment="1">
      <alignment horizontal="center" vertical="center"/>
    </xf>
    <xf numFmtId="165" fontId="35" fillId="32" borderId="6" xfId="0" applyNumberFormat="1" applyFont="1" applyFill="1" applyBorder="1" applyAlignment="1">
      <alignment horizontal="center" vertical="center"/>
    </xf>
    <xf numFmtId="1" fontId="40" fillId="8" borderId="33" xfId="0" applyNumberFormat="1" applyFont="1" applyFill="1" applyBorder="1" applyAlignment="1" applyProtection="1">
      <alignment horizontal="center" vertical="center" wrapText="1"/>
      <protection hidden="1"/>
    </xf>
    <xf numFmtId="1" fontId="40" fillId="8" borderId="8" xfId="0" applyNumberFormat="1" applyFont="1" applyFill="1" applyBorder="1" applyAlignment="1" applyProtection="1">
      <alignment horizontal="center" vertical="center" wrapText="1"/>
      <protection hidden="1"/>
    </xf>
    <xf numFmtId="1" fontId="40" fillId="8" borderId="9" xfId="0" applyNumberFormat="1" applyFont="1" applyFill="1" applyBorder="1" applyAlignment="1" applyProtection="1">
      <alignment horizontal="center" vertical="center" wrapText="1"/>
      <protection hidden="1"/>
    </xf>
    <xf numFmtId="1" fontId="40" fillId="8" borderId="39" xfId="0" applyNumberFormat="1" applyFont="1" applyFill="1" applyBorder="1" applyAlignment="1" applyProtection="1">
      <alignment horizontal="center" vertical="center" wrapText="1"/>
      <protection hidden="1"/>
    </xf>
    <xf numFmtId="0" fontId="36" fillId="21" borderId="1" xfId="0" applyFont="1" applyFill="1" applyBorder="1" applyAlignment="1">
      <alignment horizontal="center" vertical="center"/>
    </xf>
    <xf numFmtId="0" fontId="36" fillId="21" borderId="2" xfId="0" applyFont="1" applyFill="1" applyBorder="1" applyAlignment="1">
      <alignment horizontal="center" vertical="center"/>
    </xf>
    <xf numFmtId="0" fontId="36" fillId="21" borderId="5" xfId="0" applyFont="1" applyFill="1" applyBorder="1" applyAlignment="1">
      <alignment horizontal="center" vertical="center"/>
    </xf>
    <xf numFmtId="165" fontId="36" fillId="21" borderId="45" xfId="0" applyNumberFormat="1" applyFont="1" applyFill="1" applyBorder="1" applyAlignment="1">
      <alignment horizontal="center" vertical="center"/>
    </xf>
    <xf numFmtId="165" fontId="36" fillId="21" borderId="49" xfId="0" applyNumberFormat="1" applyFont="1" applyFill="1" applyBorder="1" applyAlignment="1">
      <alignment horizontal="center" vertical="center" wrapText="1"/>
    </xf>
    <xf numFmtId="165" fontId="36" fillId="21" borderId="3" xfId="0" applyNumberFormat="1" applyFont="1" applyFill="1" applyBorder="1" applyAlignment="1">
      <alignment horizontal="center" vertical="center"/>
    </xf>
    <xf numFmtId="165" fontId="36" fillId="21" borderId="2" xfId="0" applyNumberFormat="1" applyFont="1" applyFill="1" applyBorder="1" applyAlignment="1">
      <alignment horizontal="center" vertical="center"/>
    </xf>
    <xf numFmtId="165" fontId="46" fillId="21" borderId="10" xfId="0" applyNumberFormat="1" applyFont="1" applyFill="1" applyBorder="1" applyAlignment="1">
      <alignment horizontal="center" vertical="center" wrapText="1"/>
    </xf>
    <xf numFmtId="165" fontId="36" fillId="21" borderId="12" xfId="0" applyNumberFormat="1" applyFont="1" applyFill="1" applyBorder="1" applyAlignment="1">
      <alignment horizontal="center" vertical="center"/>
    </xf>
    <xf numFmtId="165" fontId="46" fillId="21" borderId="6" xfId="0" applyNumberFormat="1" applyFont="1" applyFill="1" applyBorder="1" applyAlignment="1">
      <alignment horizontal="center" vertical="center" wrapText="1"/>
    </xf>
    <xf numFmtId="1" fontId="2" fillId="33" borderId="32" xfId="2" applyNumberFormat="1" applyFont="1" applyFill="1" applyBorder="1" applyAlignment="1" applyProtection="1">
      <alignment horizontal="center" vertical="center"/>
      <protection locked="0" hidden="1"/>
    </xf>
    <xf numFmtId="49" fontId="36" fillId="33" borderId="2" xfId="8" applyNumberFormat="1" applyFont="1" applyFill="1" applyBorder="1" applyProtection="1">
      <alignment horizontal="center" vertical="center"/>
      <protection locked="0" hidden="1"/>
    </xf>
    <xf numFmtId="49" fontId="36" fillId="33" borderId="5" xfId="8" applyNumberFormat="1" applyFont="1" applyFill="1" applyBorder="1" applyProtection="1">
      <alignment horizontal="center" vertical="center"/>
      <protection locked="0" hidden="1"/>
    </xf>
    <xf numFmtId="0" fontId="69" fillId="28" borderId="11" xfId="0" applyFont="1" applyFill="1" applyBorder="1" applyAlignment="1" applyProtection="1">
      <alignment horizontal="center" vertical="center"/>
      <protection hidden="1"/>
    </xf>
    <xf numFmtId="0" fontId="69" fillId="28" borderId="32" xfId="0" applyFont="1" applyFill="1" applyBorder="1" applyAlignment="1" applyProtection="1">
      <alignment horizontal="center" vertical="center"/>
      <protection hidden="1"/>
    </xf>
    <xf numFmtId="166" fontId="69" fillId="28" borderId="32" xfId="0" applyNumberFormat="1" applyFont="1" applyFill="1" applyBorder="1" applyAlignment="1" applyProtection="1">
      <alignment horizontal="center" vertical="center"/>
      <protection hidden="1"/>
    </xf>
    <xf numFmtId="0" fontId="69" fillId="28" borderId="51" xfId="0" applyFont="1" applyFill="1" applyBorder="1" applyAlignment="1" applyProtection="1">
      <alignment horizontal="center" vertical="center"/>
      <protection hidden="1"/>
    </xf>
    <xf numFmtId="0" fontId="69" fillId="28" borderId="3" xfId="0" applyFont="1" applyFill="1" applyBorder="1" applyAlignment="1" applyProtection="1">
      <alignment horizontal="center" vertical="center"/>
      <protection hidden="1"/>
    </xf>
    <xf numFmtId="0" fontId="69" fillId="28" borderId="1" xfId="0" applyFont="1" applyFill="1" applyBorder="1" applyAlignment="1" applyProtection="1">
      <alignment horizontal="center" vertical="center"/>
      <protection hidden="1"/>
    </xf>
    <xf numFmtId="166" fontId="69" fillId="28" borderId="1" xfId="0" applyNumberFormat="1" applyFont="1" applyFill="1" applyBorder="1" applyAlignment="1" applyProtection="1">
      <alignment horizontal="center" vertical="center"/>
      <protection hidden="1"/>
    </xf>
    <xf numFmtId="0" fontId="69" fillId="28" borderId="10" xfId="0" applyFont="1" applyFill="1" applyBorder="1" applyAlignment="1" applyProtection="1">
      <alignment horizontal="center" vertical="center"/>
      <protection hidden="1"/>
    </xf>
    <xf numFmtId="166" fontId="69" fillId="28" borderId="12" xfId="0" applyNumberFormat="1" applyFont="1" applyFill="1" applyBorder="1" applyAlignment="1" applyProtection="1">
      <alignment horizontal="center" vertical="center"/>
      <protection hidden="1"/>
    </xf>
    <xf numFmtId="0" fontId="69" fillId="28" borderId="47" xfId="0" applyFont="1" applyFill="1" applyBorder="1" applyAlignment="1" applyProtection="1">
      <alignment horizontal="center" vertical="center"/>
      <protection hidden="1"/>
    </xf>
    <xf numFmtId="166" fontId="69" fillId="28" borderId="47" xfId="0" applyNumberFormat="1" applyFont="1" applyFill="1" applyBorder="1" applyAlignment="1" applyProtection="1">
      <alignment horizontal="center" vertical="center"/>
      <protection hidden="1"/>
    </xf>
    <xf numFmtId="0" fontId="69" fillId="28" borderId="6" xfId="0" applyFont="1" applyFill="1" applyBorder="1" applyAlignment="1" applyProtection="1">
      <alignment horizontal="center" vertical="center"/>
      <protection hidden="1"/>
    </xf>
    <xf numFmtId="0" fontId="69" fillId="28" borderId="33" xfId="0" applyFont="1" applyFill="1" applyBorder="1" applyAlignment="1" applyProtection="1">
      <alignment horizontal="center" vertical="center"/>
      <protection hidden="1"/>
    </xf>
    <xf numFmtId="166" fontId="69" fillId="28" borderId="3" xfId="0" applyNumberFormat="1" applyFont="1" applyFill="1" applyBorder="1" applyAlignment="1" applyProtection="1">
      <alignment horizontal="center" vertical="center"/>
      <protection hidden="1"/>
    </xf>
    <xf numFmtId="166" fontId="69" fillId="28" borderId="2" xfId="0" applyNumberFormat="1" applyFont="1" applyFill="1" applyBorder="1" applyAlignment="1" applyProtection="1">
      <alignment horizontal="center" vertical="center"/>
      <protection hidden="1"/>
    </xf>
    <xf numFmtId="166" fontId="69" fillId="28" borderId="5" xfId="0" applyNumberFormat="1" applyFont="1" applyFill="1" applyBorder="1" applyAlignment="1" applyProtection="1">
      <alignment horizontal="center" vertical="center"/>
      <protection hidden="1"/>
    </xf>
    <xf numFmtId="184" fontId="69" fillId="28" borderId="11" xfId="0" applyNumberFormat="1" applyFont="1" applyFill="1" applyBorder="1" applyAlignment="1" applyProtection="1">
      <alignment horizontal="center" vertical="center"/>
      <protection hidden="1"/>
    </xf>
    <xf numFmtId="165" fontId="69" fillId="28" borderId="32" xfId="0" applyNumberFormat="1" applyFont="1" applyFill="1" applyBorder="1" applyAlignment="1" applyProtection="1">
      <alignment horizontal="center" vertical="center"/>
      <protection hidden="1"/>
    </xf>
    <xf numFmtId="165" fontId="69" fillId="28" borderId="33" xfId="0" applyNumberFormat="1" applyFont="1" applyFill="1" applyBorder="1" applyAlignment="1" applyProtection="1">
      <alignment horizontal="center" vertical="center"/>
      <protection hidden="1"/>
    </xf>
    <xf numFmtId="184" fontId="69" fillId="28" borderId="3" xfId="0" applyNumberFormat="1" applyFont="1" applyFill="1" applyBorder="1" applyAlignment="1" applyProtection="1">
      <alignment horizontal="center" vertical="center"/>
      <protection hidden="1"/>
    </xf>
    <xf numFmtId="0" fontId="69" fillId="28" borderId="2" xfId="0" applyFont="1" applyFill="1" applyBorder="1" applyAlignment="1" applyProtection="1">
      <alignment horizontal="center" vertical="center"/>
      <protection hidden="1"/>
    </xf>
    <xf numFmtId="165" fontId="69" fillId="28" borderId="2" xfId="0" applyNumberFormat="1" applyFont="1" applyFill="1" applyBorder="1" applyAlignment="1" applyProtection="1">
      <alignment horizontal="center" vertical="center"/>
      <protection hidden="1"/>
    </xf>
    <xf numFmtId="165" fontId="69" fillId="28" borderId="12" xfId="0" applyNumberFormat="1" applyFont="1" applyFill="1" applyBorder="1" applyAlignment="1" applyProtection="1">
      <alignment horizontal="center" vertical="center"/>
      <protection hidden="1"/>
    </xf>
    <xf numFmtId="0" fontId="69" fillId="28" borderId="5" xfId="0" applyFont="1" applyFill="1" applyBorder="1" applyAlignment="1" applyProtection="1">
      <alignment horizontal="center" vertical="center"/>
      <protection hidden="1"/>
    </xf>
    <xf numFmtId="165" fontId="69" fillId="28" borderId="5" xfId="0" applyNumberFormat="1" applyFont="1" applyFill="1" applyBorder="1" applyAlignment="1" applyProtection="1">
      <alignment horizontal="center" vertical="center"/>
      <protection hidden="1"/>
    </xf>
    <xf numFmtId="166" fontId="69" fillId="28" borderId="33" xfId="0" applyNumberFormat="1" applyFont="1" applyFill="1" applyBorder="1" applyAlignment="1" applyProtection="1">
      <alignment horizontal="center" vertical="center" wrapText="1"/>
      <protection hidden="1"/>
    </xf>
    <xf numFmtId="166" fontId="69" fillId="28" borderId="10" xfId="0" applyNumberFormat="1" applyFont="1" applyFill="1" applyBorder="1" applyAlignment="1" applyProtection="1">
      <alignment horizontal="center" vertical="center" wrapText="1"/>
      <protection hidden="1"/>
    </xf>
    <xf numFmtId="166" fontId="69" fillId="28" borderId="6" xfId="0" applyNumberFormat="1" applyFont="1" applyFill="1" applyBorder="1" applyAlignment="1" applyProtection="1">
      <alignment horizontal="center" vertical="center" wrapText="1"/>
      <protection hidden="1"/>
    </xf>
    <xf numFmtId="0" fontId="69" fillId="28" borderId="33" xfId="0" applyFont="1" applyFill="1" applyBorder="1" applyAlignment="1" applyProtection="1">
      <alignment horizontal="center" vertical="center" wrapText="1"/>
      <protection hidden="1"/>
    </xf>
    <xf numFmtId="0" fontId="69" fillId="28" borderId="10" xfId="0" applyFont="1" applyFill="1" applyBorder="1" applyAlignment="1" applyProtection="1">
      <alignment horizontal="center" vertical="center" wrapText="1"/>
      <protection hidden="1"/>
    </xf>
    <xf numFmtId="166" fontId="69" fillId="28" borderId="57" xfId="0" applyNumberFormat="1" applyFont="1" applyFill="1" applyBorder="1" applyAlignment="1" applyProtection="1">
      <alignment horizontal="center" vertical="center"/>
      <protection hidden="1"/>
    </xf>
    <xf numFmtId="0" fontId="69" fillId="28" borderId="20" xfId="0" applyFont="1" applyFill="1" applyBorder="1" applyAlignment="1" applyProtection="1">
      <alignment horizontal="center" vertical="center"/>
      <protection hidden="1"/>
    </xf>
    <xf numFmtId="0" fontId="69" fillId="28" borderId="34" xfId="0" applyFont="1" applyFill="1" applyBorder="1" applyAlignment="1" applyProtection="1">
      <alignment horizontal="center" vertical="center" wrapText="1"/>
      <protection hidden="1"/>
    </xf>
    <xf numFmtId="165" fontId="69" fillId="28" borderId="11" xfId="0" applyNumberFormat="1" applyFont="1" applyFill="1" applyBorder="1" applyAlignment="1" applyProtection="1">
      <alignment horizontal="center" vertical="center"/>
      <protection hidden="1"/>
    </xf>
    <xf numFmtId="0" fontId="69" fillId="28" borderId="6" xfId="0" applyFont="1" applyFill="1" applyBorder="1" applyAlignment="1" applyProtection="1">
      <alignment horizontal="center" vertical="center" wrapText="1"/>
      <protection hidden="1"/>
    </xf>
    <xf numFmtId="166" fontId="69" fillId="28" borderId="13" xfId="0" applyNumberFormat="1" applyFont="1" applyFill="1" applyBorder="1" applyAlignment="1" applyProtection="1">
      <alignment horizontal="center" vertical="center" wrapText="1"/>
      <protection hidden="1"/>
    </xf>
    <xf numFmtId="166" fontId="69" fillId="28" borderId="14" xfId="0" applyNumberFormat="1" applyFont="1" applyFill="1" applyBorder="1" applyAlignment="1" applyProtection="1">
      <alignment horizontal="center" vertical="center" wrapText="1"/>
      <protection hidden="1"/>
    </xf>
    <xf numFmtId="166" fontId="69" fillId="28" borderId="4" xfId="0" applyNumberFormat="1" applyFont="1" applyFill="1" applyBorder="1" applyAlignment="1" applyProtection="1">
      <alignment horizontal="center" vertical="center" wrapText="1"/>
      <protection hidden="1"/>
    </xf>
    <xf numFmtId="184" fontId="69" fillId="28" borderId="32" xfId="0" applyNumberFormat="1" applyFont="1" applyFill="1" applyBorder="1" applyAlignment="1" applyProtection="1">
      <alignment horizontal="center" vertical="center"/>
      <protection hidden="1"/>
    </xf>
    <xf numFmtId="165" fontId="69" fillId="28" borderId="3" xfId="0" applyNumberFormat="1" applyFont="1" applyFill="1" applyBorder="1" applyAlignment="1" applyProtection="1">
      <alignment horizontal="center" vertical="center"/>
      <protection hidden="1"/>
    </xf>
    <xf numFmtId="166" fontId="69" fillId="28" borderId="11" xfId="0" applyNumberFormat="1" applyFont="1" applyFill="1" applyBorder="1" applyAlignment="1" applyProtection="1">
      <alignment horizontal="center" vertical="center"/>
      <protection hidden="1"/>
    </xf>
    <xf numFmtId="0" fontId="69" fillId="28" borderId="13" xfId="0" applyFont="1" applyFill="1" applyBorder="1" applyAlignment="1" applyProtection="1">
      <alignment horizontal="center" vertical="center"/>
      <protection hidden="1"/>
    </xf>
    <xf numFmtId="0" fontId="69" fillId="28" borderId="14" xfId="0" applyFont="1" applyFill="1" applyBorder="1" applyAlignment="1" applyProtection="1">
      <alignment horizontal="center" vertical="center"/>
      <protection hidden="1"/>
    </xf>
    <xf numFmtId="0" fontId="69" fillId="28" borderId="4" xfId="0" applyFont="1" applyFill="1" applyBorder="1" applyAlignment="1" applyProtection="1">
      <alignment horizontal="center" vertical="center"/>
      <protection hidden="1"/>
    </xf>
    <xf numFmtId="180" fontId="69" fillId="28" borderId="32" xfId="0" applyNumberFormat="1" applyFont="1" applyFill="1" applyBorder="1" applyAlignment="1" applyProtection="1">
      <alignment horizontal="center" vertical="center" wrapText="1"/>
      <protection hidden="1"/>
    </xf>
    <xf numFmtId="180" fontId="69" fillId="28" borderId="13" xfId="0" applyNumberFormat="1" applyFont="1" applyFill="1" applyBorder="1" applyAlignment="1" applyProtection="1">
      <alignment horizontal="center" vertical="center" wrapText="1"/>
      <protection hidden="1"/>
    </xf>
    <xf numFmtId="180" fontId="69" fillId="28" borderId="2" xfId="0" applyNumberFormat="1" applyFont="1" applyFill="1" applyBorder="1" applyAlignment="1" applyProtection="1">
      <alignment horizontal="center" vertical="center" wrapText="1"/>
      <protection hidden="1"/>
    </xf>
    <xf numFmtId="180" fontId="69" fillId="28" borderId="14" xfId="0" applyNumberFormat="1" applyFont="1" applyFill="1" applyBorder="1" applyAlignment="1" applyProtection="1">
      <alignment horizontal="center" vertical="center" wrapText="1"/>
      <protection hidden="1"/>
    </xf>
    <xf numFmtId="0" fontId="69" fillId="28" borderId="12" xfId="0" applyFont="1" applyFill="1" applyBorder="1" applyAlignment="1" applyProtection="1">
      <alignment horizontal="center" vertical="center"/>
      <protection hidden="1"/>
    </xf>
    <xf numFmtId="180" fontId="69" fillId="28" borderId="5" xfId="0" applyNumberFormat="1" applyFont="1" applyFill="1" applyBorder="1" applyAlignment="1" applyProtection="1">
      <alignment horizontal="center" vertical="center" wrapText="1"/>
      <protection hidden="1"/>
    </xf>
    <xf numFmtId="180" fontId="69" fillId="28" borderId="4" xfId="0" applyNumberFormat="1" applyFont="1" applyFill="1" applyBorder="1" applyAlignment="1" applyProtection="1">
      <alignment horizontal="center" vertical="center" wrapText="1"/>
      <protection hidden="1"/>
    </xf>
    <xf numFmtId="184" fontId="69" fillId="28" borderId="32" xfId="0" applyNumberFormat="1" applyFont="1" applyFill="1" applyBorder="1" applyAlignment="1" applyProtection="1">
      <alignment horizontal="center" vertical="center" wrapText="1"/>
      <protection hidden="1"/>
    </xf>
    <xf numFmtId="184" fontId="69" fillId="28" borderId="13" xfId="0" applyNumberFormat="1" applyFont="1" applyFill="1" applyBorder="1" applyAlignment="1" applyProtection="1">
      <alignment horizontal="center" vertical="center" wrapText="1"/>
      <protection hidden="1"/>
    </xf>
    <xf numFmtId="184" fontId="69" fillId="28" borderId="2" xfId="0" applyNumberFormat="1" applyFont="1" applyFill="1" applyBorder="1" applyAlignment="1" applyProtection="1">
      <alignment horizontal="center" vertical="center" wrapText="1"/>
      <protection hidden="1"/>
    </xf>
    <xf numFmtId="0" fontId="69" fillId="28" borderId="14" xfId="0" applyFont="1" applyFill="1" applyBorder="1" applyAlignment="1" applyProtection="1">
      <alignment horizontal="center" vertical="center" wrapText="1"/>
      <protection hidden="1"/>
    </xf>
    <xf numFmtId="184" fontId="69" fillId="28" borderId="5" xfId="0" applyNumberFormat="1" applyFont="1" applyFill="1" applyBorder="1" applyAlignment="1" applyProtection="1">
      <alignment horizontal="center" vertical="center" wrapText="1"/>
      <protection hidden="1"/>
    </xf>
    <xf numFmtId="0" fontId="69" fillId="28" borderId="4" xfId="0" applyFont="1" applyFill="1" applyBorder="1" applyAlignment="1" applyProtection="1">
      <alignment horizontal="center" vertical="center" wrapText="1"/>
      <protection hidden="1"/>
    </xf>
    <xf numFmtId="0" fontId="36" fillId="0" borderId="12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41" fillId="11" borderId="25" xfId="0" applyFont="1" applyFill="1" applyBorder="1" applyAlignment="1">
      <alignment horizontal="center" vertical="center" wrapText="1"/>
    </xf>
    <xf numFmtId="0" fontId="41" fillId="11" borderId="26" xfId="0" applyFont="1" applyFill="1" applyBorder="1" applyAlignment="1">
      <alignment horizontal="center" vertical="center" wrapText="1"/>
    </xf>
    <xf numFmtId="0" fontId="41" fillId="11" borderId="24" xfId="0" applyFont="1" applyFill="1" applyBorder="1" applyAlignment="1">
      <alignment horizontal="center" vertical="center" wrapText="1"/>
    </xf>
    <xf numFmtId="0" fontId="41" fillId="11" borderId="53" xfId="0" applyFont="1" applyFill="1" applyBorder="1" applyAlignment="1">
      <alignment horizontal="center" vertical="center" wrapText="1"/>
    </xf>
    <xf numFmtId="0" fontId="41" fillId="11" borderId="28" xfId="0" applyFont="1" applyFill="1" applyBorder="1" applyAlignment="1">
      <alignment horizontal="center" vertical="center" wrapText="1"/>
    </xf>
    <xf numFmtId="0" fontId="41" fillId="11" borderId="23" xfId="0" applyFont="1" applyFill="1" applyBorder="1" applyAlignment="1">
      <alignment horizontal="center" vertical="center" wrapText="1"/>
    </xf>
    <xf numFmtId="0" fontId="37" fillId="8" borderId="32" xfId="0" applyFont="1" applyFill="1" applyBorder="1" applyAlignment="1">
      <alignment horizontal="center" vertical="center" wrapText="1"/>
    </xf>
    <xf numFmtId="0" fontId="37" fillId="8" borderId="5" xfId="0" applyFont="1" applyFill="1" applyBorder="1" applyAlignment="1">
      <alignment horizontal="center" vertical="center" wrapText="1"/>
    </xf>
    <xf numFmtId="0" fontId="69" fillId="28" borderId="33" xfId="0" quotePrefix="1" applyFont="1" applyFill="1" applyBorder="1" applyAlignment="1" applyProtection="1">
      <alignment horizontal="center" vertical="center" wrapText="1"/>
      <protection hidden="1"/>
    </xf>
    <xf numFmtId="0" fontId="69" fillId="28" borderId="10" xfId="0" applyFont="1" applyFill="1" applyBorder="1" applyAlignment="1" applyProtection="1">
      <alignment horizontal="center" vertical="center" wrapText="1"/>
      <protection hidden="1"/>
    </xf>
    <xf numFmtId="0" fontId="69" fillId="28" borderId="10" xfId="0" quotePrefix="1" applyFont="1" applyFill="1" applyBorder="1" applyAlignment="1" applyProtection="1">
      <alignment horizontal="center" vertical="center" wrapText="1"/>
      <protection hidden="1"/>
    </xf>
    <xf numFmtId="0" fontId="67" fillId="25" borderId="38" xfId="0" applyFont="1" applyFill="1" applyBorder="1" applyAlignment="1">
      <alignment horizontal="center" vertical="center" textRotation="90" wrapText="1"/>
    </xf>
    <xf numFmtId="0" fontId="67" fillId="25" borderId="60" xfId="0" applyFont="1" applyFill="1" applyBorder="1" applyAlignment="1">
      <alignment horizontal="center" vertical="center" textRotation="90" wrapText="1"/>
    </xf>
    <xf numFmtId="0" fontId="67" fillId="25" borderId="63" xfId="0" applyFont="1" applyFill="1" applyBorder="1" applyAlignment="1">
      <alignment horizontal="center" vertical="center" textRotation="90" wrapText="1"/>
    </xf>
    <xf numFmtId="0" fontId="37" fillId="8" borderId="33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36" fillId="25" borderId="38" xfId="0" applyFont="1" applyFill="1" applyBorder="1" applyAlignment="1">
      <alignment horizontal="center" vertical="center"/>
    </xf>
    <xf numFmtId="0" fontId="36" fillId="25" borderId="60" xfId="0" applyFont="1" applyFill="1" applyBorder="1" applyAlignment="1">
      <alignment horizontal="center" vertical="center"/>
    </xf>
    <xf numFmtId="0" fontId="36" fillId="25" borderId="63" xfId="0" applyFont="1" applyFill="1" applyBorder="1" applyAlignment="1">
      <alignment horizontal="center" vertical="center"/>
    </xf>
    <xf numFmtId="0" fontId="36" fillId="25" borderId="25" xfId="0" applyFont="1" applyFill="1" applyBorder="1" applyAlignment="1">
      <alignment horizontal="center" vertical="center" wrapText="1"/>
    </xf>
    <xf numFmtId="0" fontId="36" fillId="25" borderId="21" xfId="0" applyFont="1" applyFill="1" applyBorder="1" applyAlignment="1">
      <alignment horizontal="center" vertical="center" wrapText="1"/>
    </xf>
    <xf numFmtId="0" fontId="36" fillId="25" borderId="53" xfId="0" applyFont="1" applyFill="1" applyBorder="1" applyAlignment="1">
      <alignment horizontal="center" vertical="center" wrapText="1"/>
    </xf>
    <xf numFmtId="0" fontId="67" fillId="25" borderId="38" xfId="0" applyFont="1" applyFill="1" applyBorder="1" applyAlignment="1">
      <alignment horizontal="center" vertical="center" textRotation="90"/>
    </xf>
    <xf numFmtId="0" fontId="67" fillId="25" borderId="60" xfId="0" applyFont="1" applyFill="1" applyBorder="1" applyAlignment="1">
      <alignment horizontal="center" vertical="center" textRotation="90"/>
    </xf>
    <xf numFmtId="0" fontId="67" fillId="25" borderId="63" xfId="0" applyFont="1" applyFill="1" applyBorder="1" applyAlignment="1">
      <alignment horizontal="center" vertical="center" textRotation="90"/>
    </xf>
    <xf numFmtId="0" fontId="37" fillId="8" borderId="11" xfId="0" applyFont="1" applyFill="1" applyBorder="1" applyAlignment="1">
      <alignment horizontal="center" vertical="center" wrapText="1"/>
    </xf>
    <xf numFmtId="0" fontId="37" fillId="8" borderId="12" xfId="0" applyFont="1" applyFill="1" applyBorder="1" applyAlignment="1">
      <alignment horizontal="center" vertical="center" wrapText="1"/>
    </xf>
    <xf numFmtId="0" fontId="61" fillId="11" borderId="0" xfId="0" applyFont="1" applyFill="1" applyAlignment="1">
      <alignment horizontal="center" vertical="top" wrapText="1"/>
    </xf>
    <xf numFmtId="0" fontId="41" fillId="11" borderId="25" xfId="0" applyFont="1" applyFill="1" applyBorder="1" applyAlignment="1">
      <alignment horizontal="center" vertical="center"/>
    </xf>
    <xf numFmtId="0" fontId="41" fillId="11" borderId="26" xfId="0" applyFont="1" applyFill="1" applyBorder="1" applyAlignment="1">
      <alignment horizontal="center" vertical="center"/>
    </xf>
    <xf numFmtId="0" fontId="41" fillId="11" borderId="24" xfId="0" applyFont="1" applyFill="1" applyBorder="1" applyAlignment="1">
      <alignment horizontal="center" vertical="center"/>
    </xf>
    <xf numFmtId="0" fontId="41" fillId="11" borderId="53" xfId="0" applyFont="1" applyFill="1" applyBorder="1" applyAlignment="1">
      <alignment horizontal="center" vertical="center"/>
    </xf>
    <xf numFmtId="0" fontId="41" fillId="11" borderId="28" xfId="0" applyFont="1" applyFill="1" applyBorder="1" applyAlignment="1">
      <alignment horizontal="center" vertical="center"/>
    </xf>
    <xf numFmtId="0" fontId="41" fillId="11" borderId="23" xfId="0" applyFont="1" applyFill="1" applyBorder="1" applyAlignment="1">
      <alignment horizontal="center" vertical="center"/>
    </xf>
    <xf numFmtId="0" fontId="37" fillId="8" borderId="15" xfId="0" applyFont="1" applyFill="1" applyBorder="1" applyAlignment="1">
      <alignment horizontal="center" vertical="center"/>
    </xf>
    <xf numFmtId="0" fontId="37" fillId="8" borderId="17" xfId="0" applyFont="1" applyFill="1" applyBorder="1" applyAlignment="1">
      <alignment horizontal="center" vertical="center"/>
    </xf>
    <xf numFmtId="0" fontId="37" fillId="8" borderId="16" xfId="0" applyFont="1" applyFill="1" applyBorder="1" applyAlignment="1">
      <alignment horizontal="center" vertical="center"/>
    </xf>
    <xf numFmtId="2" fontId="37" fillId="8" borderId="11" xfId="1" applyNumberFormat="1" applyFont="1" applyFill="1" applyBorder="1" applyAlignment="1" applyProtection="1">
      <alignment horizontal="center" vertical="center" wrapText="1"/>
      <protection hidden="1"/>
    </xf>
    <xf numFmtId="2" fontId="37" fillId="8" borderId="12" xfId="1" applyNumberFormat="1" applyFont="1" applyFill="1" applyBorder="1" applyAlignment="1" applyProtection="1">
      <alignment horizontal="center" vertical="center" wrapText="1"/>
      <protection hidden="1"/>
    </xf>
    <xf numFmtId="2" fontId="37" fillId="8" borderId="32" xfId="1" applyNumberFormat="1" applyFont="1" applyFill="1" applyBorder="1" applyAlignment="1" applyProtection="1">
      <alignment horizontal="center" vertical="center" wrapText="1"/>
      <protection hidden="1"/>
    </xf>
    <xf numFmtId="2" fontId="37" fillId="8" borderId="5" xfId="1" applyNumberFormat="1" applyFont="1" applyFill="1" applyBorder="1" applyAlignment="1" applyProtection="1">
      <alignment horizontal="center" vertical="center" wrapText="1"/>
      <protection hidden="1"/>
    </xf>
    <xf numFmtId="2" fontId="37" fillId="8" borderId="33" xfId="1" applyNumberFormat="1" applyFont="1" applyFill="1" applyBorder="1" applyAlignment="1" applyProtection="1">
      <alignment horizontal="center" vertical="center" wrapText="1"/>
      <protection hidden="1"/>
    </xf>
    <xf numFmtId="2" fontId="37" fillId="8" borderId="6" xfId="1" applyNumberFormat="1" applyFont="1" applyFill="1" applyBorder="1" applyAlignment="1" applyProtection="1">
      <alignment horizontal="center" vertical="center" wrapText="1"/>
      <protection hidden="1"/>
    </xf>
    <xf numFmtId="0" fontId="37" fillId="3" borderId="0" xfId="0" applyFont="1" applyFill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/>
    </xf>
    <xf numFmtId="2" fontId="36" fillId="0" borderId="2" xfId="0" applyNumberFormat="1" applyFont="1" applyBorder="1" applyAlignment="1">
      <alignment horizontal="center" vertical="center" wrapText="1"/>
    </xf>
    <xf numFmtId="0" fontId="37" fillId="8" borderId="65" xfId="0" applyFont="1" applyFill="1" applyBorder="1" applyAlignment="1">
      <alignment horizontal="center" vertical="center"/>
    </xf>
    <xf numFmtId="0" fontId="37" fillId="8" borderId="42" xfId="0" applyFont="1" applyFill="1" applyBorder="1" applyAlignment="1">
      <alignment horizontal="center" vertical="center"/>
    </xf>
    <xf numFmtId="0" fontId="37" fillId="8" borderId="25" xfId="0" applyFont="1" applyFill="1" applyBorder="1" applyAlignment="1">
      <alignment horizontal="center" vertical="center"/>
    </xf>
    <xf numFmtId="0" fontId="37" fillId="8" borderId="26" xfId="0" applyFont="1" applyFill="1" applyBorder="1" applyAlignment="1">
      <alignment horizontal="center" vertical="center"/>
    </xf>
    <xf numFmtId="0" fontId="37" fillId="8" borderId="24" xfId="0" applyFont="1" applyFill="1" applyBorder="1" applyAlignment="1">
      <alignment horizontal="center" vertical="center"/>
    </xf>
    <xf numFmtId="0" fontId="37" fillId="8" borderId="53" xfId="0" applyFont="1" applyFill="1" applyBorder="1" applyAlignment="1">
      <alignment horizontal="center" vertical="center"/>
    </xf>
    <xf numFmtId="0" fontId="37" fillId="8" borderId="28" xfId="0" applyFont="1" applyFill="1" applyBorder="1" applyAlignment="1">
      <alignment horizontal="center" vertical="center"/>
    </xf>
    <xf numFmtId="0" fontId="37" fillId="8" borderId="23" xfId="0" applyFont="1" applyFill="1" applyBorder="1" applyAlignment="1">
      <alignment horizontal="center" vertical="center"/>
    </xf>
    <xf numFmtId="0" fontId="37" fillId="8" borderId="11" xfId="0" applyFont="1" applyFill="1" applyBorder="1" applyAlignment="1">
      <alignment horizontal="center" vertical="center"/>
    </xf>
    <xf numFmtId="0" fontId="37" fillId="8" borderId="12" xfId="0" applyFont="1" applyFill="1" applyBorder="1" applyAlignment="1">
      <alignment horizontal="center" vertical="center"/>
    </xf>
    <xf numFmtId="0" fontId="37" fillId="8" borderId="32" xfId="0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horizontal="center" vertical="center"/>
    </xf>
    <xf numFmtId="2" fontId="36" fillId="0" borderId="32" xfId="0" applyNumberFormat="1" applyFont="1" applyBorder="1" applyAlignment="1">
      <alignment horizontal="center" vertical="center"/>
    </xf>
    <xf numFmtId="2" fontId="36" fillId="0" borderId="32" xfId="0" applyNumberFormat="1" applyFont="1" applyBorder="1" applyAlignment="1">
      <alignment horizontal="center" vertical="center" wrapText="1"/>
    </xf>
    <xf numFmtId="0" fontId="37" fillId="19" borderId="11" xfId="0" applyFont="1" applyFill="1" applyBorder="1" applyAlignment="1">
      <alignment horizontal="center" vertical="center" wrapText="1"/>
    </xf>
    <xf numFmtId="0" fontId="37" fillId="19" borderId="12" xfId="0" applyFont="1" applyFill="1" applyBorder="1" applyAlignment="1">
      <alignment horizontal="center" vertical="center" wrapText="1"/>
    </xf>
    <xf numFmtId="0" fontId="36" fillId="20" borderId="50" xfId="0" applyFont="1" applyFill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43" xfId="0" applyFont="1" applyBorder="1" applyAlignment="1">
      <alignment horizontal="center" vertical="center" wrapText="1"/>
    </xf>
    <xf numFmtId="0" fontId="36" fillId="20" borderId="48" xfId="0" applyFont="1" applyFill="1" applyBorder="1" applyAlignment="1">
      <alignment horizontal="center" vertical="center"/>
    </xf>
    <xf numFmtId="0" fontId="36" fillId="20" borderId="27" xfId="0" applyFont="1" applyFill="1" applyBorder="1" applyAlignment="1">
      <alignment horizontal="center" vertical="center"/>
    </xf>
    <xf numFmtId="0" fontId="36" fillId="20" borderId="47" xfId="0" applyFont="1" applyFill="1" applyBorder="1" applyAlignment="1">
      <alignment horizontal="center" vertical="center"/>
    </xf>
    <xf numFmtId="3" fontId="36" fillId="20" borderId="51" xfId="0" applyNumberFormat="1" applyFont="1" applyFill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0" fontId="46" fillId="0" borderId="54" xfId="0" applyFont="1" applyBorder="1" applyAlignment="1">
      <alignment horizontal="center" vertical="center" wrapText="1"/>
    </xf>
    <xf numFmtId="0" fontId="37" fillId="19" borderId="32" xfId="0" applyFont="1" applyFill="1" applyBorder="1" applyAlignment="1">
      <alignment horizontal="center" vertical="center" wrapText="1"/>
    </xf>
    <xf numFmtId="0" fontId="37" fillId="19" borderId="5" xfId="0" applyFont="1" applyFill="1" applyBorder="1" applyAlignment="1">
      <alignment horizontal="center" vertical="center" wrapText="1"/>
    </xf>
    <xf numFmtId="0" fontId="41" fillId="11" borderId="15" xfId="0" applyFont="1" applyFill="1" applyBorder="1" applyAlignment="1">
      <alignment horizontal="center" vertical="center"/>
    </xf>
    <xf numFmtId="0" fontId="41" fillId="11" borderId="17" xfId="0" applyFont="1" applyFill="1" applyBorder="1" applyAlignment="1">
      <alignment horizontal="center" vertical="center"/>
    </xf>
    <xf numFmtId="0" fontId="41" fillId="11" borderId="16" xfId="0" applyFont="1" applyFill="1" applyBorder="1" applyAlignment="1">
      <alignment horizontal="center" vertical="center"/>
    </xf>
    <xf numFmtId="0" fontId="37" fillId="19" borderId="25" xfId="0" applyFont="1" applyFill="1" applyBorder="1" applyAlignment="1">
      <alignment horizontal="center" vertical="center" wrapText="1"/>
    </xf>
    <xf numFmtId="0" fontId="37" fillId="19" borderId="26" xfId="0" applyFont="1" applyFill="1" applyBorder="1" applyAlignment="1">
      <alignment horizontal="center" vertical="center" wrapText="1"/>
    </xf>
    <xf numFmtId="0" fontId="37" fillId="19" borderId="24" xfId="0" applyFont="1" applyFill="1" applyBorder="1" applyAlignment="1">
      <alignment horizontal="center" vertical="center" wrapText="1"/>
    </xf>
    <xf numFmtId="0" fontId="37" fillId="19" borderId="53" xfId="0" applyFont="1" applyFill="1" applyBorder="1" applyAlignment="1">
      <alignment horizontal="center" vertical="center" wrapText="1"/>
    </xf>
    <xf numFmtId="0" fontId="37" fillId="19" borderId="28" xfId="0" applyFont="1" applyFill="1" applyBorder="1" applyAlignment="1">
      <alignment horizontal="center" vertical="center" wrapText="1"/>
    </xf>
    <xf numFmtId="0" fontId="37" fillId="19" borderId="23" xfId="0" applyFont="1" applyFill="1" applyBorder="1" applyAlignment="1">
      <alignment horizontal="center" vertical="center" wrapText="1"/>
    </xf>
    <xf numFmtId="0" fontId="37" fillId="19" borderId="33" xfId="0" applyFont="1" applyFill="1" applyBorder="1" applyAlignment="1">
      <alignment horizontal="center" vertical="center" wrapText="1"/>
    </xf>
    <xf numFmtId="0" fontId="37" fillId="19" borderId="6" xfId="0" applyFont="1" applyFill="1" applyBorder="1" applyAlignment="1">
      <alignment horizontal="center" vertical="center" wrapText="1"/>
    </xf>
    <xf numFmtId="0" fontId="37" fillId="19" borderId="38" xfId="0" applyFont="1" applyFill="1" applyBorder="1" applyAlignment="1">
      <alignment horizontal="center" vertical="center"/>
    </xf>
    <xf numFmtId="0" fontId="37" fillId="19" borderId="63" xfId="0" applyFont="1" applyFill="1" applyBorder="1" applyAlignment="1">
      <alignment horizontal="center" vertical="center"/>
    </xf>
    <xf numFmtId="0" fontId="37" fillId="20" borderId="25" xfId="0" applyFont="1" applyFill="1" applyBorder="1" applyAlignment="1">
      <alignment horizontal="center" vertical="center"/>
    </xf>
    <xf numFmtId="0" fontId="37" fillId="20" borderId="24" xfId="0" applyFont="1" applyFill="1" applyBorder="1" applyAlignment="1">
      <alignment horizontal="center" vertical="center"/>
    </xf>
    <xf numFmtId="0" fontId="37" fillId="20" borderId="21" xfId="0" applyFont="1" applyFill="1" applyBorder="1" applyAlignment="1">
      <alignment horizontal="center" vertical="center"/>
    </xf>
    <xf numFmtId="0" fontId="37" fillId="20" borderId="29" xfId="0" applyFont="1" applyFill="1" applyBorder="1" applyAlignment="1">
      <alignment horizontal="center" vertical="center"/>
    </xf>
    <xf numFmtId="0" fontId="37" fillId="20" borderId="53" xfId="0" applyFont="1" applyFill="1" applyBorder="1" applyAlignment="1">
      <alignment horizontal="center" vertical="center"/>
    </xf>
    <xf numFmtId="0" fontId="37" fillId="20" borderId="23" xfId="0" applyFont="1" applyFill="1" applyBorder="1" applyAlignment="1">
      <alignment horizontal="center" vertical="center"/>
    </xf>
    <xf numFmtId="2" fontId="69" fillId="28" borderId="19" xfId="0" applyNumberFormat="1" applyFont="1" applyFill="1" applyBorder="1" applyAlignment="1" applyProtection="1">
      <alignment horizontal="center" vertical="center" wrapText="1"/>
      <protection hidden="1"/>
    </xf>
    <xf numFmtId="2" fontId="69" fillId="28" borderId="37" xfId="0" applyNumberFormat="1" applyFont="1" applyFill="1" applyBorder="1" applyAlignment="1" applyProtection="1">
      <alignment horizontal="center" vertical="center" wrapText="1"/>
      <protection hidden="1"/>
    </xf>
    <xf numFmtId="0" fontId="36" fillId="20" borderId="59" xfId="0" applyFont="1" applyFill="1" applyBorder="1" applyAlignment="1">
      <alignment horizontal="center" vertical="center" wrapText="1"/>
    </xf>
    <xf numFmtId="0" fontId="36" fillId="20" borderId="43" xfId="0" applyFont="1" applyFill="1" applyBorder="1" applyAlignment="1">
      <alignment horizontal="center" vertical="center" wrapText="1"/>
    </xf>
    <xf numFmtId="0" fontId="69" fillId="28" borderId="11" xfId="0" applyFont="1" applyFill="1" applyBorder="1" applyAlignment="1" applyProtection="1">
      <alignment horizontal="center" vertical="center" wrapText="1"/>
      <protection hidden="1"/>
    </xf>
    <xf numFmtId="0" fontId="69" fillId="28" borderId="3" xfId="0" applyFont="1" applyFill="1" applyBorder="1" applyAlignment="1" applyProtection="1">
      <alignment horizontal="center" vertical="center" wrapText="1"/>
      <protection hidden="1"/>
    </xf>
    <xf numFmtId="0" fontId="36" fillId="20" borderId="48" xfId="0" applyFont="1" applyFill="1" applyBorder="1" applyAlignment="1">
      <alignment horizontal="center" vertical="center" wrapText="1"/>
    </xf>
    <xf numFmtId="0" fontId="46" fillId="0" borderId="27" xfId="0" applyFont="1" applyBorder="1" applyAlignment="1">
      <alignment horizontal="center" vertical="center" wrapText="1"/>
    </xf>
    <xf numFmtId="0" fontId="46" fillId="0" borderId="47" xfId="0" applyFont="1" applyBorder="1" applyAlignment="1">
      <alignment horizontal="center" vertical="center" wrapText="1"/>
    </xf>
    <xf numFmtId="2" fontId="69" fillId="28" borderId="11" xfId="0" applyNumberFormat="1" applyFont="1" applyFill="1" applyBorder="1" applyAlignment="1" applyProtection="1">
      <alignment horizontal="center" vertical="center" wrapText="1"/>
      <protection hidden="1"/>
    </xf>
    <xf numFmtId="2" fontId="69" fillId="28" borderId="3" xfId="0" applyNumberFormat="1" applyFont="1" applyFill="1" applyBorder="1" applyAlignment="1" applyProtection="1">
      <alignment horizontal="center" vertical="center" wrapText="1"/>
      <protection hidden="1"/>
    </xf>
    <xf numFmtId="0" fontId="69" fillId="28" borderId="57" xfId="0" applyFont="1" applyFill="1" applyBorder="1" applyAlignment="1" applyProtection="1">
      <alignment horizontal="center" vertical="center"/>
      <protection hidden="1"/>
    </xf>
    <xf numFmtId="0" fontId="69" fillId="28" borderId="59" xfId="0" applyFont="1" applyFill="1" applyBorder="1" applyAlignment="1" applyProtection="1">
      <alignment horizontal="center" vertical="center"/>
      <protection hidden="1"/>
    </xf>
    <xf numFmtId="0" fontId="69" fillId="28" borderId="45" xfId="0" applyFont="1" applyFill="1" applyBorder="1" applyAlignment="1" applyProtection="1">
      <alignment horizontal="center" vertical="center"/>
      <protection hidden="1"/>
    </xf>
    <xf numFmtId="3" fontId="36" fillId="20" borderId="61" xfId="0" applyNumberFormat="1" applyFont="1" applyFill="1" applyBorder="1" applyAlignment="1">
      <alignment horizontal="center" vertical="center" wrapText="1"/>
    </xf>
    <xf numFmtId="0" fontId="46" fillId="0" borderId="66" xfId="0" applyFont="1" applyBorder="1" applyAlignment="1">
      <alignment horizontal="center" vertical="center" wrapText="1"/>
    </xf>
    <xf numFmtId="0" fontId="46" fillId="0" borderId="64" xfId="0" applyFont="1" applyBorder="1" applyAlignment="1">
      <alignment horizontal="center" vertical="center" wrapText="1"/>
    </xf>
    <xf numFmtId="0" fontId="69" fillId="28" borderId="50" xfId="0" applyFont="1" applyFill="1" applyBorder="1" applyAlignment="1" applyProtection="1">
      <alignment horizontal="center" vertical="center"/>
      <protection hidden="1"/>
    </xf>
    <xf numFmtId="0" fontId="69" fillId="28" borderId="43" xfId="0" applyFont="1" applyFill="1" applyBorder="1" applyAlignment="1" applyProtection="1">
      <alignment horizontal="center" vertical="center"/>
      <protection hidden="1"/>
    </xf>
    <xf numFmtId="4" fontId="69" fillId="28" borderId="3" xfId="0" applyNumberFormat="1" applyFont="1" applyFill="1" applyBorder="1" applyAlignment="1" applyProtection="1">
      <alignment horizontal="center" vertical="center" wrapText="1"/>
      <protection hidden="1"/>
    </xf>
    <xf numFmtId="4" fontId="69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25" xfId="0" applyFont="1" applyFill="1" applyBorder="1" applyAlignment="1">
      <alignment horizontal="center" vertical="center"/>
    </xf>
    <xf numFmtId="0" fontId="37" fillId="31" borderId="24" xfId="0" applyFont="1" applyFill="1" applyBorder="1" applyAlignment="1">
      <alignment horizontal="center" vertical="center"/>
    </xf>
    <xf numFmtId="0" fontId="37" fillId="31" borderId="21" xfId="0" applyFont="1" applyFill="1" applyBorder="1" applyAlignment="1">
      <alignment horizontal="center" vertical="center"/>
    </xf>
    <xf numFmtId="0" fontId="37" fillId="31" borderId="29" xfId="0" applyFont="1" applyFill="1" applyBorder="1" applyAlignment="1">
      <alignment horizontal="center" vertical="center"/>
    </xf>
    <xf numFmtId="0" fontId="37" fillId="31" borderId="53" xfId="0" applyFont="1" applyFill="1" applyBorder="1" applyAlignment="1">
      <alignment horizontal="center" vertical="center"/>
    </xf>
    <xf numFmtId="0" fontId="37" fillId="31" borderId="23" xfId="0" applyFont="1" applyFill="1" applyBorder="1" applyAlignment="1">
      <alignment horizontal="center" vertical="center"/>
    </xf>
    <xf numFmtId="49" fontId="36" fillId="20" borderId="51" xfId="0" applyNumberFormat="1" applyFont="1" applyFill="1" applyBorder="1" applyAlignment="1">
      <alignment horizontal="center" vertical="center" wrapText="1"/>
    </xf>
    <xf numFmtId="0" fontId="36" fillId="28" borderId="40" xfId="0" applyFont="1" applyFill="1" applyBorder="1" applyAlignment="1">
      <alignment horizontal="center" vertical="center" wrapText="1"/>
    </xf>
    <xf numFmtId="0" fontId="46" fillId="28" borderId="19" xfId="0" applyFont="1" applyFill="1" applyBorder="1" applyAlignment="1">
      <alignment horizontal="center" vertical="center" wrapText="1"/>
    </xf>
    <xf numFmtId="1" fontId="36" fillId="21" borderId="19" xfId="0" applyNumberFormat="1" applyFont="1" applyFill="1" applyBorder="1" applyAlignment="1">
      <alignment horizontal="center" vertical="center" wrapText="1"/>
    </xf>
    <xf numFmtId="1" fontId="46" fillId="21" borderId="19" xfId="0" applyNumberFormat="1" applyFont="1" applyFill="1" applyBorder="1" applyAlignment="1">
      <alignment horizontal="center" vertical="center" wrapText="1"/>
    </xf>
    <xf numFmtId="1" fontId="46" fillId="21" borderId="37" xfId="0" applyNumberFormat="1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/>
    </xf>
    <xf numFmtId="0" fontId="65" fillId="0" borderId="22" xfId="0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41" fillId="11" borderId="7" xfId="0" applyFont="1" applyFill="1" applyBorder="1" applyAlignment="1">
      <alignment horizontal="center" vertical="center"/>
    </xf>
    <xf numFmtId="0" fontId="41" fillId="11" borderId="8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164" fontId="36" fillId="28" borderId="51" xfId="0" applyNumberFormat="1" applyFont="1" applyFill="1" applyBorder="1" applyAlignment="1">
      <alignment horizontal="center" vertical="center" wrapText="1"/>
    </xf>
    <xf numFmtId="164" fontId="36" fillId="28" borderId="58" xfId="0" applyNumberFormat="1" applyFont="1" applyFill="1" applyBorder="1" applyAlignment="1">
      <alignment horizontal="center" vertical="center" wrapText="1"/>
    </xf>
    <xf numFmtId="164" fontId="36" fillId="28" borderId="49" xfId="0" applyNumberFormat="1" applyFont="1" applyFill="1" applyBorder="1" applyAlignment="1">
      <alignment horizontal="center" vertical="center" wrapText="1"/>
    </xf>
    <xf numFmtId="0" fontId="36" fillId="28" borderId="19" xfId="0" applyFont="1" applyFill="1" applyBorder="1" applyAlignment="1">
      <alignment horizontal="center" vertical="center" wrapText="1"/>
    </xf>
    <xf numFmtId="164" fontId="36" fillId="28" borderId="34" xfId="0" applyNumberFormat="1" applyFont="1" applyFill="1" applyBorder="1" applyAlignment="1">
      <alignment horizontal="center" vertical="center" wrapText="1"/>
    </xf>
    <xf numFmtId="0" fontId="37" fillId="20" borderId="25" xfId="0" applyFont="1" applyFill="1" applyBorder="1" applyAlignment="1">
      <alignment horizontal="center" vertical="center" wrapText="1"/>
    </xf>
    <xf numFmtId="0" fontId="37" fillId="20" borderId="24" xfId="0" applyFont="1" applyFill="1" applyBorder="1" applyAlignment="1">
      <alignment horizontal="center" vertical="center" wrapText="1"/>
    </xf>
    <xf numFmtId="0" fontId="37" fillId="20" borderId="21" xfId="0" applyFont="1" applyFill="1" applyBorder="1" applyAlignment="1">
      <alignment horizontal="center" vertical="center" wrapText="1"/>
    </xf>
    <xf numFmtId="0" fontId="37" fillId="20" borderId="29" xfId="0" applyFont="1" applyFill="1" applyBorder="1" applyAlignment="1">
      <alignment horizontal="center" vertical="center" wrapText="1"/>
    </xf>
    <xf numFmtId="0" fontId="37" fillId="20" borderId="53" xfId="0" applyFont="1" applyFill="1" applyBorder="1" applyAlignment="1">
      <alignment horizontal="center" vertical="center" wrapText="1"/>
    </xf>
    <xf numFmtId="0" fontId="37" fillId="20" borderId="23" xfId="0" applyFont="1" applyFill="1" applyBorder="1" applyAlignment="1">
      <alignment horizontal="center" vertical="center" wrapText="1"/>
    </xf>
    <xf numFmtId="164" fontId="69" fillId="28" borderId="32" xfId="0" quotePrefix="1" applyNumberFormat="1" applyFont="1" applyFill="1" applyBorder="1" applyAlignment="1" applyProtection="1">
      <alignment horizontal="center" vertical="center" wrapText="1"/>
      <protection hidden="1"/>
    </xf>
    <xf numFmtId="0" fontId="69" fillId="28" borderId="2" xfId="0" applyFont="1" applyFill="1" applyBorder="1" applyAlignment="1" applyProtection="1">
      <alignment horizontal="center" vertical="center" wrapText="1"/>
      <protection hidden="1"/>
    </xf>
    <xf numFmtId="164" fontId="69" fillId="28" borderId="2" xfId="0" quotePrefix="1" applyNumberFormat="1" applyFont="1" applyFill="1" applyBorder="1" applyAlignment="1" applyProtection="1">
      <alignment horizontal="center" vertical="center" wrapText="1"/>
      <protection hidden="1"/>
    </xf>
    <xf numFmtId="0" fontId="69" fillId="28" borderId="5" xfId="0" applyFont="1" applyFill="1" applyBorder="1" applyAlignment="1" applyProtection="1">
      <alignment horizontal="center" vertical="center" wrapText="1"/>
      <protection hidden="1"/>
    </xf>
    <xf numFmtId="164" fontId="36" fillId="28" borderId="48" xfId="0" quotePrefix="1" applyNumberFormat="1" applyFont="1" applyFill="1" applyBorder="1" applyAlignment="1">
      <alignment horizontal="center" vertical="center" wrapText="1"/>
    </xf>
    <xf numFmtId="164" fontId="36" fillId="28" borderId="27" xfId="0" quotePrefix="1" applyNumberFormat="1" applyFont="1" applyFill="1" applyBorder="1" applyAlignment="1">
      <alignment horizontal="center" vertical="center" wrapText="1"/>
    </xf>
    <xf numFmtId="164" fontId="36" fillId="28" borderId="1" xfId="0" quotePrefix="1" applyNumberFormat="1" applyFont="1" applyFill="1" applyBorder="1" applyAlignment="1">
      <alignment horizontal="center" vertical="center" wrapText="1"/>
    </xf>
    <xf numFmtId="164" fontId="36" fillId="28" borderId="20" xfId="0" quotePrefix="1" applyNumberFormat="1" applyFont="1" applyFill="1" applyBorder="1" applyAlignment="1">
      <alignment horizontal="center" vertical="center" wrapText="1"/>
    </xf>
    <xf numFmtId="164" fontId="36" fillId="21" borderId="20" xfId="0" quotePrefix="1" applyNumberFormat="1" applyFont="1" applyFill="1" applyBorder="1" applyAlignment="1">
      <alignment horizontal="center" vertical="center" wrapText="1"/>
    </xf>
    <xf numFmtId="164" fontId="36" fillId="21" borderId="27" xfId="0" quotePrefix="1" applyNumberFormat="1" applyFont="1" applyFill="1" applyBorder="1" applyAlignment="1">
      <alignment horizontal="center" vertical="center" wrapText="1"/>
    </xf>
    <xf numFmtId="164" fontId="36" fillId="21" borderId="47" xfId="0" quotePrefix="1" applyNumberFormat="1" applyFont="1" applyFill="1" applyBorder="1" applyAlignment="1">
      <alignment horizontal="center" vertical="center" wrapText="1"/>
    </xf>
    <xf numFmtId="14" fontId="69" fillId="28" borderId="34" xfId="0" quotePrefix="1" applyNumberFormat="1" applyFont="1" applyFill="1" applyBorder="1" applyAlignment="1" applyProtection="1">
      <alignment horizontal="center" vertical="center"/>
      <protection hidden="1"/>
    </xf>
    <xf numFmtId="14" fontId="69" fillId="28" borderId="58" xfId="0" applyNumberFormat="1" applyFont="1" applyFill="1" applyBorder="1" applyAlignment="1" applyProtection="1">
      <alignment horizontal="center" vertical="center"/>
      <protection hidden="1"/>
    </xf>
    <xf numFmtId="14" fontId="69" fillId="28" borderId="49" xfId="0" applyNumberFormat="1" applyFont="1" applyFill="1" applyBorder="1" applyAlignment="1" applyProtection="1">
      <alignment horizontal="center" vertical="center"/>
      <protection hidden="1"/>
    </xf>
    <xf numFmtId="0" fontId="69" fillId="28" borderId="34" xfId="0" quotePrefix="1" applyFont="1" applyFill="1" applyBorder="1" applyAlignment="1" applyProtection="1">
      <alignment horizontal="center" vertical="center"/>
      <protection hidden="1"/>
    </xf>
    <xf numFmtId="0" fontId="69" fillId="28" borderId="58" xfId="0" applyFont="1" applyFill="1" applyBorder="1" applyAlignment="1" applyProtection="1">
      <alignment horizontal="center" vertical="center"/>
      <protection hidden="1"/>
    </xf>
    <xf numFmtId="0" fontId="69" fillId="28" borderId="54" xfId="0" applyFont="1" applyFill="1" applyBorder="1" applyAlignment="1" applyProtection="1">
      <alignment horizontal="center" vertical="center"/>
      <protection hidden="1"/>
    </xf>
    <xf numFmtId="14" fontId="69" fillId="28" borderId="51" xfId="0" quotePrefix="1" applyNumberFormat="1" applyFont="1" applyFill="1" applyBorder="1" applyAlignment="1" applyProtection="1">
      <alignment horizontal="center" vertical="center"/>
      <protection hidden="1"/>
    </xf>
    <xf numFmtId="164" fontId="69" fillId="28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69" fillId="28" borderId="6" xfId="0" applyFont="1" applyFill="1" applyBorder="1" applyAlignment="1" applyProtection="1">
      <alignment horizontal="center" vertical="center" wrapText="1"/>
      <protection hidden="1"/>
    </xf>
    <xf numFmtId="164" fontId="36" fillId="21" borderId="34" xfId="0" applyNumberFormat="1" applyFont="1" applyFill="1" applyBorder="1" applyAlignment="1">
      <alignment horizontal="center" vertical="center" wrapText="1"/>
    </xf>
    <xf numFmtId="164" fontId="36" fillId="21" borderId="58" xfId="0" applyNumberFormat="1" applyFont="1" applyFill="1" applyBorder="1" applyAlignment="1">
      <alignment horizontal="center" vertical="center" wrapText="1"/>
    </xf>
    <xf numFmtId="164" fontId="36" fillId="21" borderId="49" xfId="0" applyNumberFormat="1" applyFont="1" applyFill="1" applyBorder="1" applyAlignment="1">
      <alignment horizontal="center" vertical="center" wrapText="1"/>
    </xf>
    <xf numFmtId="14" fontId="69" fillId="28" borderId="10" xfId="0" quotePrefix="1" applyNumberFormat="1" applyFont="1" applyFill="1" applyBorder="1" applyAlignment="1" applyProtection="1">
      <alignment horizontal="center" vertical="center" wrapText="1"/>
      <protection hidden="1"/>
    </xf>
    <xf numFmtId="164" fontId="69" fillId="28" borderId="20" xfId="0" quotePrefix="1" applyNumberFormat="1" applyFont="1" applyFill="1" applyBorder="1" applyAlignment="1" applyProtection="1">
      <alignment horizontal="center" vertical="center"/>
      <protection hidden="1"/>
    </xf>
    <xf numFmtId="164" fontId="69" fillId="28" borderId="27" xfId="0" applyNumberFormat="1" applyFont="1" applyFill="1" applyBorder="1" applyAlignment="1" applyProtection="1">
      <alignment horizontal="center" vertical="center"/>
      <protection hidden="1"/>
    </xf>
    <xf numFmtId="164" fontId="69" fillId="28" borderId="47" xfId="0" applyNumberFormat="1" applyFont="1" applyFill="1" applyBorder="1" applyAlignment="1" applyProtection="1">
      <alignment horizontal="center" vertical="center"/>
      <protection hidden="1"/>
    </xf>
    <xf numFmtId="164" fontId="69" fillId="28" borderId="1" xfId="0" applyNumberFormat="1" applyFont="1" applyFill="1" applyBorder="1" applyAlignment="1" applyProtection="1">
      <alignment horizontal="center" vertical="center"/>
      <protection hidden="1"/>
    </xf>
    <xf numFmtId="164" fontId="69" fillId="28" borderId="48" xfId="0" quotePrefix="1" applyNumberFormat="1" applyFont="1" applyFill="1" applyBorder="1" applyAlignment="1" applyProtection="1">
      <alignment horizontal="center" vertical="center"/>
      <protection hidden="1"/>
    </xf>
    <xf numFmtId="2" fontId="25" fillId="0" borderId="15" xfId="0" applyNumberFormat="1" applyFont="1" applyBorder="1" applyAlignment="1" applyProtection="1">
      <alignment horizontal="center" vertical="center" wrapText="1"/>
      <protection hidden="1"/>
    </xf>
    <xf numFmtId="2" fontId="25" fillId="0" borderId="17" xfId="0" applyNumberFormat="1" applyFont="1" applyBorder="1" applyAlignment="1" applyProtection="1">
      <alignment horizontal="center" vertical="center" wrapText="1"/>
      <protection hidden="1"/>
    </xf>
    <xf numFmtId="2" fontId="25" fillId="0" borderId="16" xfId="0" applyNumberFormat="1" applyFont="1" applyBorder="1" applyAlignment="1" applyProtection="1">
      <alignment horizontal="center" vertical="center" wrapText="1"/>
      <protection hidden="1"/>
    </xf>
    <xf numFmtId="0" fontId="7" fillId="14" borderId="15" xfId="0" applyFont="1" applyFill="1" applyBorder="1" applyAlignment="1" applyProtection="1">
      <alignment horizontal="center" vertical="center"/>
      <protection hidden="1"/>
    </xf>
    <xf numFmtId="0" fontId="7" fillId="14" borderId="16" xfId="0" applyFont="1" applyFill="1" applyBorder="1" applyAlignment="1" applyProtection="1">
      <alignment horizontal="center" vertical="center"/>
      <protection hidden="1"/>
    </xf>
    <xf numFmtId="0" fontId="7" fillId="14" borderId="17" xfId="0" applyFont="1" applyFill="1" applyBorder="1" applyAlignment="1" applyProtection="1">
      <alignment horizontal="center" vertical="center"/>
      <protection hidden="1"/>
    </xf>
    <xf numFmtId="2" fontId="2" fillId="32" borderId="25" xfId="0" applyNumberFormat="1" applyFont="1" applyFill="1" applyBorder="1" applyAlignment="1" applyProtection="1">
      <alignment horizontal="center"/>
      <protection hidden="1"/>
    </xf>
    <xf numFmtId="2" fontId="2" fillId="32" borderId="26" xfId="0" applyNumberFormat="1" applyFont="1" applyFill="1" applyBorder="1" applyAlignment="1" applyProtection="1">
      <alignment horizontal="center"/>
      <protection hidden="1"/>
    </xf>
    <xf numFmtId="2" fontId="2" fillId="32" borderId="24" xfId="0" applyNumberFormat="1" applyFont="1" applyFill="1" applyBorder="1" applyAlignment="1" applyProtection="1">
      <alignment horizontal="center"/>
      <protection hidden="1"/>
    </xf>
    <xf numFmtId="2" fontId="2" fillId="32" borderId="21" xfId="0" applyNumberFormat="1" applyFont="1" applyFill="1" applyBorder="1" applyAlignment="1" applyProtection="1">
      <alignment horizontal="center"/>
      <protection hidden="1"/>
    </xf>
    <xf numFmtId="2" fontId="2" fillId="32" borderId="0" xfId="0" applyNumberFormat="1" applyFont="1" applyFill="1" applyAlignment="1" applyProtection="1">
      <alignment horizontal="center"/>
      <protection hidden="1"/>
    </xf>
    <xf numFmtId="2" fontId="2" fillId="32" borderId="29" xfId="0" applyNumberFormat="1" applyFont="1" applyFill="1" applyBorder="1" applyAlignment="1" applyProtection="1">
      <alignment horizontal="center"/>
      <protection hidden="1"/>
    </xf>
    <xf numFmtId="2" fontId="2" fillId="32" borderId="53" xfId="0" applyNumberFormat="1" applyFont="1" applyFill="1" applyBorder="1" applyAlignment="1" applyProtection="1">
      <alignment horizontal="center"/>
      <protection hidden="1"/>
    </xf>
    <xf numFmtId="2" fontId="2" fillId="32" borderId="28" xfId="0" applyNumberFormat="1" applyFont="1" applyFill="1" applyBorder="1" applyAlignment="1" applyProtection="1">
      <alignment horizontal="center"/>
      <protection hidden="1"/>
    </xf>
    <xf numFmtId="2" fontId="2" fillId="32" borderId="23" xfId="0" applyNumberFormat="1" applyFont="1" applyFill="1" applyBorder="1" applyAlignment="1" applyProtection="1">
      <alignment horizontal="center"/>
      <protection hidden="1"/>
    </xf>
    <xf numFmtId="0" fontId="25" fillId="8" borderId="53" xfId="0" applyFont="1" applyFill="1" applyBorder="1" applyAlignment="1" applyProtection="1">
      <alignment horizontal="center" vertical="center" wrapText="1"/>
      <protection hidden="1"/>
    </xf>
    <xf numFmtId="0" fontId="25" fillId="8" borderId="23" xfId="0" applyFont="1" applyFill="1" applyBorder="1" applyAlignment="1" applyProtection="1">
      <alignment horizontal="center" vertical="center" wrapText="1"/>
      <protection hidden="1"/>
    </xf>
    <xf numFmtId="0" fontId="7" fillId="5" borderId="11" xfId="0" applyFont="1" applyFill="1" applyBorder="1" applyAlignment="1" applyProtection="1">
      <alignment horizontal="left" vertical="center" wrapText="1"/>
      <protection hidden="1"/>
    </xf>
    <xf numFmtId="0" fontId="7" fillId="5" borderId="32" xfId="0" applyFont="1" applyFill="1" applyBorder="1" applyAlignment="1" applyProtection="1">
      <alignment horizontal="left" vertical="center" wrapText="1"/>
      <protection hidden="1"/>
    </xf>
    <xf numFmtId="0" fontId="5" fillId="6" borderId="1" xfId="0" applyFont="1" applyFill="1" applyBorder="1" applyAlignment="1" applyProtection="1">
      <alignment horizontal="center" wrapText="1"/>
      <protection hidden="1"/>
    </xf>
    <xf numFmtId="0" fontId="25" fillId="6" borderId="1" xfId="0" applyFont="1" applyFill="1" applyBorder="1" applyAlignment="1" applyProtection="1">
      <alignment horizontal="center" wrapText="1"/>
      <protection hidden="1"/>
    </xf>
    <xf numFmtId="0" fontId="25" fillId="6" borderId="49" xfId="0" applyFont="1" applyFill="1" applyBorder="1" applyAlignment="1" applyProtection="1">
      <alignment horizontal="center" wrapText="1"/>
      <protection hidden="1"/>
    </xf>
    <xf numFmtId="0" fontId="19" fillId="14" borderId="15" xfId="0" applyFont="1" applyFill="1" applyBorder="1" applyAlignment="1" applyProtection="1">
      <alignment horizontal="center" vertical="center"/>
      <protection hidden="1"/>
    </xf>
    <xf numFmtId="0" fontId="19" fillId="14" borderId="17" xfId="0" applyFont="1" applyFill="1" applyBorder="1" applyAlignment="1" applyProtection="1">
      <alignment horizontal="center" vertical="center"/>
      <protection hidden="1"/>
    </xf>
    <xf numFmtId="0" fontId="19" fillId="14" borderId="16" xfId="0" applyFont="1" applyFill="1" applyBorder="1" applyAlignment="1" applyProtection="1">
      <alignment horizontal="center" vertical="center"/>
      <protection hidden="1"/>
    </xf>
    <xf numFmtId="0" fontId="19" fillId="5" borderId="15" xfId="0" applyFont="1" applyFill="1" applyBorder="1" applyAlignment="1" applyProtection="1">
      <alignment horizontal="center" vertical="center"/>
      <protection hidden="1"/>
    </xf>
    <xf numFmtId="0" fontId="19" fillId="5" borderId="17" xfId="0" applyFont="1" applyFill="1" applyBorder="1" applyAlignment="1" applyProtection="1">
      <alignment horizontal="center" vertical="center"/>
      <protection hidden="1"/>
    </xf>
    <xf numFmtId="0" fontId="19" fillId="5" borderId="16" xfId="0" applyFont="1" applyFill="1" applyBorder="1" applyAlignment="1" applyProtection="1">
      <alignment horizontal="center" vertical="center"/>
      <protection hidden="1"/>
    </xf>
    <xf numFmtId="0" fontId="7" fillId="5" borderId="12" xfId="0" applyFont="1" applyFill="1" applyBorder="1" applyAlignment="1" applyProtection="1">
      <alignment horizontal="left" vertical="center" wrapText="1"/>
      <protection hidden="1"/>
    </xf>
    <xf numFmtId="0" fontId="7" fillId="5" borderId="5" xfId="0" applyFont="1" applyFill="1" applyBorder="1" applyAlignment="1" applyProtection="1">
      <alignment horizontal="left" vertical="center" wrapText="1"/>
      <protection hidden="1"/>
    </xf>
    <xf numFmtId="0" fontId="25" fillId="8" borderId="15" xfId="0" applyFont="1" applyFill="1" applyBorder="1" applyAlignment="1" applyProtection="1">
      <alignment horizontal="center" vertical="center" wrapText="1"/>
      <protection hidden="1"/>
    </xf>
    <xf numFmtId="0" fontId="25" fillId="8" borderId="16" xfId="0" applyFont="1" applyFill="1" applyBorder="1" applyAlignment="1" applyProtection="1">
      <alignment horizontal="center" vertical="center" wrapText="1"/>
      <protection hidden="1"/>
    </xf>
    <xf numFmtId="0" fontId="5" fillId="6" borderId="50" xfId="0" applyFont="1" applyFill="1" applyBorder="1" applyAlignment="1" applyProtection="1">
      <alignment horizontal="center" vertical="center"/>
      <protection hidden="1"/>
    </xf>
    <xf numFmtId="0" fontId="5" fillId="6" borderId="48" xfId="0" applyFont="1" applyFill="1" applyBorder="1" applyAlignment="1" applyProtection="1">
      <alignment horizontal="center" vertical="center"/>
      <protection hidden="1"/>
    </xf>
    <xf numFmtId="0" fontId="5" fillId="6" borderId="51" xfId="0" applyFont="1" applyFill="1" applyBorder="1" applyAlignment="1" applyProtection="1">
      <alignment horizontal="center" vertical="center"/>
      <protection hidden="1"/>
    </xf>
    <xf numFmtId="0" fontId="18" fillId="5" borderId="25" xfId="0" applyFont="1" applyFill="1" applyBorder="1" applyAlignment="1" applyProtection="1">
      <alignment horizontal="center" vertical="center"/>
      <protection hidden="1"/>
    </xf>
    <xf numFmtId="0" fontId="18" fillId="5" borderId="26" xfId="0" applyFont="1" applyFill="1" applyBorder="1" applyAlignment="1" applyProtection="1">
      <alignment horizontal="center" vertical="center"/>
      <protection hidden="1"/>
    </xf>
    <xf numFmtId="0" fontId="18" fillId="5" borderId="24" xfId="0" applyFont="1" applyFill="1" applyBorder="1" applyAlignment="1" applyProtection="1">
      <alignment horizontal="center" vertical="center"/>
      <protection hidden="1"/>
    </xf>
    <xf numFmtId="0" fontId="3" fillId="6" borderId="32" xfId="0" applyFont="1" applyFill="1" applyBorder="1" applyAlignment="1" applyProtection="1">
      <alignment horizontal="center" vertical="center"/>
      <protection hidden="1"/>
    </xf>
    <xf numFmtId="0" fontId="50" fillId="8" borderId="48" xfId="0" applyFont="1" applyFill="1" applyBorder="1" applyAlignment="1" applyProtection="1">
      <alignment horizontal="center" vertical="center"/>
      <protection hidden="1"/>
    </xf>
    <xf numFmtId="0" fontId="29" fillId="8" borderId="27" xfId="0" applyFont="1" applyFill="1" applyBorder="1" applyAlignment="1" applyProtection="1">
      <alignment horizontal="center" vertical="center"/>
      <protection hidden="1"/>
    </xf>
    <xf numFmtId="0" fontId="29" fillId="8" borderId="47" xfId="0" applyFont="1" applyFill="1" applyBorder="1" applyAlignment="1" applyProtection="1">
      <alignment horizontal="center" vertical="center"/>
      <protection hidden="1"/>
    </xf>
    <xf numFmtId="0" fontId="5" fillId="8" borderId="32" xfId="0" applyFont="1" applyFill="1" applyBorder="1" applyAlignment="1" applyProtection="1">
      <alignment horizontal="center" vertical="top" wrapText="1"/>
      <protection hidden="1"/>
    </xf>
    <xf numFmtId="0" fontId="5" fillId="8" borderId="33" xfId="0" applyFont="1" applyFill="1" applyBorder="1" applyAlignment="1" applyProtection="1">
      <alignment horizontal="center" vertical="top" wrapTex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0" fontId="5" fillId="8" borderId="5" xfId="0" applyFont="1" applyFill="1" applyBorder="1" applyAlignment="1" applyProtection="1">
      <alignment horizontal="center" vertical="center"/>
      <protection hidden="1"/>
    </xf>
    <xf numFmtId="0" fontId="5" fillId="8" borderId="6" xfId="0" applyFont="1" applyFill="1" applyBorder="1" applyAlignment="1" applyProtection="1">
      <alignment horizontal="center" vertical="center"/>
      <protection hidden="1"/>
    </xf>
    <xf numFmtId="0" fontId="42" fillId="5" borderId="15" xfId="0" applyFont="1" applyFill="1" applyBorder="1" applyAlignment="1" applyProtection="1">
      <alignment horizontal="center" vertical="center"/>
      <protection hidden="1"/>
    </xf>
    <xf numFmtId="0" fontId="42" fillId="5" borderId="31" xfId="0" applyFont="1" applyFill="1" applyBorder="1" applyAlignment="1" applyProtection="1">
      <alignment horizontal="center" vertical="center"/>
      <protection hidden="1"/>
    </xf>
    <xf numFmtId="0" fontId="42" fillId="5" borderId="30" xfId="0" applyFont="1" applyFill="1" applyBorder="1" applyAlignment="1" applyProtection="1">
      <alignment horizontal="center" vertical="center"/>
      <protection hidden="1"/>
    </xf>
    <xf numFmtId="0" fontId="42" fillId="5" borderId="16" xfId="0" applyFont="1" applyFill="1" applyBorder="1" applyAlignment="1" applyProtection="1">
      <alignment horizontal="center" vertical="center"/>
      <protection hidden="1"/>
    </xf>
    <xf numFmtId="0" fontId="42" fillId="14" borderId="30" xfId="0" applyFont="1" applyFill="1" applyBorder="1" applyAlignment="1" applyProtection="1">
      <alignment horizontal="center" vertical="center"/>
      <protection hidden="1"/>
    </xf>
    <xf numFmtId="0" fontId="42" fillId="14" borderId="16" xfId="0" applyFont="1" applyFill="1" applyBorder="1" applyAlignment="1" applyProtection="1">
      <alignment horizontal="center" vertical="center"/>
      <protection hidden="1"/>
    </xf>
    <xf numFmtId="0" fontId="19" fillId="14" borderId="25" xfId="0" applyFont="1" applyFill="1" applyBorder="1" applyAlignment="1" applyProtection="1">
      <alignment horizontal="center" vertical="center" wrapText="1"/>
      <protection hidden="1"/>
    </xf>
    <xf numFmtId="0" fontId="19" fillId="14" borderId="26" xfId="0" applyFont="1" applyFill="1" applyBorder="1" applyAlignment="1" applyProtection="1">
      <alignment horizontal="center" vertical="center" wrapText="1"/>
      <protection hidden="1"/>
    </xf>
    <xf numFmtId="0" fontId="19" fillId="14" borderId="24" xfId="0" applyFont="1" applyFill="1" applyBorder="1" applyAlignment="1" applyProtection="1">
      <alignment horizontal="center" vertical="center" wrapText="1"/>
      <protection hidden="1"/>
    </xf>
    <xf numFmtId="0" fontId="25" fillId="6" borderId="7" xfId="0" applyFont="1" applyFill="1" applyBorder="1" applyAlignment="1" applyProtection="1">
      <alignment horizontal="center" vertical="center"/>
      <protection hidden="1"/>
    </xf>
    <xf numFmtId="0" fontId="25" fillId="6" borderId="8" xfId="0" applyFont="1" applyFill="1" applyBorder="1" applyAlignment="1" applyProtection="1">
      <alignment horizontal="center" vertical="center"/>
      <protection hidden="1"/>
    </xf>
    <xf numFmtId="164" fontId="10" fillId="10" borderId="15" xfId="0" applyNumberFormat="1" applyFont="1" applyFill="1" applyBorder="1" applyAlignment="1" applyProtection="1">
      <alignment horizontal="center" vertical="center"/>
      <protection hidden="1"/>
    </xf>
    <xf numFmtId="0" fontId="10" fillId="10" borderId="16" xfId="0" applyFont="1" applyFill="1" applyBorder="1" applyAlignment="1" applyProtection="1">
      <alignment horizontal="center" vertical="center"/>
      <protection hidden="1"/>
    </xf>
    <xf numFmtId="0" fontId="9" fillId="6" borderId="3" xfId="0" applyFont="1" applyFill="1" applyBorder="1" applyAlignment="1" applyProtection="1">
      <alignment horizontal="left" vertical="center" wrapText="1"/>
      <protection hidden="1"/>
    </xf>
    <xf numFmtId="0" fontId="9" fillId="6" borderId="2" xfId="0" applyFont="1" applyFill="1" applyBorder="1" applyAlignment="1" applyProtection="1">
      <alignment horizontal="left" vertical="center" wrapText="1"/>
      <protection hidden="1"/>
    </xf>
    <xf numFmtId="0" fontId="9" fillId="8" borderId="3" xfId="0" applyFont="1" applyFill="1" applyBorder="1" applyAlignment="1" applyProtection="1">
      <alignment horizontal="left" vertical="center" wrapText="1"/>
      <protection hidden="1"/>
    </xf>
    <xf numFmtId="0" fontId="9" fillId="8" borderId="2" xfId="0" applyFont="1" applyFill="1" applyBorder="1" applyAlignment="1" applyProtection="1">
      <alignment horizontal="left" vertical="center" wrapText="1"/>
      <protection hidden="1"/>
    </xf>
    <xf numFmtId="0" fontId="9" fillId="8" borderId="12" xfId="0" applyFont="1" applyFill="1" applyBorder="1" applyAlignment="1" applyProtection="1">
      <alignment horizontal="center" vertical="center" wrapText="1"/>
      <protection hidden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0" fontId="6" fillId="9" borderId="4" xfId="0" applyFont="1" applyFill="1" applyBorder="1" applyAlignment="1">
      <alignment horizontal="center" vertical="center"/>
    </xf>
    <xf numFmtId="0" fontId="6" fillId="9" borderId="35" xfId="0" applyFont="1" applyFill="1" applyBorder="1" applyAlignment="1">
      <alignment horizontal="center" vertical="center"/>
    </xf>
    <xf numFmtId="164" fontId="9" fillId="9" borderId="53" xfId="0" applyNumberFormat="1" applyFont="1" applyFill="1" applyBorder="1" applyAlignment="1" applyProtection="1">
      <alignment horizontal="center" vertical="center" wrapText="1"/>
      <protection hidden="1"/>
    </xf>
    <xf numFmtId="164" fontId="9" fillId="9" borderId="62" xfId="0" applyNumberFormat="1" applyFont="1" applyFill="1" applyBorder="1" applyAlignment="1" applyProtection="1">
      <alignment horizontal="center" vertical="center" wrapText="1"/>
      <protection hidden="1"/>
    </xf>
    <xf numFmtId="0" fontId="14" fillId="5" borderId="43" xfId="0" applyFont="1" applyFill="1" applyBorder="1" applyAlignment="1" applyProtection="1">
      <alignment horizontal="center" vertical="center" wrapText="1"/>
      <protection hidden="1"/>
    </xf>
    <xf numFmtId="0" fontId="14" fillId="5" borderId="47" xfId="0" applyFont="1" applyFill="1" applyBorder="1" applyAlignment="1" applyProtection="1">
      <alignment horizontal="center" vertical="center" wrapText="1"/>
      <protection hidden="1"/>
    </xf>
    <xf numFmtId="0" fontId="9" fillId="6" borderId="62" xfId="0" applyFont="1" applyFill="1" applyBorder="1" applyAlignment="1" applyProtection="1">
      <alignment horizontal="center" vertical="center" wrapText="1"/>
      <protection hidden="1"/>
    </xf>
    <xf numFmtId="0" fontId="9" fillId="6" borderId="47" xfId="0" applyFont="1" applyFill="1" applyBorder="1" applyAlignment="1" applyProtection="1">
      <alignment horizontal="center" vertical="center" wrapText="1"/>
      <protection hidden="1"/>
    </xf>
    <xf numFmtId="0" fontId="25" fillId="6" borderId="30" xfId="0" applyFont="1" applyFill="1" applyBorder="1" applyAlignment="1" applyProtection="1">
      <alignment horizontal="right" vertical="center" wrapText="1"/>
      <protection hidden="1"/>
    </xf>
    <xf numFmtId="0" fontId="25" fillId="6" borderId="31" xfId="0" applyFont="1" applyFill="1" applyBorder="1" applyAlignment="1" applyProtection="1">
      <alignment horizontal="right" vertical="center" wrapText="1"/>
      <protection hidden="1"/>
    </xf>
    <xf numFmtId="166" fontId="25" fillId="6" borderId="30" xfId="0" applyNumberFormat="1" applyFont="1" applyFill="1" applyBorder="1" applyAlignment="1" applyProtection="1">
      <alignment horizontal="right" vertical="center" wrapText="1"/>
      <protection hidden="1"/>
    </xf>
    <xf numFmtId="166" fontId="25" fillId="6" borderId="31" xfId="0" applyNumberFormat="1" applyFont="1" applyFill="1" applyBorder="1" applyAlignment="1" applyProtection="1">
      <alignment horizontal="right" vertical="center" wrapText="1"/>
      <protection hidden="1"/>
    </xf>
    <xf numFmtId="0" fontId="14" fillId="14" borderId="15" xfId="0" applyFont="1" applyFill="1" applyBorder="1" applyAlignment="1" applyProtection="1">
      <alignment horizontal="center" vertical="center" wrapText="1"/>
      <protection hidden="1"/>
    </xf>
    <xf numFmtId="0" fontId="14" fillId="14" borderId="16" xfId="0" applyFont="1" applyFill="1" applyBorder="1" applyAlignment="1" applyProtection="1">
      <alignment horizontal="center" vertical="center" wrapText="1"/>
      <protection hidden="1"/>
    </xf>
    <xf numFmtId="0" fontId="25" fillId="6" borderId="11" xfId="0" applyFont="1" applyFill="1" applyBorder="1" applyAlignment="1" applyProtection="1">
      <alignment horizontal="center" vertical="center"/>
      <protection hidden="1"/>
    </xf>
    <xf numFmtId="0" fontId="25" fillId="6" borderId="3" xfId="0" applyFont="1" applyFill="1" applyBorder="1" applyAlignment="1" applyProtection="1">
      <alignment horizontal="center" vertical="center"/>
      <protection hidden="1"/>
    </xf>
    <xf numFmtId="0" fontId="25" fillId="6" borderId="12" xfId="0" applyFont="1" applyFill="1" applyBorder="1" applyAlignment="1" applyProtection="1">
      <alignment horizontal="center" vertical="center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7" fillId="5" borderId="17" xfId="0" applyFont="1" applyFill="1" applyBorder="1" applyAlignment="1" applyProtection="1">
      <alignment horizontal="center" vertical="center" wrapText="1"/>
      <protection hidden="1"/>
    </xf>
    <xf numFmtId="0" fontId="7" fillId="5" borderId="16" xfId="0" applyFont="1" applyFill="1" applyBorder="1" applyAlignment="1" applyProtection="1">
      <alignment horizontal="center" vertical="center" wrapText="1"/>
      <protection hidden="1"/>
    </xf>
    <xf numFmtId="2" fontId="5" fillId="13" borderId="60" xfId="2" applyBorder="1" applyAlignment="1" applyProtection="1">
      <alignment horizontal="center" vertical="center"/>
      <protection locked="0" hidden="1"/>
    </xf>
    <xf numFmtId="2" fontId="5" fillId="13" borderId="63" xfId="2" applyBorder="1" applyAlignment="1" applyProtection="1">
      <alignment horizontal="center" vertical="center"/>
      <protection locked="0" hidden="1"/>
    </xf>
    <xf numFmtId="0" fontId="5" fillId="3" borderId="7" xfId="0" applyFont="1" applyFill="1" applyBorder="1" applyAlignment="1" applyProtection="1">
      <alignment horizontal="center"/>
      <protection hidden="1"/>
    </xf>
    <xf numFmtId="0" fontId="5" fillId="3" borderId="30" xfId="0" applyFont="1" applyFill="1" applyBorder="1" applyAlignment="1" applyProtection="1">
      <alignment horizontal="center"/>
      <protection hidden="1"/>
    </xf>
    <xf numFmtId="0" fontId="44" fillId="0" borderId="15" xfId="0" applyFont="1" applyBorder="1" applyAlignment="1" applyProtection="1">
      <alignment horizontal="center" vertic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0" fontId="44" fillId="0" borderId="16" xfId="0" applyFont="1" applyBorder="1" applyAlignment="1" applyProtection="1">
      <alignment horizontal="center" vertical="center"/>
      <protection hidden="1"/>
    </xf>
    <xf numFmtId="0" fontId="5" fillId="13" borderId="25" xfId="2" applyNumberFormat="1" applyBorder="1" applyAlignment="1" applyProtection="1">
      <alignment horizontal="center" vertical="center"/>
      <protection locked="0" hidden="1"/>
    </xf>
    <xf numFmtId="0" fontId="5" fillId="13" borderId="24" xfId="2" applyNumberFormat="1" applyBorder="1" applyAlignment="1" applyProtection="1">
      <alignment horizontal="center" vertical="center"/>
      <protection locked="0" hidden="1"/>
    </xf>
    <xf numFmtId="0" fontId="5" fillId="13" borderId="53" xfId="2" applyNumberFormat="1" applyBorder="1" applyAlignment="1" applyProtection="1">
      <alignment horizontal="center" vertical="center"/>
      <protection locked="0" hidden="1"/>
    </xf>
    <xf numFmtId="0" fontId="5" fillId="13" borderId="23" xfId="2" applyNumberFormat="1" applyBorder="1" applyAlignment="1" applyProtection="1">
      <alignment horizontal="center" vertical="center"/>
      <protection locked="0" hidden="1"/>
    </xf>
    <xf numFmtId="0" fontId="7" fillId="5" borderId="50" xfId="0" applyFont="1" applyFill="1" applyBorder="1" applyAlignment="1" applyProtection="1">
      <alignment horizontal="center" vertical="center"/>
      <protection hidden="1"/>
    </xf>
    <xf numFmtId="0" fontId="7" fillId="5" borderId="48" xfId="0" applyFont="1" applyFill="1" applyBorder="1" applyAlignment="1" applyProtection="1">
      <alignment horizontal="center" vertical="center"/>
      <protection hidden="1"/>
    </xf>
    <xf numFmtId="0" fontId="7" fillId="5" borderId="51" xfId="0" applyFont="1" applyFill="1" applyBorder="1" applyAlignment="1" applyProtection="1">
      <alignment horizontal="center" vertical="center"/>
      <protection hidden="1"/>
    </xf>
    <xf numFmtId="0" fontId="9" fillId="6" borderId="12" xfId="0" applyFont="1" applyFill="1" applyBorder="1" applyAlignment="1" applyProtection="1">
      <alignment horizontal="left" vertical="center" wrapText="1"/>
      <protection hidden="1"/>
    </xf>
    <xf numFmtId="0" fontId="9" fillId="6" borderId="5" xfId="0" applyFont="1" applyFill="1" applyBorder="1" applyAlignment="1" applyProtection="1">
      <alignment horizontal="left" vertical="center" wrapText="1"/>
      <protection hidden="1"/>
    </xf>
    <xf numFmtId="0" fontId="24" fillId="14" borderId="15" xfId="0" applyFont="1" applyFill="1" applyBorder="1" applyAlignment="1" applyProtection="1">
      <alignment horizontal="center" vertical="center"/>
      <protection hidden="1"/>
    </xf>
    <xf numFmtId="0" fontId="24" fillId="14" borderId="17" xfId="0" applyFont="1" applyFill="1" applyBorder="1" applyAlignment="1" applyProtection="1">
      <alignment horizontal="center" vertical="center"/>
      <protection hidden="1"/>
    </xf>
    <xf numFmtId="0" fontId="24" fillId="14" borderId="16" xfId="0" applyFont="1" applyFill="1" applyBorder="1" applyAlignment="1" applyProtection="1">
      <alignment horizontal="center" vertical="center"/>
      <protection hidden="1"/>
    </xf>
    <xf numFmtId="0" fontId="5" fillId="10" borderId="25" xfId="0" applyFont="1" applyFill="1" applyBorder="1" applyAlignment="1" applyProtection="1">
      <alignment horizontal="center" vertical="center" wrapText="1"/>
      <protection locked="0" hidden="1"/>
    </xf>
    <xf numFmtId="0" fontId="5" fillId="10" borderId="26" xfId="0" applyFont="1" applyFill="1" applyBorder="1" applyAlignment="1" applyProtection="1">
      <alignment horizontal="center" vertical="center" wrapText="1"/>
      <protection locked="0" hidden="1"/>
    </xf>
    <xf numFmtId="0" fontId="5" fillId="10" borderId="24" xfId="0" applyFont="1" applyFill="1" applyBorder="1" applyAlignment="1" applyProtection="1">
      <alignment horizontal="center" vertical="center" wrapText="1"/>
      <protection locked="0" hidden="1"/>
    </xf>
    <xf numFmtId="0" fontId="5" fillId="10" borderId="21" xfId="0" applyFont="1" applyFill="1" applyBorder="1" applyAlignment="1" applyProtection="1">
      <alignment horizontal="center" vertical="center" wrapText="1"/>
      <protection locked="0" hidden="1"/>
    </xf>
    <xf numFmtId="0" fontId="5" fillId="10" borderId="0" xfId="0" applyFont="1" applyFill="1" applyAlignment="1" applyProtection="1">
      <alignment horizontal="center" vertical="center" wrapText="1"/>
      <protection locked="0" hidden="1"/>
    </xf>
    <xf numFmtId="0" fontId="5" fillId="10" borderId="29" xfId="0" applyFont="1" applyFill="1" applyBorder="1" applyAlignment="1" applyProtection="1">
      <alignment horizontal="center" vertical="center" wrapText="1"/>
      <protection locked="0" hidden="1"/>
    </xf>
    <xf numFmtId="0" fontId="5" fillId="10" borderId="53" xfId="0" applyFont="1" applyFill="1" applyBorder="1" applyAlignment="1" applyProtection="1">
      <alignment horizontal="center" vertical="center" wrapText="1"/>
      <protection locked="0" hidden="1"/>
    </xf>
    <xf numFmtId="0" fontId="5" fillId="10" borderId="28" xfId="0" applyFont="1" applyFill="1" applyBorder="1" applyAlignment="1" applyProtection="1">
      <alignment horizontal="center" vertical="center" wrapText="1"/>
      <protection locked="0" hidden="1"/>
    </xf>
    <xf numFmtId="0" fontId="5" fillId="10" borderId="23" xfId="0" applyFont="1" applyFill="1" applyBorder="1" applyAlignment="1" applyProtection="1">
      <alignment horizontal="center" vertical="center" wrapText="1"/>
      <protection locked="0" hidden="1"/>
    </xf>
    <xf numFmtId="0" fontId="40" fillId="8" borderId="0" xfId="0" applyFont="1" applyFill="1" applyAlignment="1" applyProtection="1">
      <alignment horizontal="center" vertical="center" wrapText="1"/>
      <protection hidden="1"/>
    </xf>
    <xf numFmtId="0" fontId="40" fillId="8" borderId="29" xfId="0" applyFont="1" applyFill="1" applyBorder="1" applyAlignment="1" applyProtection="1">
      <alignment horizontal="center" vertical="center" wrapText="1"/>
      <protection hidden="1"/>
    </xf>
    <xf numFmtId="0" fontId="40" fillId="8" borderId="28" xfId="0" applyFont="1" applyFill="1" applyBorder="1" applyAlignment="1" applyProtection="1">
      <alignment horizontal="center" vertical="center" wrapText="1"/>
      <protection hidden="1"/>
    </xf>
    <xf numFmtId="0" fontId="40" fillId="8" borderId="23" xfId="0" applyFont="1" applyFill="1" applyBorder="1" applyAlignment="1" applyProtection="1">
      <alignment horizontal="center" vertical="center" wrapText="1"/>
      <protection hidden="1"/>
    </xf>
    <xf numFmtId="0" fontId="25" fillId="6" borderId="43" xfId="0" applyFont="1" applyFill="1" applyBorder="1" applyAlignment="1" applyProtection="1">
      <alignment horizontal="center" vertical="center" wrapText="1"/>
      <protection hidden="1"/>
    </xf>
    <xf numFmtId="0" fontId="25" fillId="6" borderId="47" xfId="0" applyFont="1" applyFill="1" applyBorder="1" applyAlignment="1" applyProtection="1">
      <alignment horizontal="center" vertical="center" wrapText="1"/>
      <protection hidden="1"/>
    </xf>
    <xf numFmtId="0" fontId="25" fillId="6" borderId="54" xfId="0" applyFont="1" applyFill="1" applyBorder="1" applyAlignment="1" applyProtection="1">
      <alignment horizontal="center" vertical="center" wrapText="1"/>
      <protection hidden="1"/>
    </xf>
    <xf numFmtId="0" fontId="41" fillId="14" borderId="15" xfId="0" applyFont="1" applyFill="1" applyBorder="1" applyAlignment="1" applyProtection="1">
      <alignment horizontal="center" vertical="center" wrapText="1"/>
      <protection hidden="1"/>
    </xf>
    <xf numFmtId="0" fontId="41" fillId="14" borderId="17" xfId="0" applyFont="1" applyFill="1" applyBorder="1" applyAlignment="1" applyProtection="1">
      <alignment horizontal="center" vertical="center" wrapText="1"/>
      <protection hidden="1"/>
    </xf>
    <xf numFmtId="0" fontId="41" fillId="14" borderId="16" xfId="0" applyFont="1" applyFill="1" applyBorder="1" applyAlignment="1" applyProtection="1">
      <alignment horizontal="center" vertical="center" wrapText="1"/>
      <protection hidden="1"/>
    </xf>
    <xf numFmtId="0" fontId="5" fillId="6" borderId="32" xfId="0" applyFont="1" applyFill="1" applyBorder="1" applyAlignment="1" applyProtection="1">
      <alignment horizontal="center" vertical="top" wrapText="1"/>
      <protection hidden="1"/>
    </xf>
    <xf numFmtId="0" fontId="5" fillId="6" borderId="33" xfId="0" applyFont="1" applyFill="1" applyBorder="1" applyAlignment="1" applyProtection="1">
      <alignment horizontal="center" vertical="top" wrapText="1"/>
      <protection hidden="1"/>
    </xf>
    <xf numFmtId="164" fontId="10" fillId="10" borderId="15" xfId="0" applyNumberFormat="1" applyFont="1" applyFill="1" applyBorder="1" applyAlignment="1" applyProtection="1">
      <alignment horizontal="center" vertical="center"/>
      <protection locked="0" hidden="1"/>
    </xf>
    <xf numFmtId="0" fontId="10" fillId="10" borderId="16" xfId="0" applyFont="1" applyFill="1" applyBorder="1" applyAlignment="1" applyProtection="1">
      <alignment horizontal="center" vertical="center"/>
      <protection locked="0" hidden="1"/>
    </xf>
    <xf numFmtId="0" fontId="14" fillId="14" borderId="17" xfId="0" applyFont="1" applyFill="1" applyBorder="1" applyAlignment="1" applyProtection="1">
      <alignment horizontal="center" vertical="center" wrapText="1"/>
      <protection hidden="1"/>
    </xf>
    <xf numFmtId="0" fontId="40" fillId="8" borderId="26" xfId="0" applyFont="1" applyFill="1" applyBorder="1" applyAlignment="1" applyProtection="1">
      <alignment horizontal="center" vertical="center" wrapText="1"/>
      <protection hidden="1"/>
    </xf>
    <xf numFmtId="0" fontId="40" fillId="8" borderId="24" xfId="0" applyFont="1" applyFill="1" applyBorder="1" applyAlignment="1" applyProtection="1">
      <alignment horizontal="center" vertical="center" wrapText="1"/>
      <protection hidden="1"/>
    </xf>
    <xf numFmtId="0" fontId="25" fillId="6" borderId="7" xfId="0" applyFont="1" applyFill="1" applyBorder="1" applyAlignment="1" applyProtection="1">
      <alignment horizontal="center" vertical="center" wrapText="1"/>
      <protection hidden="1"/>
    </xf>
    <xf numFmtId="0" fontId="25" fillId="6" borderId="8" xfId="0" applyFont="1" applyFill="1" applyBorder="1" applyAlignment="1" applyProtection="1">
      <alignment horizontal="center" vertical="center" wrapText="1"/>
      <protection hidden="1"/>
    </xf>
    <xf numFmtId="0" fontId="25" fillId="6" borderId="9" xfId="0" applyFont="1" applyFill="1" applyBorder="1" applyAlignment="1" applyProtection="1">
      <alignment horizontal="center" vertical="center" wrapText="1"/>
      <protection hidden="1"/>
    </xf>
    <xf numFmtId="0" fontId="19" fillId="5" borderId="21" xfId="0" applyFont="1" applyFill="1" applyBorder="1" applyAlignment="1" applyProtection="1">
      <alignment horizontal="center" vertical="center"/>
      <protection hidden="1"/>
    </xf>
    <xf numFmtId="0" fontId="19" fillId="5" borderId="0" xfId="0" applyFont="1" applyFill="1" applyAlignment="1" applyProtection="1">
      <alignment horizontal="center" vertical="center"/>
      <protection hidden="1"/>
    </xf>
    <xf numFmtId="2" fontId="2" fillId="21" borderId="25" xfId="0" applyNumberFormat="1" applyFont="1" applyFill="1" applyBorder="1" applyAlignment="1" applyProtection="1">
      <alignment horizontal="center"/>
      <protection hidden="1"/>
    </xf>
    <xf numFmtId="2" fontId="2" fillId="21" borderId="26" xfId="0" applyNumberFormat="1" applyFont="1" applyFill="1" applyBorder="1" applyAlignment="1" applyProtection="1">
      <alignment horizontal="center"/>
      <protection hidden="1"/>
    </xf>
    <xf numFmtId="2" fontId="2" fillId="21" borderId="24" xfId="0" applyNumberFormat="1" applyFont="1" applyFill="1" applyBorder="1" applyAlignment="1" applyProtection="1">
      <alignment horizontal="center"/>
      <protection hidden="1"/>
    </xf>
    <xf numFmtId="2" fontId="2" fillId="21" borderId="21" xfId="0" applyNumberFormat="1" applyFont="1" applyFill="1" applyBorder="1" applyAlignment="1" applyProtection="1">
      <alignment horizontal="center"/>
      <protection hidden="1"/>
    </xf>
    <xf numFmtId="2" fontId="2" fillId="21" borderId="0" xfId="0" applyNumberFormat="1" applyFont="1" applyFill="1" applyAlignment="1" applyProtection="1">
      <alignment horizontal="center"/>
      <protection hidden="1"/>
    </xf>
    <xf numFmtId="2" fontId="2" fillId="21" borderId="29" xfId="0" applyNumberFormat="1" applyFont="1" applyFill="1" applyBorder="1" applyAlignment="1" applyProtection="1">
      <alignment horizontal="center"/>
      <protection hidden="1"/>
    </xf>
    <xf numFmtId="2" fontId="2" fillId="21" borderId="53" xfId="0" applyNumberFormat="1" applyFont="1" applyFill="1" applyBorder="1" applyAlignment="1" applyProtection="1">
      <alignment horizontal="center"/>
      <protection hidden="1"/>
    </xf>
    <xf numFmtId="2" fontId="2" fillId="21" borderId="28" xfId="0" applyNumberFormat="1" applyFont="1" applyFill="1" applyBorder="1" applyAlignment="1" applyProtection="1">
      <alignment horizontal="center"/>
      <protection hidden="1"/>
    </xf>
    <xf numFmtId="2" fontId="2" fillId="21" borderId="23" xfId="0" applyNumberFormat="1" applyFont="1" applyFill="1" applyBorder="1" applyAlignment="1" applyProtection="1">
      <alignment horizontal="center"/>
      <protection hidden="1"/>
    </xf>
    <xf numFmtId="0" fontId="7" fillId="5" borderId="15" xfId="0" applyFont="1" applyFill="1" applyBorder="1" applyAlignment="1" applyProtection="1">
      <alignment horizontal="center" vertical="center"/>
      <protection hidden="1"/>
    </xf>
    <xf numFmtId="0" fontId="7" fillId="5" borderId="17" xfId="0" applyFont="1" applyFill="1" applyBorder="1" applyAlignment="1" applyProtection="1">
      <alignment horizontal="center" vertical="center"/>
      <protection hidden="1"/>
    </xf>
    <xf numFmtId="0" fontId="7" fillId="5" borderId="16" xfId="0" applyFont="1" applyFill="1" applyBorder="1" applyAlignment="1" applyProtection="1">
      <alignment horizontal="center" vertical="center"/>
      <protection hidden="1"/>
    </xf>
    <xf numFmtId="2" fontId="5" fillId="13" borderId="38" xfId="2" applyBorder="1" applyAlignment="1" applyProtection="1">
      <alignment horizontal="center" vertical="center"/>
      <protection locked="0" hidden="1"/>
    </xf>
    <xf numFmtId="0" fontId="41" fillId="14" borderId="25" xfId="0" applyFont="1" applyFill="1" applyBorder="1" applyAlignment="1" applyProtection="1">
      <alignment horizontal="center" vertical="center" wrapText="1"/>
      <protection hidden="1"/>
    </xf>
    <xf numFmtId="0" fontId="41" fillId="14" borderId="26" xfId="0" applyFont="1" applyFill="1" applyBorder="1" applyAlignment="1" applyProtection="1">
      <alignment horizontal="center" vertical="center" wrapText="1"/>
      <protection hidden="1"/>
    </xf>
    <xf numFmtId="0" fontId="41" fillId="14" borderId="24" xfId="0" applyFont="1" applyFill="1" applyBorder="1" applyAlignment="1" applyProtection="1">
      <alignment horizontal="center" vertical="center" wrapText="1"/>
      <protection hidden="1"/>
    </xf>
    <xf numFmtId="0" fontId="6" fillId="9" borderId="4" xfId="0" applyFont="1" applyFill="1" applyBorder="1" applyAlignment="1" applyProtection="1">
      <alignment horizontal="center" vertical="center"/>
      <protection hidden="1"/>
    </xf>
    <xf numFmtId="0" fontId="6" fillId="9" borderId="35" xfId="0" applyFont="1" applyFill="1" applyBorder="1" applyAlignment="1" applyProtection="1">
      <alignment horizontal="center" vertical="center"/>
      <protection hidden="1"/>
    </xf>
    <xf numFmtId="0" fontId="7" fillId="5" borderId="26" xfId="0" applyFont="1" applyFill="1" applyBorder="1" applyAlignment="1" applyProtection="1">
      <alignment horizontal="center" vertical="center"/>
      <protection hidden="1"/>
    </xf>
    <xf numFmtId="0" fontId="7" fillId="5" borderId="25" xfId="0" applyFont="1" applyFill="1" applyBorder="1" applyAlignment="1" applyProtection="1">
      <alignment horizontal="center" vertical="center"/>
      <protection hidden="1"/>
    </xf>
    <xf numFmtId="0" fontId="7" fillId="5" borderId="24" xfId="0" applyFont="1" applyFill="1" applyBorder="1" applyAlignment="1" applyProtection="1">
      <alignment horizontal="center" vertical="center"/>
      <protection hidden="1"/>
    </xf>
    <xf numFmtId="0" fontId="38" fillId="8" borderId="53" xfId="0" applyFont="1" applyFill="1" applyBorder="1" applyAlignment="1" applyProtection="1">
      <alignment horizontal="center" vertical="center" wrapText="1"/>
      <protection hidden="1"/>
    </xf>
    <xf numFmtId="0" fontId="38" fillId="8" borderId="23" xfId="0" applyFont="1" applyFill="1" applyBorder="1" applyAlignment="1" applyProtection="1">
      <alignment horizontal="center" vertical="center" wrapText="1"/>
      <protection hidden="1"/>
    </xf>
    <xf numFmtId="0" fontId="3" fillId="8" borderId="32" xfId="0" applyFont="1" applyFill="1" applyBorder="1" applyAlignment="1" applyProtection="1">
      <alignment horizontal="center" vertical="center"/>
      <protection hidden="1"/>
    </xf>
    <xf numFmtId="0" fontId="19" fillId="5" borderId="25" xfId="0" applyFont="1" applyFill="1" applyBorder="1" applyAlignment="1" applyProtection="1">
      <alignment horizontal="center" vertical="center"/>
      <protection hidden="1"/>
    </xf>
    <xf numFmtId="0" fontId="19" fillId="5" borderId="26" xfId="0" applyFont="1" applyFill="1" applyBorder="1" applyAlignment="1" applyProtection="1">
      <alignment horizontal="center" vertical="center"/>
      <protection hidden="1"/>
    </xf>
    <xf numFmtId="0" fontId="19" fillId="5" borderId="24" xfId="0" applyFont="1" applyFill="1" applyBorder="1" applyAlignment="1" applyProtection="1">
      <alignment horizontal="center" vertical="center"/>
      <protection hidden="1"/>
    </xf>
    <xf numFmtId="0" fontId="19" fillId="5" borderId="53" xfId="0" applyFont="1" applyFill="1" applyBorder="1" applyAlignment="1" applyProtection="1">
      <alignment horizontal="center" vertical="center"/>
      <protection hidden="1"/>
    </xf>
    <xf numFmtId="0" fontId="19" fillId="5" borderId="28" xfId="0" applyFont="1" applyFill="1" applyBorder="1" applyAlignment="1" applyProtection="1">
      <alignment horizontal="center" vertical="center"/>
      <protection hidden="1"/>
    </xf>
    <xf numFmtId="0" fontId="19" fillId="5" borderId="23" xfId="0" applyFont="1" applyFill="1" applyBorder="1" applyAlignment="1" applyProtection="1">
      <alignment horizontal="center" vertical="center"/>
      <protection hidden="1"/>
    </xf>
    <xf numFmtId="0" fontId="25" fillId="6" borderId="21" xfId="0" applyFont="1" applyFill="1" applyBorder="1" applyAlignment="1" applyProtection="1">
      <alignment horizontal="center" vertical="center" wrapText="1"/>
      <protection hidden="1"/>
    </xf>
    <xf numFmtId="0" fontId="25" fillId="6" borderId="29" xfId="0" applyFont="1" applyFill="1" applyBorder="1" applyAlignment="1" applyProtection="1">
      <alignment horizontal="center" vertical="center" wrapText="1"/>
      <protection hidden="1"/>
    </xf>
    <xf numFmtId="0" fontId="25" fillId="6" borderId="53" xfId="0" applyFont="1" applyFill="1" applyBorder="1" applyAlignment="1" applyProtection="1">
      <alignment horizontal="center" vertical="center" wrapText="1"/>
      <protection hidden="1"/>
    </xf>
    <xf numFmtId="0" fontId="25" fillId="6" borderId="23" xfId="0" applyFont="1" applyFill="1" applyBorder="1" applyAlignment="1" applyProtection="1">
      <alignment horizontal="center" vertical="center" wrapText="1"/>
      <protection hidden="1"/>
    </xf>
  </cellXfs>
  <cellStyles count="10">
    <cellStyle name="Buena" xfId="1" builtinId="26"/>
    <cellStyle name="Estilo 1" xfId="2"/>
    <cellStyle name="Estilo 2" xfId="3"/>
    <cellStyle name="Estilo 3" xfId="4"/>
    <cellStyle name="Estilo 4" xfId="5"/>
    <cellStyle name="Estilo 5" xfId="6"/>
    <cellStyle name="Estilo 6" xfId="8"/>
    <cellStyle name="Millares" xfId="9" builtinId="3"/>
    <cellStyle name="Normal" xfId="0" builtinId="0"/>
    <cellStyle name="Porcentaje" xfId="7" builtinId="5"/>
  </cellStyles>
  <dxfs count="31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1" defaultTableStyle="TableStyleMedium2" defaultPivotStyle="PivotStyleLight16">
    <tableStyle name="Invisible" pivot="0" table="0" count="0"/>
  </tableStyles>
  <colors>
    <mruColors>
      <color rgb="FFFCE4D6"/>
      <color rgb="FF9BC2E6"/>
      <color rgb="FFDDEBF7"/>
      <color rgb="FFC6E0B4"/>
      <color rgb="FFFFF2CC"/>
      <color rgb="FF1F4E78"/>
      <color rgb="FFD9D9D9"/>
      <color rgb="FFFFFFCC"/>
      <color rgb="FFFFC000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¬'!$A$187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¬'!$F$187:$F$189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20.100000000000001</c:v>
                </c:pt>
                <c:pt idx="2" formatCode="0.0">
                  <c:v>23.1</c:v>
                </c:pt>
              </c:numCache>
            </c:numRef>
          </c:xVal>
          <c:yVal>
            <c:numRef>
              <c:f>'DATOS ¬'!$H$187:$H$189</c:f>
              <c:numCache>
                <c:formatCode>0.0</c:formatCode>
                <c:ptCount val="3"/>
                <c:pt idx="0">
                  <c:v>-0.2</c:v>
                </c:pt>
                <c:pt idx="1">
                  <c:v>-0.1</c:v>
                </c:pt>
                <c:pt idx="2">
                  <c:v>-0.1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D6-4133-98EC-4E1FF73C1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11264"/>
        <c:axId val="339111656"/>
      </c:scatterChart>
      <c:valAx>
        <c:axId val="3391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1656"/>
        <c:crosses val="autoZero"/>
        <c:crossBetween val="midCat"/>
      </c:valAx>
      <c:valAx>
        <c:axId val="3391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1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¬'!$A$143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532844064364298"/>
                  <c:y val="-0.43290000000000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¬'!$F$143:$F$145</c:f>
              <c:numCache>
                <c:formatCode>General</c:formatCode>
                <c:ptCount val="3"/>
                <c:pt idx="0" formatCode="0.0">
                  <c:v>18</c:v>
                </c:pt>
                <c:pt idx="1">
                  <c:v>21.1</c:v>
                </c:pt>
                <c:pt idx="2" formatCode="0.0">
                  <c:v>24</c:v>
                </c:pt>
              </c:numCache>
            </c:numRef>
          </c:xVal>
          <c:yVal>
            <c:numRef>
              <c:f>'DATOS ¬'!$H$143:$H$145</c:f>
              <c:numCache>
                <c:formatCode>0.0</c:formatCode>
                <c:ptCount val="3"/>
                <c:pt idx="0">
                  <c:v>0</c:v>
                </c:pt>
                <c:pt idx="1">
                  <c:v>-0.1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83-4177-AB49-FE8196CB3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6928"/>
        <c:axId val="414160264"/>
      </c:scatterChart>
      <c:valAx>
        <c:axId val="41416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0264"/>
        <c:crosses val="autoZero"/>
        <c:crossBetween val="midCat"/>
      </c:valAx>
      <c:valAx>
        <c:axId val="414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6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hr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¬'!$A$146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¬'!$F$146:$F$148</c:f>
              <c:numCache>
                <c:formatCode>General</c:formatCode>
                <c:ptCount val="3"/>
                <c:pt idx="0">
                  <c:v>33.6</c:v>
                </c:pt>
                <c:pt idx="1">
                  <c:v>55.8</c:v>
                </c:pt>
                <c:pt idx="2">
                  <c:v>78.400000000000006</c:v>
                </c:pt>
              </c:numCache>
            </c:numRef>
          </c:xVal>
          <c:yVal>
            <c:numRef>
              <c:f>'DATOS ¬'!$H$146:$H$148</c:f>
              <c:numCache>
                <c:formatCode>#,##0.0</c:formatCode>
                <c:ptCount val="3"/>
                <c:pt idx="0">
                  <c:v>-3.6</c:v>
                </c:pt>
                <c:pt idx="1">
                  <c:v>-0.8</c:v>
                </c:pt>
                <c:pt idx="2">
                  <c:v>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6F-49E8-984D-0A10A3F3A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16360"/>
        <c:axId val="339118320"/>
      </c:scatterChart>
      <c:valAx>
        <c:axId val="339116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8320"/>
        <c:crosses val="autoZero"/>
        <c:crossBetween val="midCat"/>
      </c:valAx>
      <c:valAx>
        <c:axId val="33911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6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0.23546721744136218"/>
          <c:y val="3.5384364330029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465998016790691"/>
          <c:y val="4.3018332204761214E-2"/>
          <c:w val="0.72290334957620117"/>
          <c:h val="0.5989202710053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'DATOS ¬'!$A$149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8799019138212303"/>
                  <c:y val="0.160277264566550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¬'!$F$149:$F$151</c:f>
              <c:numCache>
                <c:formatCode>0.000</c:formatCode>
                <c:ptCount val="3"/>
                <c:pt idx="0">
                  <c:v>499.79599999999999</c:v>
                </c:pt>
                <c:pt idx="1">
                  <c:v>752.29499999999996</c:v>
                </c:pt>
                <c:pt idx="2">
                  <c:v>949.69299999999998</c:v>
                </c:pt>
              </c:numCache>
            </c:numRef>
          </c:xVal>
          <c:yVal>
            <c:numRef>
              <c:f>'DATOS ¬'!$H$149:$H$151</c:f>
              <c:numCache>
                <c:formatCode>#,##0.000</c:formatCode>
                <c:ptCount val="3"/>
                <c:pt idx="0">
                  <c:v>1.548</c:v>
                </c:pt>
                <c:pt idx="1">
                  <c:v>1.0489999999999999</c:v>
                </c:pt>
                <c:pt idx="2">
                  <c:v>0.82299999999999995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66-4163-8234-D6F3999C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280304"/>
        <c:axId val="418279128"/>
      </c:scatterChart>
      <c:valAx>
        <c:axId val="41828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9128"/>
        <c:crosses val="autoZero"/>
        <c:crossBetween val="midCat"/>
      </c:valAx>
      <c:valAx>
        <c:axId val="41827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803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¬'!$A$160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5490575143506183"/>
                  <c:y val="-0.338482118285757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¬'!$F$160:$F$162</c:f>
              <c:numCache>
                <c:formatCode>0.000</c:formatCode>
                <c:ptCount val="3"/>
                <c:pt idx="0">
                  <c:v>499.02600000000001</c:v>
                </c:pt>
                <c:pt idx="1">
                  <c:v>752.18100000000004</c:v>
                </c:pt>
                <c:pt idx="2">
                  <c:v>900.66499999999996</c:v>
                </c:pt>
              </c:numCache>
            </c:numRef>
          </c:xVal>
          <c:yVal>
            <c:numRef>
              <c:f>'DATOS ¬'!$H$160:$H$162</c:f>
              <c:numCache>
                <c:formatCode>0.000</c:formatCode>
                <c:ptCount val="3"/>
                <c:pt idx="0" formatCode="General">
                  <c:v>1.573</c:v>
                </c:pt>
                <c:pt idx="1">
                  <c:v>1.0469999999999999</c:v>
                </c:pt>
                <c:pt idx="2" formatCode="General">
                  <c:v>0.73699999999999999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BC9-4DF2-BD4A-60C72AD2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280696"/>
        <c:axId val="418279520"/>
      </c:scatterChart>
      <c:valAx>
        <c:axId val="41828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9520"/>
        <c:crosses val="autoZero"/>
        <c:crossBetween val="midCat"/>
      </c:valAx>
      <c:valAx>
        <c:axId val="4182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8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hr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¬'!$A$157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¬'!$F$157:$F$159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51.3</c:v>
                </c:pt>
                <c:pt idx="2">
                  <c:v>77.5</c:v>
                </c:pt>
              </c:numCache>
            </c:numRef>
          </c:xVal>
          <c:yVal>
            <c:numRef>
              <c:f>'DATOS ¬'!$H$157:$H$159</c:f>
              <c:numCache>
                <c:formatCode>General</c:formatCode>
                <c:ptCount val="3"/>
                <c:pt idx="0">
                  <c:v>-3.3</c:v>
                </c:pt>
                <c:pt idx="1">
                  <c:v>-1.4</c:v>
                </c:pt>
                <c:pt idx="2">
                  <c:v>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4C-4D6E-9DCB-C03EC85C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281088"/>
        <c:axId val="418277560"/>
      </c:scatterChart>
      <c:valAx>
        <c:axId val="41828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7560"/>
        <c:crosses val="autoZero"/>
        <c:crossBetween val="midCat"/>
      </c:valAx>
      <c:valAx>
        <c:axId val="41827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8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¬'!$A$154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4409899025657283E-2"/>
                  <c:y val="-0.516623505420759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¬'!$F$154:$F$156</c:f>
              <c:numCache>
                <c:formatCode>0.0</c:formatCode>
                <c:ptCount val="3"/>
                <c:pt idx="0" formatCode="General">
                  <c:v>10.3</c:v>
                </c:pt>
                <c:pt idx="1">
                  <c:v>20</c:v>
                </c:pt>
                <c:pt idx="2">
                  <c:v>39.200000000000003</c:v>
                </c:pt>
              </c:numCache>
            </c:numRef>
          </c:xVal>
          <c:yVal>
            <c:numRef>
              <c:f>'DATOS ¬'!$H$154:$H$156</c:f>
              <c:numCache>
                <c:formatCode>0.0</c:formatCode>
                <c:ptCount val="3"/>
                <c:pt idx="0">
                  <c:v>0</c:v>
                </c:pt>
                <c:pt idx="1">
                  <c:v>0.1</c:v>
                </c:pt>
                <c:pt idx="2">
                  <c:v>0.3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93-48F7-89B4-B1EDC50D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279912"/>
        <c:axId val="418274816"/>
      </c:scatterChart>
      <c:valAx>
        <c:axId val="418279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4816"/>
        <c:crosses val="autoZero"/>
        <c:crossBetween val="midCat"/>
      </c:valAx>
      <c:valAx>
        <c:axId val="4182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9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DE8-4016-B029-D57B74756A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DE8-4016-B029-D57B74756A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DE8-4016-B029-D57B74756A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DE8-4016-B029-D57B74756A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 mg ¬ '!$G$59,'1 mg ¬ '!$G$62,'1 mg ¬ '!$G$66:$G$67,'1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DE8-4016-B029-D57B74756A7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18281480"/>
        <c:axId val="418275992"/>
      </c:barChart>
      <c:catAx>
        <c:axId val="41828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5992"/>
        <c:crosses val="autoZero"/>
        <c:auto val="1"/>
        <c:lblAlgn val="ctr"/>
        <c:lblOffset val="100"/>
        <c:noMultiLvlLbl val="0"/>
      </c:catAx>
      <c:valAx>
        <c:axId val="41827599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828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 mg ¬ '!$H$81:$H$83</c:f>
              <c:numCache>
                <c:formatCode>0.000</c:formatCode>
                <c:ptCount val="3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870-8376-D90D95D94AD8}"/>
            </c:ext>
          </c:extLst>
        </c:ser>
        <c:ser>
          <c:idx val="1"/>
          <c:order val="1"/>
          <c:tx>
            <c:strRef>
              <c:f>'1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 mg ¬ '!$I$81:$I$83</c:f>
              <c:numCache>
                <c:formatCode>0.000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7-4870-8376-D90D95D94AD8}"/>
            </c:ext>
          </c:extLst>
        </c:ser>
        <c:ser>
          <c:idx val="2"/>
          <c:order val="2"/>
          <c:tx>
            <c:strRef>
              <c:f>'1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47-4870-8376-D90D95D94AD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8275600"/>
        <c:axId val="418276776"/>
      </c:lineChart>
      <c:catAx>
        <c:axId val="41827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6776"/>
        <c:crosses val="autoZero"/>
        <c:auto val="1"/>
        <c:lblAlgn val="ctr"/>
        <c:lblOffset val="100"/>
        <c:tickMarkSkip val="1"/>
        <c:noMultiLvlLbl val="0"/>
      </c:catAx>
      <c:valAx>
        <c:axId val="41827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82756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67-4E84-BB3C-C1D512E0A28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67-4E84-BB3C-C1D512E0A28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967-4E84-BB3C-C1D512E0A28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1F-4D00-B202-788E31F53D0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mg ¬'!$G$59,'2 mg ¬'!$G$62,'2 mg ¬'!$G$66:$G$67,'2 mg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967-4E84-BB3C-C1D512E0A28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19645512"/>
        <c:axId val="419645904"/>
      </c:barChart>
      <c:catAx>
        <c:axId val="41964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5904"/>
        <c:crosses val="autoZero"/>
        <c:auto val="1"/>
        <c:lblAlgn val="ctr"/>
        <c:lblOffset val="100"/>
        <c:noMultiLvlLbl val="0"/>
      </c:catAx>
      <c:valAx>
        <c:axId val="4196459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964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mg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mg ¬'!$H$81:$H$83</c:f>
              <c:numCache>
                <c:formatCode>0.000</c:formatCode>
                <c:ptCount val="3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B2-4F2B-ADA2-B79384A31AA2}"/>
            </c:ext>
          </c:extLst>
        </c:ser>
        <c:ser>
          <c:idx val="1"/>
          <c:order val="1"/>
          <c:tx>
            <c:strRef>
              <c:f>'2 mg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 mg ¬'!$I$81:$I$83</c:f>
              <c:numCache>
                <c:formatCode>0.000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B2-4F2B-ADA2-B79384A31AA2}"/>
            </c:ext>
          </c:extLst>
        </c:ser>
        <c:ser>
          <c:idx val="2"/>
          <c:order val="2"/>
          <c:tx>
            <c:strRef>
              <c:f>'2 mg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mg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6B2-4F2B-ADA2-B79384A31A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646296"/>
        <c:axId val="419646688"/>
      </c:lineChart>
      <c:catAx>
        <c:axId val="419646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6688"/>
        <c:crosses val="autoZero"/>
        <c:auto val="1"/>
        <c:lblAlgn val="ctr"/>
        <c:lblOffset val="100"/>
        <c:tickMarkSkip val="1"/>
        <c:noMultiLvlLbl val="0"/>
      </c:catAx>
      <c:valAx>
        <c:axId val="4196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629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hr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¬'!$A$190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¬'!$F$190:$F$192</c:f>
              <c:numCache>
                <c:formatCode>0.0</c:formatCode>
                <c:ptCount val="3"/>
                <c:pt idx="0" formatCode="General">
                  <c:v>33.299999999999997</c:v>
                </c:pt>
                <c:pt idx="1">
                  <c:v>55.6</c:v>
                </c:pt>
                <c:pt idx="2">
                  <c:v>78.8</c:v>
                </c:pt>
              </c:numCache>
            </c:numRef>
          </c:xVal>
          <c:yVal>
            <c:numRef>
              <c:f>'DATOS ¬'!$H$190:$H$192</c:f>
              <c:numCache>
                <c:formatCode>0.0</c:formatCode>
                <c:ptCount val="3"/>
                <c:pt idx="0" formatCode="General">
                  <c:v>-3.3</c:v>
                </c:pt>
                <c:pt idx="1">
                  <c:v>-0.6</c:v>
                </c:pt>
                <c:pt idx="2">
                  <c:v>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F4-4562-97E0-1F915E700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12048"/>
        <c:axId val="339114400"/>
      </c:scatterChart>
      <c:valAx>
        <c:axId val="33911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4400"/>
        <c:crosses val="autoZero"/>
        <c:crossBetween val="midCat"/>
      </c:valAx>
      <c:valAx>
        <c:axId val="33911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2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mg +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A1-477E-858F-DF5AED3594B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73D-4105-A3C5-A0B0CAFCD2C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mg + ¬ '!$G$59,'2 mg + ¬ '!$G$62,'2 mg + ¬ '!$G$66:$G$67,'2 mg +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5A1-477E-858F-DF5AED3594B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19644728"/>
        <c:axId val="419639240"/>
      </c:barChart>
      <c:catAx>
        <c:axId val="41964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39240"/>
        <c:crosses val="autoZero"/>
        <c:auto val="1"/>
        <c:lblAlgn val="ctr"/>
        <c:lblOffset val="100"/>
        <c:noMultiLvlLbl val="0"/>
      </c:catAx>
      <c:valAx>
        <c:axId val="4196392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9644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mg +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mg + ¬ '!$H$81:$H$83</c:f>
              <c:numCache>
                <c:formatCode>0.000</c:formatCode>
                <c:ptCount val="3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A-4F0E-B084-A87E209EF363}"/>
            </c:ext>
          </c:extLst>
        </c:ser>
        <c:ser>
          <c:idx val="1"/>
          <c:order val="1"/>
          <c:tx>
            <c:strRef>
              <c:f>'2 mg +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 mg + ¬ '!$I$81:$I$83</c:f>
              <c:numCache>
                <c:formatCode>0.000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8A-4F0E-B084-A87E209EF363}"/>
            </c:ext>
          </c:extLst>
        </c:ser>
        <c:ser>
          <c:idx val="2"/>
          <c:order val="2"/>
          <c:tx>
            <c:strRef>
              <c:f>'2 mg +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mg +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8A-4F0E-B084-A87E209EF36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640416"/>
        <c:axId val="419641984"/>
      </c:lineChart>
      <c:catAx>
        <c:axId val="41964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1984"/>
        <c:crosses val="autoZero"/>
        <c:auto val="1"/>
        <c:lblAlgn val="ctr"/>
        <c:lblOffset val="100"/>
        <c:tickMarkSkip val="1"/>
        <c:noMultiLvlLbl val="0"/>
      </c:catAx>
      <c:valAx>
        <c:axId val="41964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041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1B-4102-96BC-32785F94BA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1B-4102-96BC-32785F94BA2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21B-4102-96BC-32785F94BA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7C-4221-9142-80913CD4A4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 mg ¬ '!$G$59,'5 mg ¬ '!$G$62,'5 mg ¬ '!$G$66,'5 mg ¬ '!$G$66:$G$67,'5 mg ¬ '!$G$68)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1B-4102-96BC-32785F94BA2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19643944"/>
        <c:axId val="419641592"/>
      </c:barChart>
      <c:catAx>
        <c:axId val="419643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1592"/>
        <c:crosses val="autoZero"/>
        <c:auto val="1"/>
        <c:lblAlgn val="ctr"/>
        <c:lblOffset val="100"/>
        <c:noMultiLvlLbl val="0"/>
      </c:catAx>
      <c:valAx>
        <c:axId val="41964159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9643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 mg ¬ '!$H$81:$H$83</c:f>
              <c:numCache>
                <c:formatCode>0.000</c:formatCode>
                <c:ptCount val="3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B-4D71-BE68-099EAED2F573}"/>
            </c:ext>
          </c:extLst>
        </c:ser>
        <c:ser>
          <c:idx val="1"/>
          <c:order val="1"/>
          <c:tx>
            <c:strRef>
              <c:f>'5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 mg ¬ '!$I$81:$I$83</c:f>
              <c:numCache>
                <c:formatCode>0.000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B-4D71-BE68-099EAED2F573}"/>
            </c:ext>
          </c:extLst>
        </c:ser>
        <c:ser>
          <c:idx val="2"/>
          <c:order val="2"/>
          <c:tx>
            <c:strRef>
              <c:f>'5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2B-4D71-BE68-099EAED2F5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642768"/>
        <c:axId val="419643160"/>
      </c:lineChart>
      <c:catAx>
        <c:axId val="419642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3160"/>
        <c:crosses val="autoZero"/>
        <c:auto val="1"/>
        <c:lblAlgn val="ctr"/>
        <c:lblOffset val="100"/>
        <c:tickMarkSkip val="1"/>
        <c:noMultiLvlLbl val="0"/>
      </c:catAx>
      <c:valAx>
        <c:axId val="41964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964276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B0A-4212-83F1-8737AD20301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B0A-4212-83F1-8737AD20301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B0A-4212-83F1-8737AD20301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B0A-4212-83F1-8737AD20301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('10 mg ¬ '!$G$59,'10 mg ¬ '!$G$62,'10 mg ¬ '!$G$66:$G$67,'10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B0A-4212-83F1-8737AD20301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4592248"/>
        <c:axId val="424596560"/>
      </c:barChart>
      <c:catAx>
        <c:axId val="424592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6560"/>
        <c:crosses val="autoZero"/>
        <c:auto val="1"/>
        <c:lblAlgn val="ctr"/>
        <c:lblOffset val="100"/>
        <c:noMultiLvlLbl val="0"/>
      </c:catAx>
      <c:valAx>
        <c:axId val="42459656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4592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'10 mg ¬ '!$H$81:$H$83</c:f>
              <c:numCache>
                <c:formatCode>General</c:formatCode>
                <c:ptCount val="3"/>
                <c:pt idx="0">
                  <c:v>2.5000000000000001E-2</c:v>
                </c:pt>
                <c:pt idx="1">
                  <c:v>2.5000000000000001E-2</c:v>
                </c:pt>
                <c:pt idx="2">
                  <c:v>2.5000000000000001E-2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A0-4CE5-AE4B-5CEC801A5652}"/>
            </c:ext>
          </c:extLst>
        </c:ser>
        <c:ser>
          <c:idx val="1"/>
          <c:order val="1"/>
          <c:tx>
            <c:strRef>
              <c:f>'10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'10 mg ¬ '!$I$81:$I$83</c:f>
              <c:numCache>
                <c:formatCode>General</c:formatCode>
                <c:ptCount val="3"/>
                <c:pt idx="0">
                  <c:v>-2.5000000000000001E-2</c:v>
                </c:pt>
                <c:pt idx="1">
                  <c:v>-2.5000000000000001E-2</c:v>
                </c:pt>
                <c:pt idx="2">
                  <c:v>-2.5000000000000001E-2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A0-4CE5-AE4B-5CEC801A5652}"/>
            </c:ext>
          </c:extLst>
        </c:ser>
        <c:ser>
          <c:idx val="2"/>
          <c:order val="2"/>
          <c:tx>
            <c:strRef>
              <c:f>'10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9A0-4CE5-AE4B-5CEC801A565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4593032"/>
        <c:axId val="424592640"/>
      </c:lineChart>
      <c:catAx>
        <c:axId val="42459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2640"/>
        <c:crosses val="autoZero"/>
        <c:auto val="1"/>
        <c:lblAlgn val="ctr"/>
        <c:lblOffset val="100"/>
        <c:tickMarkSkip val="1"/>
        <c:noMultiLvlLbl val="0"/>
      </c:catAx>
      <c:valAx>
        <c:axId val="42459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3032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A92-4B78-B221-9B032EAF95B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92-4B78-B221-9B032EAF95B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92-4B78-B221-9B032EAF95B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92-4B78-B221-9B032EAF95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 mg ¬ '!$G$59,'20 mg ¬ '!$G$62,'20 mg ¬ '!$G$66:$G$67,'20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A92-4B78-B221-9B032EAF95B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4595776"/>
        <c:axId val="424593424"/>
      </c:barChart>
      <c:catAx>
        <c:axId val="42459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3424"/>
        <c:crosses val="autoZero"/>
        <c:auto val="1"/>
        <c:lblAlgn val="ctr"/>
        <c:lblOffset val="100"/>
        <c:noMultiLvlLbl val="0"/>
      </c:catAx>
      <c:valAx>
        <c:axId val="4245934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459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 mg ¬ '!$H$81:$H$83</c:f>
              <c:numCache>
                <c:formatCode>General</c:formatCode>
                <c:ptCount val="3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97-49AA-8ADE-A77DB468CEC9}"/>
            </c:ext>
          </c:extLst>
        </c:ser>
        <c:ser>
          <c:idx val="1"/>
          <c:order val="1"/>
          <c:tx>
            <c:strRef>
              <c:f>'20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 mg ¬ '!$I$81:$I$83</c:f>
              <c:numCache>
                <c:formatCode>General</c:formatCode>
                <c:ptCount val="3"/>
                <c:pt idx="0">
                  <c:v>-0.03</c:v>
                </c:pt>
                <c:pt idx="1">
                  <c:v>-0.03</c:v>
                </c:pt>
                <c:pt idx="2">
                  <c:v>-0.03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7-49AA-8ADE-A77DB468CEC9}"/>
            </c:ext>
          </c:extLst>
        </c:ser>
        <c:ser>
          <c:idx val="2"/>
          <c:order val="2"/>
          <c:tx>
            <c:strRef>
              <c:f>'20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97-49AA-8ADE-A77DB468CEC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4594600"/>
        <c:axId val="424594992"/>
      </c:lineChart>
      <c:catAx>
        <c:axId val="424594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4992"/>
        <c:crosses val="autoZero"/>
        <c:auto val="1"/>
        <c:lblAlgn val="ctr"/>
        <c:lblOffset val="100"/>
        <c:tickMarkSkip val="1"/>
        <c:noMultiLvlLbl val="0"/>
      </c:catAx>
      <c:valAx>
        <c:axId val="42459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46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mg +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29E-4294-8B34-E137E1DD63C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29E-4294-8B34-E137E1DD63C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29E-4294-8B34-E137E1DD63C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29E-4294-8B34-E137E1DD63C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 mg + ¬ '!$G$59,'20 mg + ¬ '!$G$62,'20 mg + ¬ '!$G$66:$G$67,'20 mg +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9E-4294-8B34-E137E1DD63C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4597736"/>
        <c:axId val="424598520"/>
      </c:barChart>
      <c:catAx>
        <c:axId val="42459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4598520"/>
        <c:crosses val="autoZero"/>
        <c:auto val="1"/>
        <c:lblAlgn val="ctr"/>
        <c:lblOffset val="100"/>
        <c:noMultiLvlLbl val="0"/>
      </c:catAx>
      <c:valAx>
        <c:axId val="42459852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459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 mg +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 mg + ¬ '!$H$81:$H$83</c:f>
              <c:numCache>
                <c:formatCode>General</c:formatCode>
                <c:ptCount val="3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14-4542-B735-173EAB9B81C7}"/>
            </c:ext>
          </c:extLst>
        </c:ser>
        <c:ser>
          <c:idx val="1"/>
          <c:order val="1"/>
          <c:tx>
            <c:strRef>
              <c:f>'20 mg +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 mg + ¬ '!$I$81:$I$83</c:f>
              <c:numCache>
                <c:formatCode>General</c:formatCode>
                <c:ptCount val="3"/>
                <c:pt idx="0">
                  <c:v>-0.03</c:v>
                </c:pt>
                <c:pt idx="1">
                  <c:v>-0.03</c:v>
                </c:pt>
                <c:pt idx="2">
                  <c:v>-0.03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14-4542-B735-173EAB9B81C7}"/>
            </c:ext>
          </c:extLst>
        </c:ser>
        <c:ser>
          <c:idx val="2"/>
          <c:order val="2"/>
          <c:tx>
            <c:strRef>
              <c:f>'20 mg +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 mg +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14-4542-B735-173EAB9B81C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558104"/>
        <c:axId val="427564376"/>
      </c:lineChart>
      <c:catAx>
        <c:axId val="427558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4376"/>
        <c:crosses val="autoZero"/>
        <c:auto val="1"/>
        <c:lblAlgn val="ctr"/>
        <c:lblOffset val="100"/>
        <c:tickMarkSkip val="1"/>
        <c:noMultiLvlLbl val="0"/>
      </c:catAx>
      <c:valAx>
        <c:axId val="42756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5810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¬'!$A$193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8165771231662076E-2"/>
                  <c:y val="-0.379271084912055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¬'!$F$193:$F$195</c:f>
              <c:numCache>
                <c:formatCode>#,##0.000</c:formatCode>
                <c:ptCount val="3"/>
                <c:pt idx="0">
                  <c:v>499.78800000000001</c:v>
                </c:pt>
                <c:pt idx="1">
                  <c:v>752.28800000000001</c:v>
                </c:pt>
                <c:pt idx="2" formatCode="0.000">
                  <c:v>899.58299999999997</c:v>
                </c:pt>
              </c:numCache>
            </c:numRef>
          </c:xVal>
          <c:yVal>
            <c:numRef>
              <c:f>'DATOS ¬'!$H$193:$H$195</c:f>
              <c:numCache>
                <c:formatCode>0.000</c:formatCode>
                <c:ptCount val="3"/>
                <c:pt idx="0">
                  <c:v>1.6559999999999999</c:v>
                </c:pt>
                <c:pt idx="1">
                  <c:v>1.0900000000000001</c:v>
                </c:pt>
                <c:pt idx="2">
                  <c:v>0.85599999999999998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A3-4CCC-B087-5F6EAE92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13616"/>
        <c:axId val="339114008"/>
      </c:scatterChart>
      <c:valAx>
        <c:axId val="33911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4008"/>
        <c:crosses val="autoZero"/>
        <c:crossBetween val="midCat"/>
      </c:valAx>
      <c:valAx>
        <c:axId val="33911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9113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B1E-4991-95ED-D8423B5E27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1E-4991-95ED-D8423B5E27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B1E-4991-95ED-D8423B5E27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1E-4991-95ED-D8423B5E27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('50 mg ¬ '!$G$59,'50 mg ¬ '!$G$62,'50 mg ¬ '!$G$66:$G$67,'50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B1E-4991-95ED-D8423B5E271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7558496"/>
        <c:axId val="427559672"/>
      </c:barChart>
      <c:catAx>
        <c:axId val="4275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59672"/>
        <c:crosses val="autoZero"/>
        <c:auto val="1"/>
        <c:lblAlgn val="ctr"/>
        <c:lblOffset val="100"/>
        <c:noMultiLvlLbl val="0"/>
      </c:catAx>
      <c:valAx>
        <c:axId val="4275596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755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'50 mg ¬ '!$H$81:$H$83</c:f>
              <c:numCache>
                <c:formatCode>General</c:formatCode>
                <c:ptCount val="3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DA-4D18-B7FD-ABBE251FFA82}"/>
            </c:ext>
          </c:extLst>
        </c:ser>
        <c:ser>
          <c:idx val="1"/>
          <c:order val="1"/>
          <c:tx>
            <c:strRef>
              <c:f>'50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'50 mg ¬ '!$I$81:$I$83</c:f>
              <c:numCache>
                <c:formatCode>General</c:formatCode>
                <c:ptCount val="3"/>
                <c:pt idx="0">
                  <c:v>-0.04</c:v>
                </c:pt>
                <c:pt idx="1">
                  <c:v>-0.04</c:v>
                </c:pt>
                <c:pt idx="2">
                  <c:v>-0.04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DA-4D18-B7FD-ABBE251FFA82}"/>
            </c:ext>
          </c:extLst>
        </c:ser>
        <c:ser>
          <c:idx val="2"/>
          <c:order val="2"/>
          <c:tx>
            <c:strRef>
              <c:f>'50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9DA-4D18-B7FD-ABBE251FFA8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556928"/>
        <c:axId val="427562808"/>
      </c:lineChart>
      <c:catAx>
        <c:axId val="42755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2808"/>
        <c:crosses val="autoZero"/>
        <c:auto val="1"/>
        <c:lblAlgn val="ctr"/>
        <c:lblOffset val="100"/>
        <c:tickMarkSkip val="1"/>
        <c:noMultiLvlLbl val="0"/>
      </c:catAx>
      <c:valAx>
        <c:axId val="42756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5692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ED0-47ED-A049-B8B4507FF5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ED0-47ED-A049-B8B4507FF5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ED0-47ED-A049-B8B4507FF5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ED0-47ED-A049-B8B4507FF56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('100 mg ¬ '!$G$59,'100 mg ¬ '!$G$62,'100 mg ¬ '!$G$66:$G$67,'100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ED0-47ED-A049-B8B4507FF56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7560456"/>
        <c:axId val="427563200"/>
      </c:barChart>
      <c:catAx>
        <c:axId val="427560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3200"/>
        <c:crosses val="autoZero"/>
        <c:auto val="1"/>
        <c:lblAlgn val="ctr"/>
        <c:lblOffset val="100"/>
        <c:noMultiLvlLbl val="0"/>
      </c:catAx>
      <c:valAx>
        <c:axId val="4275632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756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'100 mg ¬ '!$H$81:$H$83</c:f>
              <c:numCache>
                <c:formatCode>General</c:formatCode>
                <c:ptCount val="3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FB-4CFE-915F-6828BB7D455C}"/>
            </c:ext>
          </c:extLst>
        </c:ser>
        <c:ser>
          <c:idx val="1"/>
          <c:order val="1"/>
          <c:tx>
            <c:strRef>
              <c:f>'100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'100 mg ¬ '!$I$81:$I$83</c:f>
              <c:numCache>
                <c:formatCode>General</c:formatCode>
                <c:ptCount val="3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FB-4CFE-915F-6828BB7D455C}"/>
            </c:ext>
          </c:extLst>
        </c:ser>
        <c:ser>
          <c:idx val="2"/>
          <c:order val="2"/>
          <c:tx>
            <c:strRef>
              <c:f>'100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'100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FB-4CFE-915F-6828BB7D45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563592"/>
        <c:axId val="427560064"/>
      </c:lineChart>
      <c:catAx>
        <c:axId val="427563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0064"/>
        <c:crosses val="autoZero"/>
        <c:auto val="1"/>
        <c:lblAlgn val="ctr"/>
        <c:lblOffset val="100"/>
        <c:tickMarkSkip val="1"/>
        <c:noMultiLvlLbl val="0"/>
      </c:catAx>
      <c:valAx>
        <c:axId val="42756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3592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1C-4588-AE18-7FD4D70EF45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1C-4588-AE18-7FD4D70EF45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1C-4588-AE18-7FD4D70EF45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1C-4588-AE18-7FD4D70EF45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('200 mg ¬ '!$G$59,'200 mg ¬ '!$G$62,'200 mg ¬ '!$G$66:$G$67,'200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E1C-4588-AE18-7FD4D70EF45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7561240"/>
        <c:axId val="427562024"/>
      </c:barChart>
      <c:catAx>
        <c:axId val="42756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7562024"/>
        <c:crosses val="autoZero"/>
        <c:auto val="1"/>
        <c:lblAlgn val="ctr"/>
        <c:lblOffset val="100"/>
        <c:noMultiLvlLbl val="0"/>
      </c:catAx>
      <c:valAx>
        <c:axId val="4275620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7561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'200 mg ¬ '!$H$81:$H$83</c:f>
              <c:numCache>
                <c:formatCode>General</c:formatCode>
                <c:ptCount val="3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40-43EA-AFEB-48A32595BC3B}"/>
            </c:ext>
          </c:extLst>
        </c:ser>
        <c:ser>
          <c:idx val="1"/>
          <c:order val="1"/>
          <c:tx>
            <c:strRef>
              <c:f>'200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'200 mg ¬ '!$I$81:$I$83</c:f>
              <c:numCache>
                <c:formatCode>General</c:formatCode>
                <c:ptCount val="3"/>
                <c:pt idx="0">
                  <c:v>-0.06</c:v>
                </c:pt>
                <c:pt idx="1">
                  <c:v>-0.06</c:v>
                </c:pt>
                <c:pt idx="2">
                  <c:v>-0.06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40-43EA-AFEB-48A32595BC3B}"/>
            </c:ext>
          </c:extLst>
        </c:ser>
        <c:ser>
          <c:idx val="2"/>
          <c:order val="2"/>
          <c:tx>
            <c:strRef>
              <c:f>'200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40-43EA-AFEB-48A32595BC3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967656"/>
        <c:axId val="429968048"/>
      </c:lineChart>
      <c:catAx>
        <c:axId val="429967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8048"/>
        <c:crosses val="autoZero"/>
        <c:auto val="1"/>
        <c:lblAlgn val="ctr"/>
        <c:lblOffset val="100"/>
        <c:tickMarkSkip val="1"/>
        <c:noMultiLvlLbl val="0"/>
      </c:catAx>
      <c:valAx>
        <c:axId val="42996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765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 mg +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077-48C8-AE26-C962766809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77-48C8-AE26-C962766809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77-48C8-AE26-C962766809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077-48C8-AE26-C962766809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('200 mg + ¬'!$G$59,'200 mg + ¬'!$G$62,'200 mg + ¬'!$G$66:$G$67,'200 mg +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77-48C8-AE26-C962766809F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9968440"/>
        <c:axId val="429970008"/>
      </c:barChart>
      <c:catAx>
        <c:axId val="42996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70008"/>
        <c:crosses val="autoZero"/>
        <c:auto val="1"/>
        <c:lblAlgn val="ctr"/>
        <c:lblOffset val="100"/>
        <c:noMultiLvlLbl val="0"/>
      </c:catAx>
      <c:valAx>
        <c:axId val="4299700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996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 mg +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'200 mg + ¬'!$H$81:$H$83</c:f>
              <c:numCache>
                <c:formatCode>General</c:formatCode>
                <c:ptCount val="3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12-411F-A8ED-6DDCBFDFB71B}"/>
            </c:ext>
          </c:extLst>
        </c:ser>
        <c:ser>
          <c:idx val="1"/>
          <c:order val="1"/>
          <c:tx>
            <c:strRef>
              <c:f>'200 mg +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'200 mg + ¬'!$I$81:$I$83</c:f>
              <c:numCache>
                <c:formatCode>General</c:formatCode>
                <c:ptCount val="3"/>
                <c:pt idx="0">
                  <c:v>-0.06</c:v>
                </c:pt>
                <c:pt idx="1">
                  <c:v>-0.06</c:v>
                </c:pt>
                <c:pt idx="2">
                  <c:v>-0.06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12-411F-A8ED-6DDCBFDFB71B}"/>
            </c:ext>
          </c:extLst>
        </c:ser>
        <c:ser>
          <c:idx val="2"/>
          <c:order val="2"/>
          <c:tx>
            <c:strRef>
              <c:f>'200 mg +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'200 mg +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612-411F-A8ED-6DDCBFDFB71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965696"/>
        <c:axId val="429970792"/>
      </c:lineChart>
      <c:catAx>
        <c:axId val="429965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70792"/>
        <c:crosses val="autoZero"/>
        <c:auto val="1"/>
        <c:lblAlgn val="ctr"/>
        <c:lblOffset val="100"/>
        <c:tickMarkSkip val="1"/>
        <c:noMultiLvlLbl val="0"/>
      </c:catAx>
      <c:valAx>
        <c:axId val="42997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569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'500 mg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A60-41E9-B367-5343EAF2640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60-41E9-B367-5343EAF2640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A60-41E9-B367-5343EAF2640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A60-41E9-B367-5343EAF2640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('500 mg ¬ '!$G$59,'500 mg ¬ '!$G$62,'500 mg ¬ '!$G$66:$G$67,'500 mg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60-41E9-B367-5343EAF2640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9966480"/>
        <c:axId val="429966088"/>
      </c:barChart>
      <c:catAx>
        <c:axId val="42996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6088"/>
        <c:crosses val="autoZero"/>
        <c:auto val="1"/>
        <c:lblAlgn val="ctr"/>
        <c:lblOffset val="100"/>
        <c:noMultiLvlLbl val="0"/>
      </c:catAx>
      <c:valAx>
        <c:axId val="42996608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996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'500 mg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'500 mg ¬ '!$H$81:$H$83</c:f>
              <c:numCache>
                <c:formatCode>General</c:formatCode>
                <c:ptCount val="3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41-420A-AC9C-28FDBE6EED69}"/>
            </c:ext>
          </c:extLst>
        </c:ser>
        <c:ser>
          <c:idx val="1"/>
          <c:order val="1"/>
          <c:tx>
            <c:strRef>
              <c:f>'500 mg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'500 mg ¬ '!$I$81:$I$83</c:f>
              <c:numCache>
                <c:formatCode>General</c:formatCode>
                <c:ptCount val="3"/>
                <c:pt idx="0">
                  <c:v>-0.08</c:v>
                </c:pt>
                <c:pt idx="1">
                  <c:v>-0.08</c:v>
                </c:pt>
                <c:pt idx="2">
                  <c:v>-0.08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41-420A-AC9C-28FDBE6EED69}"/>
            </c:ext>
          </c:extLst>
        </c:ser>
        <c:ser>
          <c:idx val="2"/>
          <c:order val="2"/>
          <c:tx>
            <c:strRef>
              <c:f>'500 mg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'500 mg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41-420A-AC9C-28FDBE6EED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964912"/>
        <c:axId val="429970400"/>
      </c:lineChart>
      <c:catAx>
        <c:axId val="42996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70400"/>
        <c:crosses val="autoZero"/>
        <c:auto val="1"/>
        <c:lblAlgn val="ctr"/>
        <c:lblOffset val="100"/>
        <c:tickMarkSkip val="1"/>
        <c:noMultiLvlLbl val="0"/>
      </c:catAx>
      <c:valAx>
        <c:axId val="42997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4912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¬'!$A$171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0214644597996678"/>
                  <c:y val="-0.47228814220004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strRef>
              <c:f>'DATOS ¬'!$F$171:$F$173</c:f>
              <c:strCache>
                <c:ptCount val="3"/>
                <c:pt idx="0">
                  <c:v>499,801</c:v>
                </c:pt>
                <c:pt idx="1">
                  <c:v>752,296</c:v>
                </c:pt>
                <c:pt idx="2">
                  <c:v>1 099,608</c:v>
                </c:pt>
              </c:strCache>
            </c:strRef>
          </c:xVal>
          <c:yVal>
            <c:numRef>
              <c:f>'DATOS ¬'!$H$171:$H$173</c:f>
              <c:numCache>
                <c:formatCode>0.000</c:formatCode>
                <c:ptCount val="3"/>
                <c:pt idx="0" formatCode="#,##0.000">
                  <c:v>1.742</c:v>
                </c:pt>
                <c:pt idx="1">
                  <c:v>1.2150000000000001</c:v>
                </c:pt>
                <c:pt idx="2" formatCode="General">
                  <c:v>1.1379999999999999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9B-4BA8-803C-9E344972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2224"/>
        <c:axId val="414160656"/>
      </c:scatterChart>
      <c:valAx>
        <c:axId val="41416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0656"/>
        <c:crosses val="autoZero"/>
        <c:crossBetween val="midCat"/>
      </c:valAx>
      <c:valAx>
        <c:axId val="41416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2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7E5-4347-AA7D-A85C0595000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E5-4347-AA7D-A85C0595000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7E5-4347-AA7D-A85C0595000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7E5-4347-AA7D-A85C0595000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 g ¬'!$G$59,'1 g ¬'!$G$62,'1 g ¬'!$G$66:$G$68)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E5-4347-AA7D-A85C0595000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29971968"/>
        <c:axId val="429966872"/>
      </c:barChart>
      <c:catAx>
        <c:axId val="42997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966872"/>
        <c:crosses val="autoZero"/>
        <c:auto val="1"/>
        <c:lblAlgn val="ctr"/>
        <c:lblOffset val="100"/>
        <c:noMultiLvlLbl val="0"/>
      </c:catAx>
      <c:valAx>
        <c:axId val="4299668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997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 g ¬'!$H$81:$H$83</c:f>
              <c:numCache>
                <c:formatCode>0.00</c:formatCode>
                <c:ptCount val="3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F6-45CC-BBD7-6E2884688F85}"/>
            </c:ext>
          </c:extLst>
        </c:ser>
        <c:ser>
          <c:idx val="1"/>
          <c:order val="1"/>
          <c:tx>
            <c:strRef>
              <c:f>'1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 g ¬'!$I$81:$I$83</c:f>
              <c:numCache>
                <c:formatCode>0.00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F6-45CC-BBD7-6E2884688F85}"/>
            </c:ext>
          </c:extLst>
        </c:ser>
        <c:ser>
          <c:idx val="2"/>
          <c:order val="2"/>
          <c:tx>
            <c:strRef>
              <c:f>'1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F6-45CC-BBD7-6E2884688F8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3136480"/>
        <c:axId val="433140400"/>
      </c:lineChart>
      <c:catAx>
        <c:axId val="433136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40400"/>
        <c:crosses val="autoZero"/>
        <c:auto val="1"/>
        <c:lblAlgn val="ctr"/>
        <c:lblOffset val="100"/>
        <c:tickMarkSkip val="1"/>
        <c:noMultiLvlLbl val="0"/>
      </c:catAx>
      <c:valAx>
        <c:axId val="43314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3648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034-43E5-9FC7-5574D16FD60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034-43E5-9FC7-5574D16FD60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034-43E5-9FC7-5574D16FD60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034-43E5-9FC7-5574D16FD60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g ¬'!$G$59,'2 g ¬'!$G$62,'2 g ¬'!$G$66:$G$67,'2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034-43E5-9FC7-5574D16FD60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3140792"/>
        <c:axId val="433141184"/>
      </c:barChart>
      <c:catAx>
        <c:axId val="43314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41184"/>
        <c:crosses val="autoZero"/>
        <c:auto val="1"/>
        <c:lblAlgn val="ctr"/>
        <c:lblOffset val="100"/>
        <c:noMultiLvlLbl val="0"/>
      </c:catAx>
      <c:valAx>
        <c:axId val="4331411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3314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g ¬'!$H$81:$H$83</c:f>
              <c:numCache>
                <c:formatCode>General</c:formatCode>
                <c:ptCount val="3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DC-49B7-A8A5-9D6E57C42210}"/>
            </c:ext>
          </c:extLst>
        </c:ser>
        <c:ser>
          <c:idx val="1"/>
          <c:order val="1"/>
          <c:tx>
            <c:strRef>
              <c:f>'2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 g ¬'!$I$81:$I$83</c:f>
              <c:numCache>
                <c:formatCode>General</c:formatCode>
                <c:ptCount val="3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DC-49B7-A8A5-9D6E57C42210}"/>
            </c:ext>
          </c:extLst>
        </c:ser>
        <c:ser>
          <c:idx val="2"/>
          <c:order val="2"/>
          <c:tx>
            <c:strRef>
              <c:f>'2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6DC-49B7-A8A5-9D6E57C4221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3141968"/>
        <c:axId val="433141576"/>
      </c:lineChart>
      <c:catAx>
        <c:axId val="433141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41576"/>
        <c:crosses val="autoZero"/>
        <c:auto val="1"/>
        <c:lblAlgn val="ctr"/>
        <c:lblOffset val="100"/>
        <c:tickMarkSkip val="1"/>
        <c:noMultiLvlLbl val="0"/>
      </c:catAx>
      <c:valAx>
        <c:axId val="43314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4196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g +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CA-48B4-9B6A-954B40C5469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3CA-48B4-9B6A-954B40C5469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CA-48B4-9B6A-954B40C5469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3CA-48B4-9B6A-954B40C5469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g + ¬'!$G$59,'2 g + ¬'!$G$62,'2 g + ¬'!$G$66:$G$67,'2 g +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3CA-48B4-9B6A-954B40C5469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3142360"/>
        <c:axId val="433135696"/>
      </c:barChart>
      <c:catAx>
        <c:axId val="43314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35696"/>
        <c:crosses val="autoZero"/>
        <c:auto val="1"/>
        <c:lblAlgn val="ctr"/>
        <c:lblOffset val="100"/>
        <c:noMultiLvlLbl val="0"/>
      </c:catAx>
      <c:valAx>
        <c:axId val="4331356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3314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g +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g + ¬'!$H$81:$H$83</c:f>
              <c:numCache>
                <c:formatCode>General</c:formatCode>
                <c:ptCount val="3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17-450A-A283-F20960871EF1}"/>
            </c:ext>
          </c:extLst>
        </c:ser>
        <c:ser>
          <c:idx val="1"/>
          <c:order val="1"/>
          <c:tx>
            <c:strRef>
              <c:f>'2 g +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 mg ¬ '!$I$81:$I$83</c:f>
              <c:numCache>
                <c:formatCode>0.000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17-450A-A283-F20960871EF1}"/>
            </c:ext>
          </c:extLst>
        </c:ser>
        <c:ser>
          <c:idx val="2"/>
          <c:order val="2"/>
          <c:tx>
            <c:strRef>
              <c:f>'2 g +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g +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17-450A-A283-F20960871EF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3138048"/>
        <c:axId val="433136088"/>
      </c:lineChart>
      <c:catAx>
        <c:axId val="43313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36088"/>
        <c:crosses val="autoZero"/>
        <c:auto val="1"/>
        <c:lblAlgn val="ctr"/>
        <c:lblOffset val="100"/>
        <c:tickMarkSkip val="1"/>
        <c:noMultiLvlLbl val="0"/>
      </c:catAx>
      <c:valAx>
        <c:axId val="43313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380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2E9-46EE-BB0E-421B8AC9C0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2E9-46EE-BB0E-421B8AC9C0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2E9-46EE-BB0E-421B8AC9C0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2E9-46EE-BB0E-421B8AC9C0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 g ¬'!$G$59,'5 g ¬'!$G$62,'5 g ¬'!$G$66:$G$67,'5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E9-46EE-BB0E-421B8AC9C03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3139616"/>
        <c:axId val="433140008"/>
      </c:barChart>
      <c:catAx>
        <c:axId val="4331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3140008"/>
        <c:crosses val="autoZero"/>
        <c:auto val="1"/>
        <c:lblAlgn val="ctr"/>
        <c:lblOffset val="100"/>
        <c:noMultiLvlLbl val="0"/>
      </c:catAx>
      <c:valAx>
        <c:axId val="4331400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3313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 g ¬'!$H$81:$H$83</c:f>
              <c:numCache>
                <c:formatCode>General</c:formatCode>
                <c:ptCount val="3"/>
                <c:pt idx="0">
                  <c:v>0.16</c:v>
                </c:pt>
                <c:pt idx="1">
                  <c:v>0.16</c:v>
                </c:pt>
                <c:pt idx="2">
                  <c:v>0.16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1F-4C98-8DFF-C7D835B785E4}"/>
            </c:ext>
          </c:extLst>
        </c:ser>
        <c:ser>
          <c:idx val="1"/>
          <c:order val="1"/>
          <c:tx>
            <c:strRef>
              <c:f>'5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 g ¬'!$I$81:$I$83</c:f>
              <c:numCache>
                <c:formatCode>General</c:formatCode>
                <c:ptCount val="3"/>
                <c:pt idx="0">
                  <c:v>-0.16</c:v>
                </c:pt>
                <c:pt idx="1">
                  <c:v>-0.16</c:v>
                </c:pt>
                <c:pt idx="2">
                  <c:v>-0.16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1F-4C98-8DFF-C7D835B785E4}"/>
            </c:ext>
          </c:extLst>
        </c:ser>
        <c:ser>
          <c:idx val="2"/>
          <c:order val="2"/>
          <c:tx>
            <c:strRef>
              <c:f>'5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1F-4C98-8DFF-C7D835B785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28984"/>
        <c:axId val="337130944"/>
      </c:lineChart>
      <c:catAx>
        <c:axId val="337128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0944"/>
        <c:crosses val="autoZero"/>
        <c:auto val="1"/>
        <c:lblAlgn val="ctr"/>
        <c:lblOffset val="100"/>
        <c:tickMarkSkip val="1"/>
        <c:noMultiLvlLbl val="0"/>
      </c:catAx>
      <c:valAx>
        <c:axId val="3371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2898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D94-421F-8FB2-B957C16C0BB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D94-421F-8FB2-B957C16C0B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D94-421F-8FB2-B957C16C0B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D94-421F-8FB2-B957C16C0BB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('10 g ¬'!$G$59,'10 g ¬'!$G$62,'10 g ¬'!$G$66:$G$67,'10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94-421F-8FB2-B957C16C0BB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38392"/>
        <c:axId val="337138000"/>
      </c:barChart>
      <c:catAx>
        <c:axId val="33713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8000"/>
        <c:crosses val="autoZero"/>
        <c:auto val="1"/>
        <c:lblAlgn val="ctr"/>
        <c:lblOffset val="100"/>
        <c:noMultiLvlLbl val="0"/>
      </c:catAx>
      <c:valAx>
        <c:axId val="3371380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3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'10 g ¬'!$H$81:$H$83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E7-4C00-B67A-D94E8E37C075}"/>
            </c:ext>
          </c:extLst>
        </c:ser>
        <c:ser>
          <c:idx val="1"/>
          <c:order val="1"/>
          <c:tx>
            <c:strRef>
              <c:f>'10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'10 g ¬'!$I$81:$I$83</c:f>
              <c:numCache>
                <c:formatCode>0.00</c:formatCode>
                <c:ptCount val="3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E7-4C00-B67A-D94E8E37C075}"/>
            </c:ext>
          </c:extLst>
        </c:ser>
        <c:ser>
          <c:idx val="2"/>
          <c:order val="2"/>
          <c:tx>
            <c:strRef>
              <c:f>'10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'10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E7-4C00-B67A-D94E8E37C07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31728"/>
        <c:axId val="337137608"/>
      </c:lineChart>
      <c:catAx>
        <c:axId val="337131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7608"/>
        <c:crosses val="autoZero"/>
        <c:auto val="1"/>
        <c:lblAlgn val="ctr"/>
        <c:lblOffset val="100"/>
        <c:tickMarkSkip val="1"/>
        <c:noMultiLvlLbl val="0"/>
      </c:catAx>
      <c:valAx>
        <c:axId val="33713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172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hr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¬'!$A$168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¬'!$F$168:$F$170</c:f>
              <c:numCache>
                <c:formatCode>General</c:formatCode>
                <c:ptCount val="3"/>
                <c:pt idx="0">
                  <c:v>32.9</c:v>
                </c:pt>
                <c:pt idx="1">
                  <c:v>55.6</c:v>
                </c:pt>
                <c:pt idx="2" formatCode="0.0">
                  <c:v>79</c:v>
                </c:pt>
              </c:numCache>
            </c:numRef>
          </c:xVal>
          <c:yVal>
            <c:numRef>
              <c:f>'DATOS ¬'!$H$168:$H$170</c:f>
              <c:numCache>
                <c:formatCode>General</c:formatCode>
                <c:ptCount val="3"/>
                <c:pt idx="0">
                  <c:v>-2.9</c:v>
                </c:pt>
                <c:pt idx="1">
                  <c:v>-0.6</c:v>
                </c:pt>
                <c:pt idx="2">
                  <c:v>1.9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21-46FF-A296-53657ADB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3008"/>
        <c:axId val="414162616"/>
      </c:scatterChart>
      <c:valAx>
        <c:axId val="414163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2616"/>
        <c:crosses val="autoZero"/>
        <c:crossBetween val="midCat"/>
      </c:valAx>
      <c:valAx>
        <c:axId val="41416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3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06-4F16-AB4D-01339D31BAE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06-4F16-AB4D-01339D31BAE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606-4F16-AB4D-01339D31BAE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606-4F16-AB4D-01339D31BA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 g ¬'!$G$59,'20 g ¬'!$G$62,'20 g ¬'!$G$66:$G$67,'20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06-4F16-AB4D-01339D31BAE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39176"/>
        <c:axId val="337132904"/>
      </c:barChart>
      <c:catAx>
        <c:axId val="337139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2904"/>
        <c:crosses val="autoZero"/>
        <c:auto val="1"/>
        <c:lblAlgn val="ctr"/>
        <c:lblOffset val="100"/>
        <c:noMultiLvlLbl val="0"/>
      </c:catAx>
      <c:valAx>
        <c:axId val="33713290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39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 g ¬'!$H$81:$H$83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14-4C09-A9A6-4E19CC2A4F10}"/>
            </c:ext>
          </c:extLst>
        </c:ser>
        <c:ser>
          <c:idx val="1"/>
          <c:order val="1"/>
          <c:tx>
            <c:strRef>
              <c:f>'20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 g ¬'!$I$81:$I$83</c:f>
              <c:numCache>
                <c:formatCode>General</c:formatCode>
                <c:ptCount val="3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14-4C09-A9A6-4E19CC2A4F10}"/>
            </c:ext>
          </c:extLst>
        </c:ser>
        <c:ser>
          <c:idx val="2"/>
          <c:order val="2"/>
          <c:tx>
            <c:strRef>
              <c:f>'20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14-4C09-A9A6-4E19CC2A4F1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39960"/>
        <c:axId val="337128592"/>
      </c:lineChart>
      <c:catAx>
        <c:axId val="337139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28592"/>
        <c:crosses val="autoZero"/>
        <c:auto val="1"/>
        <c:lblAlgn val="ctr"/>
        <c:lblOffset val="100"/>
        <c:tickMarkSkip val="1"/>
        <c:noMultiLvlLbl val="0"/>
      </c:catAx>
      <c:valAx>
        <c:axId val="33712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996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g +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9BF-4569-B7E7-12C9FF20A6F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9BF-4569-B7E7-12C9FF20A6F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9BF-4569-B7E7-12C9FF20A6F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9BF-4569-B7E7-12C9FF20A6F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 g + ¬'!$G$59,'20 g + ¬'!$G$62,'20 g + ¬'!$G$66:$G$67,'20 g +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BF-4569-B7E7-12C9FF20A6F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33296"/>
        <c:axId val="337134472"/>
      </c:barChart>
      <c:catAx>
        <c:axId val="33713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4472"/>
        <c:crosses val="autoZero"/>
        <c:auto val="1"/>
        <c:lblAlgn val="ctr"/>
        <c:lblOffset val="100"/>
        <c:noMultiLvlLbl val="0"/>
      </c:catAx>
      <c:valAx>
        <c:axId val="33713447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3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 g +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 g + ¬'!$H$81:$H$83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C9-4BE9-8D87-A10BFA698B80}"/>
            </c:ext>
          </c:extLst>
        </c:ser>
        <c:ser>
          <c:idx val="1"/>
          <c:order val="1"/>
          <c:tx>
            <c:strRef>
              <c:f>'20 g +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 g + ¬'!$I$81:$I$83</c:f>
              <c:numCache>
                <c:formatCode>General</c:formatCode>
                <c:ptCount val="3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C9-4BE9-8D87-A10BFA698B80}"/>
            </c:ext>
          </c:extLst>
        </c:ser>
        <c:ser>
          <c:idx val="2"/>
          <c:order val="2"/>
          <c:tx>
            <c:strRef>
              <c:f>'20 g +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 g +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C9-4BE9-8D87-A10BFA698B8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29768"/>
        <c:axId val="337134864"/>
      </c:lineChart>
      <c:catAx>
        <c:axId val="33712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4864"/>
        <c:crosses val="autoZero"/>
        <c:auto val="1"/>
        <c:lblAlgn val="ctr"/>
        <c:lblOffset val="100"/>
        <c:tickMarkSkip val="1"/>
        <c:noMultiLvlLbl val="0"/>
      </c:catAx>
      <c:valAx>
        <c:axId val="3371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2976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554-4A2D-B028-F308D8E55A0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554-4A2D-B028-F308D8E55A0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554-4A2D-B028-F308D8E55A0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554-4A2D-B028-F308D8E55A0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('50 g ¬'!$G$59,'50 g ¬'!$G$62,'50 g ¬'!$G$66:$G$67,'50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554-4A2D-B028-F308D8E55A0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34080"/>
        <c:axId val="337135648"/>
      </c:barChart>
      <c:catAx>
        <c:axId val="3371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5648"/>
        <c:crosses val="autoZero"/>
        <c:auto val="1"/>
        <c:lblAlgn val="ctr"/>
        <c:lblOffset val="100"/>
        <c:noMultiLvlLbl val="0"/>
      </c:catAx>
      <c:valAx>
        <c:axId val="3371356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3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'50 g ¬'!$H$81:$H$83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11-47B2-95EB-6198BEE596CC}"/>
            </c:ext>
          </c:extLst>
        </c:ser>
        <c:ser>
          <c:idx val="1"/>
          <c:order val="1"/>
          <c:tx>
            <c:strRef>
              <c:f>'50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'50 g ¬'!$I$81:$I$83</c:f>
              <c:numCache>
                <c:formatCode>General</c:formatCode>
                <c:ptCount val="3"/>
                <c:pt idx="0">
                  <c:v>-0.3</c:v>
                </c:pt>
                <c:pt idx="1">
                  <c:v>-0.3</c:v>
                </c:pt>
                <c:pt idx="2">
                  <c:v>-0.3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11-47B2-95EB-6198BEE596CC}"/>
            </c:ext>
          </c:extLst>
        </c:ser>
        <c:ser>
          <c:idx val="2"/>
          <c:order val="2"/>
          <c:tx>
            <c:strRef>
              <c:f>'50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'50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11-47B2-95EB-6198BEE596C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32120"/>
        <c:axId val="337136432"/>
      </c:lineChart>
      <c:catAx>
        <c:axId val="337132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6432"/>
        <c:crosses val="autoZero"/>
        <c:auto val="1"/>
        <c:lblAlgn val="ctr"/>
        <c:lblOffset val="100"/>
        <c:tickMarkSkip val="1"/>
        <c:noMultiLvlLbl val="0"/>
      </c:catAx>
      <c:valAx>
        <c:axId val="33713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3212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ED4-4596-8287-9A93B7C3811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ED4-4596-8287-9A93B7C3811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ED4-4596-8287-9A93B7C3811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ED4-4596-8287-9A93B7C3811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('100 g ¬'!$G$59,'100 g ¬'!$G$62,'100 g ¬'!$G$66:$G$67,'100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ED4-4596-8287-9A93B7C3811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42704"/>
        <c:axId val="337142312"/>
      </c:barChart>
      <c:catAx>
        <c:axId val="3371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42312"/>
        <c:crosses val="autoZero"/>
        <c:auto val="1"/>
        <c:lblAlgn val="ctr"/>
        <c:lblOffset val="100"/>
        <c:noMultiLvlLbl val="0"/>
      </c:catAx>
      <c:valAx>
        <c:axId val="33714231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'100 g ¬'!$H$81:$H$83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91-4D4B-B129-9D47A22F260F}"/>
            </c:ext>
          </c:extLst>
        </c:ser>
        <c:ser>
          <c:idx val="1"/>
          <c:order val="1"/>
          <c:tx>
            <c:strRef>
              <c:f>'100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'100 g ¬'!$I$81:$I$83</c:f>
              <c:numCache>
                <c:formatCode>General</c:formatCode>
                <c:ptCount val="3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91-4D4B-B129-9D47A22F260F}"/>
            </c:ext>
          </c:extLst>
        </c:ser>
        <c:ser>
          <c:idx val="2"/>
          <c:order val="2"/>
          <c:tx>
            <c:strRef>
              <c:f>'100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'100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91-4D4B-B129-9D47A22F260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143096"/>
        <c:axId val="337140744"/>
      </c:lineChart>
      <c:catAx>
        <c:axId val="337143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40744"/>
        <c:crosses val="autoZero"/>
        <c:auto val="1"/>
        <c:lblAlgn val="ctr"/>
        <c:lblOffset val="100"/>
        <c:tickMarkSkip val="1"/>
        <c:noMultiLvlLbl val="0"/>
      </c:catAx>
      <c:valAx>
        <c:axId val="33714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4309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8C-4FC2-A12F-86B80C8ACA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28C-4FC2-A12F-86B80C8ACA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8C-4FC2-A12F-86B80C8ACA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28C-4FC2-A12F-86B80C8ACA8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('200 g ¬'!$G$59,'200 g ¬'!$G$62,'200 g ¬'!$G$66:$G$67,'200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8C-4FC2-A12F-86B80C8ACA8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37141920"/>
        <c:axId val="337141528"/>
      </c:barChart>
      <c:catAx>
        <c:axId val="3371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7141528"/>
        <c:crosses val="autoZero"/>
        <c:auto val="1"/>
        <c:lblAlgn val="ctr"/>
        <c:lblOffset val="100"/>
        <c:noMultiLvlLbl val="0"/>
      </c:catAx>
      <c:valAx>
        <c:axId val="337141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371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'200 g ¬'!$H$81:$H$83</c:f>
              <c:numCache>
                <c:formatCode>0.0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20-4B33-B068-6F0933921B2A}"/>
            </c:ext>
          </c:extLst>
        </c:ser>
        <c:ser>
          <c:idx val="1"/>
          <c:order val="1"/>
          <c:tx>
            <c:strRef>
              <c:f>'200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'200 g ¬'!$I$81:$I$83</c:f>
              <c:numCache>
                <c:formatCode>0.0</c:formatCode>
                <c:ptCount val="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20-4B33-B068-6F0933921B2A}"/>
            </c:ext>
          </c:extLst>
        </c:ser>
        <c:ser>
          <c:idx val="2"/>
          <c:order val="2"/>
          <c:tx>
            <c:strRef>
              <c:f>'200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'200 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20-4B33-B068-6F0933921B2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205864"/>
        <c:axId val="444203904"/>
      </c:lineChart>
      <c:catAx>
        <c:axId val="444205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3904"/>
        <c:crosses val="autoZero"/>
        <c:auto val="1"/>
        <c:lblAlgn val="ctr"/>
        <c:lblOffset val="100"/>
        <c:tickMarkSkip val="1"/>
        <c:noMultiLvlLbl val="0"/>
      </c:catAx>
      <c:valAx>
        <c:axId val="44420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586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¬'!$A$165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178014612986169"/>
                  <c:y val="-0.378198412599134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¬'!$F$165:$F$167</c:f>
              <c:numCache>
                <c:formatCode>0.0</c:formatCode>
                <c:ptCount val="3"/>
                <c:pt idx="0" formatCode="General">
                  <c:v>14.9</c:v>
                </c:pt>
                <c:pt idx="1">
                  <c:v>25</c:v>
                </c:pt>
                <c:pt idx="2">
                  <c:v>34.9</c:v>
                </c:pt>
              </c:numCache>
            </c:numRef>
          </c:xVal>
          <c:yVal>
            <c:numRef>
              <c:f>'DATOS ¬'!$H$165:$H$167</c:f>
              <c:numCache>
                <c:formatCode>0.0</c:formatCode>
                <c:ptCount val="3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2B-44E9-A020-57D5F3556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4184"/>
        <c:axId val="414161832"/>
      </c:scatterChart>
      <c:valAx>
        <c:axId val="41416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1832"/>
        <c:crosses val="autoZero"/>
        <c:crossBetween val="midCat"/>
      </c:valAx>
      <c:valAx>
        <c:axId val="41416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4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'200 g +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EE-4680-8CDB-FD864BD2B30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EE-4680-8CDB-FD864BD2B30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EE-4680-8CDB-FD864BD2B30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EE-4680-8CDB-FD864BD2B3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('200 g + ¬'!$G$59,'200 g + ¬'!$G$62,'200 g + ¬'!$G$66:$G$67,'200 g +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EE-4680-8CDB-FD864BD2B30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44196456"/>
        <c:axId val="444199592"/>
      </c:barChart>
      <c:catAx>
        <c:axId val="44419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9592"/>
        <c:crosses val="autoZero"/>
        <c:auto val="1"/>
        <c:lblAlgn val="ctr"/>
        <c:lblOffset val="100"/>
        <c:noMultiLvlLbl val="0"/>
      </c:catAx>
      <c:valAx>
        <c:axId val="44419959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196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'200 g +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'200 g + ¬'!$H$81:$H$83</c:f>
              <c:numCache>
                <c:formatCode>0.0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71-4BFD-9723-7F36640C22C6}"/>
            </c:ext>
          </c:extLst>
        </c:ser>
        <c:ser>
          <c:idx val="1"/>
          <c:order val="1"/>
          <c:tx>
            <c:strRef>
              <c:f>'200 g +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'200 g + ¬'!$I$81:$I$83</c:f>
              <c:numCache>
                <c:formatCode>0.0</c:formatCode>
                <c:ptCount val="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71-4BFD-9723-7F36640C22C6}"/>
            </c:ext>
          </c:extLst>
        </c:ser>
        <c:ser>
          <c:idx val="2"/>
          <c:order val="2"/>
          <c:tx>
            <c:strRef>
              <c:f>'200 g +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'200 g +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71-4BFD-9723-7F36640C22C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198416"/>
        <c:axId val="444199984"/>
      </c:lineChart>
      <c:catAx>
        <c:axId val="44419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9984"/>
        <c:crosses val="autoZero"/>
        <c:auto val="1"/>
        <c:lblAlgn val="ctr"/>
        <c:lblOffset val="100"/>
        <c:tickMarkSkip val="1"/>
        <c:noMultiLvlLbl val="0"/>
      </c:catAx>
      <c:valAx>
        <c:axId val="44419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841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'500 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92-447F-8510-90BACA648CB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C92-447F-8510-90BACA648CB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92-447F-8510-90BACA648CB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C92-447F-8510-90BACA648C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('500 g ¬'!$G$59,'500 g ¬'!$G$62,'500 g ¬'!$G$66:$G$67,'500 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92-447F-8510-90BACA648CB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44204296"/>
        <c:axId val="444205080"/>
      </c:barChart>
      <c:catAx>
        <c:axId val="444204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5080"/>
        <c:crosses val="autoZero"/>
        <c:auto val="1"/>
        <c:lblAlgn val="ctr"/>
        <c:lblOffset val="100"/>
        <c:noMultiLvlLbl val="0"/>
      </c:catAx>
      <c:valAx>
        <c:axId val="44420508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204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'500 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'500 g ¬'!$H$81:$H$83</c:f>
              <c:numCache>
                <c:formatCode>General</c:formatCode>
                <c:ptCount val="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B9-4073-B7D4-56E292253F07}"/>
            </c:ext>
          </c:extLst>
        </c:ser>
        <c:ser>
          <c:idx val="1"/>
          <c:order val="1"/>
          <c:tx>
            <c:strRef>
              <c:f>'500 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'500 g ¬'!$I$81:$I$83</c:f>
              <c:numCache>
                <c:formatCode>General</c:formatCode>
                <c:ptCount val="3"/>
                <c:pt idx="0">
                  <c:v>-2.5</c:v>
                </c:pt>
                <c:pt idx="1">
                  <c:v>-2.5</c:v>
                </c:pt>
                <c:pt idx="2">
                  <c:v>-2.5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B9-4073-B7D4-56E292253F07}"/>
            </c:ext>
          </c:extLst>
        </c:ser>
        <c:ser>
          <c:idx val="2"/>
          <c:order val="2"/>
          <c:tx>
            <c:strRef>
              <c:f>'500 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'500 g ¬'!$F$81:$F$83</c:f>
              <c:numCache>
                <c:formatCode>0.00</c:formatCode>
                <c:ptCount val="3"/>
                <c:pt idx="0" formatCode="0.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B9-4073-B7D4-56E292253F0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205472"/>
        <c:axId val="444202336"/>
      </c:lineChart>
      <c:catAx>
        <c:axId val="44420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2336"/>
        <c:crosses val="autoZero"/>
        <c:auto val="1"/>
        <c:lblAlgn val="ctr"/>
        <c:lblOffset val="100"/>
        <c:tickMarkSkip val="1"/>
        <c:noMultiLvlLbl val="0"/>
      </c:catAx>
      <c:valAx>
        <c:axId val="44420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5472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kg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027-4147-9C7D-E062E73C4E1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027-4147-9C7D-E062E73C4E1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027-4147-9C7D-E062E73C4E1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027-4147-9C7D-E062E73C4E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 kg ¬'!$G$59,'1 kg ¬'!$G$62,'1 kg ¬'!$G$66:$G$67,'1 kg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027-4147-9C7D-E062E73C4E1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44204688"/>
        <c:axId val="444200376"/>
      </c:barChart>
      <c:catAx>
        <c:axId val="44420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0376"/>
        <c:crosses val="autoZero"/>
        <c:auto val="1"/>
        <c:lblAlgn val="ctr"/>
        <c:lblOffset val="100"/>
        <c:noMultiLvlLbl val="0"/>
      </c:catAx>
      <c:valAx>
        <c:axId val="44420037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20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kg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 kg ¬'!$H$81:$H$83</c:f>
              <c:numCache>
                <c:formatCode>0.0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74-491B-BAFB-C1E40DA3FBFA}"/>
            </c:ext>
          </c:extLst>
        </c:ser>
        <c:ser>
          <c:idx val="1"/>
          <c:order val="1"/>
          <c:tx>
            <c:strRef>
              <c:f>'1 kg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 kg ¬'!$I$81:$I$83</c:f>
              <c:numCache>
                <c:formatCode>0.0</c:formatCode>
                <c:ptCount val="3"/>
                <c:pt idx="0">
                  <c:v>-5</c:v>
                </c:pt>
                <c:pt idx="1">
                  <c:v>-5</c:v>
                </c:pt>
                <c:pt idx="2">
                  <c:v>-5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74-491B-BAFB-C1E40DA3FBFA}"/>
            </c:ext>
          </c:extLst>
        </c:ser>
        <c:ser>
          <c:idx val="2"/>
          <c:order val="2"/>
          <c:tx>
            <c:strRef>
              <c:f>'1 kg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 kg ¬'!$F$81:$F$83</c:f>
              <c:numCache>
                <c:formatCode>0.00</c:formatCode>
                <c:ptCount val="3"/>
                <c:pt idx="0" formatCode="0.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74-491B-BAFB-C1E40DA3FB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196064"/>
        <c:axId val="444203512"/>
      </c:lineChart>
      <c:catAx>
        <c:axId val="444196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3512"/>
        <c:crosses val="autoZero"/>
        <c:auto val="1"/>
        <c:lblAlgn val="ctr"/>
        <c:lblOffset val="100"/>
        <c:tickMarkSkip val="1"/>
        <c:noMultiLvlLbl val="0"/>
      </c:catAx>
      <c:valAx>
        <c:axId val="44420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606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kg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kg ¬'!$G$59,'2 kg ¬'!$G$66,'2 kg ¬'!$G$66:$G$68)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1E-4633-91FB-F523A927467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44196848"/>
        <c:axId val="444197632"/>
      </c:barChart>
      <c:catAx>
        <c:axId val="44419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7632"/>
        <c:crosses val="autoZero"/>
        <c:auto val="1"/>
        <c:lblAlgn val="ctr"/>
        <c:lblOffset val="100"/>
        <c:noMultiLvlLbl val="0"/>
      </c:catAx>
      <c:valAx>
        <c:axId val="4441976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19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kg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kg ¬'!$H$81:$H$83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C3-4B64-BB1C-7DA05CDB3528}"/>
            </c:ext>
          </c:extLst>
        </c:ser>
        <c:ser>
          <c:idx val="1"/>
          <c:order val="1"/>
          <c:tx>
            <c:strRef>
              <c:f>'2 kg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 kg ¬'!$I$81:$I$83</c:f>
              <c:numCache>
                <c:formatCode>General</c:formatCode>
                <c:ptCount val="3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C3-4B64-BB1C-7DA05CDB3528}"/>
            </c:ext>
          </c:extLst>
        </c:ser>
        <c:ser>
          <c:idx val="2"/>
          <c:order val="2"/>
          <c:tx>
            <c:strRef>
              <c:f>'2 kg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kg ¬'!$F$81:$F$83</c:f>
              <c:numCache>
                <c:formatCode>0.00</c:formatCode>
                <c:ptCount val="3"/>
                <c:pt idx="0" formatCode="0.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C3-4B64-BB1C-7DA05CDB352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198808"/>
        <c:axId val="444199200"/>
      </c:lineChart>
      <c:catAx>
        <c:axId val="444198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9200"/>
        <c:crosses val="autoZero"/>
        <c:auto val="1"/>
        <c:lblAlgn val="ctr"/>
        <c:lblOffset val="100"/>
        <c:tickMarkSkip val="1"/>
        <c:noMultiLvlLbl val="0"/>
      </c:catAx>
      <c:valAx>
        <c:axId val="44419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19880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kg +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550-4B3B-8FAC-BB773CF42F3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550-4B3B-8FAC-BB773CF42F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50-4B3B-8FAC-BB773CF42F3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550-4B3B-8FAC-BB773CF42F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 kg + ¬'!$G$59,'2 kg + ¬'!$G$62,'2 kg + ¬'!$G$66:$G$67,'2 kg +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550-4B3B-8FAC-BB773CF42F3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44210568"/>
        <c:axId val="444209000"/>
      </c:barChart>
      <c:catAx>
        <c:axId val="44421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9000"/>
        <c:crosses val="autoZero"/>
        <c:auto val="1"/>
        <c:lblAlgn val="ctr"/>
        <c:lblOffset val="100"/>
        <c:noMultiLvlLbl val="0"/>
      </c:catAx>
      <c:valAx>
        <c:axId val="44420900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4421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 kg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 kg ¬'!$H$81:$H$83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84-4614-8DFD-B509BE3EE262}"/>
            </c:ext>
          </c:extLst>
        </c:ser>
        <c:ser>
          <c:idx val="1"/>
          <c:order val="1"/>
          <c:tx>
            <c:strRef>
              <c:f>'2 kg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 kg ¬'!$I$81:$I$83</c:f>
              <c:numCache>
                <c:formatCode>General</c:formatCode>
                <c:ptCount val="3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84-4614-8DFD-B509BE3EE262}"/>
            </c:ext>
          </c:extLst>
        </c:ser>
        <c:ser>
          <c:idx val="2"/>
          <c:order val="2"/>
          <c:tx>
            <c:strRef>
              <c:f>'2 kg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 kg ¬'!$F$81:$F$83</c:f>
              <c:numCache>
                <c:formatCode>0.00</c:formatCode>
                <c:ptCount val="3"/>
                <c:pt idx="0" formatCode="0.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84-4614-8DFD-B509BE3EE26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4208216"/>
        <c:axId val="444209784"/>
      </c:lineChart>
      <c:catAx>
        <c:axId val="444208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9784"/>
        <c:crosses val="autoZero"/>
        <c:auto val="1"/>
        <c:lblAlgn val="ctr"/>
        <c:lblOffset val="100"/>
        <c:tickMarkSkip val="1"/>
        <c:noMultiLvlLbl val="0"/>
      </c:catAx>
      <c:valAx>
        <c:axId val="444209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420821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°C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¬'!$A$176</c:f>
              <c:strCache>
                <c:ptCount val="1"/>
                <c:pt idx="0">
                  <c:v>Temperatura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318142375060259"/>
                  <c:y val="-0.534229857631432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¬'!$F$176:$F$178</c:f>
              <c:numCache>
                <c:formatCode>0.0</c:formatCode>
                <c:ptCount val="3"/>
                <c:pt idx="0" formatCode="General">
                  <c:v>14.9</c:v>
                </c:pt>
                <c:pt idx="1">
                  <c:v>24.9</c:v>
                </c:pt>
                <c:pt idx="2">
                  <c:v>34.9</c:v>
                </c:pt>
              </c:numCache>
            </c:numRef>
          </c:xVal>
          <c:yVal>
            <c:numRef>
              <c:f>'DATOS ¬'!$H$176:$H$178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DD-4F36-BFC0-C819B78B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1048"/>
        <c:axId val="414165360"/>
      </c:scatterChart>
      <c:valAx>
        <c:axId val="414161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5360"/>
        <c:crosses val="autoZero"/>
        <c:crossBetween val="midCat"/>
      </c:valAx>
      <c:valAx>
        <c:axId val="41416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1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kg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649-438D-8B4D-F4C4EACC4C3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49-438D-8B4D-F4C4EACC4C3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49-438D-8B4D-F4C4EACC4C3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49-438D-8B4D-F4C4EACC4C3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('5 kg ¬'!$A$59,'5 kg ¬'!$A$62,'5 kg ¬'!$A$66:$A$68)</c:f>
              <c:strCache>
                <c:ptCount val="5"/>
                <c:pt idx="0">
                  <c:v>Proceso de pesaje</c:v>
                </c:pt>
                <c:pt idx="1">
                  <c:v>Pesa de referencia</c:v>
                </c:pt>
                <c:pt idx="2">
                  <c:v>Corrección por empuje del aire</c:v>
                </c:pt>
                <c:pt idx="3">
                  <c:v>Resolución balanza</c:v>
                </c:pt>
                <c:pt idx="4">
                  <c:v>Incertidumbre por repetibilidad del método</c:v>
                </c:pt>
              </c:strCache>
            </c:strRef>
          </c:cat>
          <c:val>
            <c:numRef>
              <c:f>('5 kg ¬'!$G$59,'5 kg ¬'!$G$62,'5 kg ¬'!$G$66:$G$67,'5 kg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649-438D-8B4D-F4C4EACC4C3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50729952"/>
        <c:axId val="450731912"/>
      </c:barChart>
      <c:catAx>
        <c:axId val="4507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1912"/>
        <c:crosses val="autoZero"/>
        <c:auto val="1"/>
        <c:lblAlgn val="ctr"/>
        <c:lblOffset val="100"/>
        <c:noMultiLvlLbl val="0"/>
      </c:catAx>
      <c:valAx>
        <c:axId val="45073191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5072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 kg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'5 kg ¬'!$H$81:$H$83</c:f>
              <c:numCache>
                <c:formatCode>General</c:formatCode>
                <c:ptCount val="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52-48DA-B7E4-32F262BAD3E5}"/>
            </c:ext>
          </c:extLst>
        </c:ser>
        <c:ser>
          <c:idx val="1"/>
          <c:order val="1"/>
          <c:tx>
            <c:strRef>
              <c:f>'5 kg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'5 kg ¬'!$I$81:$I$83</c:f>
              <c:numCache>
                <c:formatCode>General</c:formatCode>
                <c:ptCount val="3"/>
                <c:pt idx="0">
                  <c:v>-25</c:v>
                </c:pt>
                <c:pt idx="1">
                  <c:v>-25</c:v>
                </c:pt>
                <c:pt idx="2">
                  <c:v>-25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52-48DA-B7E4-32F262BAD3E5}"/>
            </c:ext>
          </c:extLst>
        </c:ser>
        <c:ser>
          <c:idx val="2"/>
          <c:order val="2"/>
          <c:tx>
            <c:strRef>
              <c:f>'5 kg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'5 kg ¬'!$F$81:$F$83</c:f>
              <c:numCache>
                <c:formatCode>0.00</c:formatCode>
                <c:ptCount val="3"/>
                <c:pt idx="0" formatCode="0.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52-48DA-B7E4-32F262BAD3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737400"/>
        <c:axId val="450730736"/>
      </c:lineChart>
      <c:catAx>
        <c:axId val="450737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0736"/>
        <c:crosses val="autoZero"/>
        <c:auto val="1"/>
        <c:lblAlgn val="ctr"/>
        <c:lblOffset val="100"/>
        <c:tickMarkSkip val="1"/>
        <c:noMultiLvlLbl val="0"/>
      </c:catAx>
      <c:valAx>
        <c:axId val="45073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7400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 kg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420-4CE4-B224-F7464E857A3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20-4CE4-B224-F7464E857A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420-4CE4-B224-F7464E857A3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20-4CE4-B224-F7464E857A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('10 kg ¬'!$G$59,'10 kg ¬'!$G$62,'10 kg ¬'!$G$66:$G$67,'10 kg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20-4CE4-B224-F7464E857A3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50733872"/>
        <c:axId val="450730344"/>
      </c:barChart>
      <c:catAx>
        <c:axId val="45073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0344"/>
        <c:crosses val="autoZero"/>
        <c:auto val="1"/>
        <c:lblAlgn val="ctr"/>
        <c:lblOffset val="100"/>
        <c:noMultiLvlLbl val="0"/>
      </c:catAx>
      <c:valAx>
        <c:axId val="45073034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50733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 kg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'10 kg ¬'!$H$81:$H$83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07-46CD-B897-7FF750EB2A55}"/>
            </c:ext>
          </c:extLst>
        </c:ser>
        <c:ser>
          <c:idx val="1"/>
          <c:order val="1"/>
          <c:tx>
            <c:strRef>
              <c:f>'10 kg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'10 kg ¬'!$I$81:$I$83</c:f>
              <c:numCache>
                <c:formatCode>General</c:formatCode>
                <c:ptCount val="3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07-46CD-B897-7FF750EB2A55}"/>
            </c:ext>
          </c:extLst>
        </c:ser>
        <c:ser>
          <c:idx val="2"/>
          <c:order val="2"/>
          <c:tx>
            <c:strRef>
              <c:f>'10 kg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'10 kg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807-46CD-B897-7FF750EB2A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732304"/>
        <c:axId val="450731520"/>
      </c:lineChart>
      <c:catAx>
        <c:axId val="45073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1520"/>
        <c:crosses val="autoZero"/>
        <c:auto val="1"/>
        <c:lblAlgn val="ctr"/>
        <c:lblOffset val="100"/>
        <c:tickMarkSkip val="1"/>
        <c:noMultiLvlLbl val="0"/>
      </c:catAx>
      <c:valAx>
        <c:axId val="4507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230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357740024810813"/>
          <c:y val="1.4501507814257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 kg ¬ 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41-49B4-A9AC-F6A9CD22130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41-49B4-A9AC-F6A9CD22130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541-49B4-A9AC-F6A9CD22130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41-49B4-A9AC-F6A9CD22130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('20 kg ¬ '!$G$59,'20 kg ¬ '!$G$62,'20 kg ¬ '!$G$66:$G$67,'20 kg ¬ 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541-49B4-A9AC-F6A9CD22130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50733480"/>
        <c:axId val="450734264"/>
      </c:barChart>
      <c:catAx>
        <c:axId val="45073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4264"/>
        <c:crosses val="autoZero"/>
        <c:auto val="1"/>
        <c:lblAlgn val="ctr"/>
        <c:lblOffset val="100"/>
        <c:noMultiLvlLbl val="0"/>
      </c:catAx>
      <c:valAx>
        <c:axId val="45073426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50733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 kg ¬ 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'20 kg ¬ '!$H$81:$H$83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C1-41B1-B448-63B6A1331E88}"/>
            </c:ext>
          </c:extLst>
        </c:ser>
        <c:ser>
          <c:idx val="1"/>
          <c:order val="1"/>
          <c:tx>
            <c:strRef>
              <c:f>'20 kg ¬ 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'20 kg ¬ '!$I$81:$I$83</c:f>
              <c:numCache>
                <c:formatCode>General</c:formatCode>
                <c:ptCount val="3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C1-41B1-B448-63B6A1331E88}"/>
            </c:ext>
          </c:extLst>
        </c:ser>
        <c:ser>
          <c:idx val="2"/>
          <c:order val="2"/>
          <c:tx>
            <c:strRef>
              <c:f>'20 kg ¬ 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'20 kg ¬ 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C1-41B1-B448-63B6A1331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738184"/>
        <c:axId val="450740144"/>
      </c:lineChart>
      <c:catAx>
        <c:axId val="450738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40144"/>
        <c:crosses val="autoZero"/>
        <c:auto val="1"/>
        <c:lblAlgn val="ctr"/>
        <c:lblOffset val="100"/>
        <c:tickMarkSkip val="1"/>
        <c:noMultiLvlLbl val="0"/>
      </c:catAx>
      <c:valAx>
        <c:axId val="45074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8184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'RT03-F 23  ¬'!$G$58</c:f>
              <c:strCache>
                <c:ptCount val="1"/>
                <c:pt idx="0">
                  <c:v>Aporte a la Incertidumbre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5.8076231684837075E-3"/>
                  <c:y val="-1.08804581245559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3BC-4998-B8DF-434B17E701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240515390121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3BC-4998-B8DF-434B17E7015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9.45448818897637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3BC-4998-B8DF-434B17E7015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2.3204008589834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3BC-4998-B8DF-434B17E701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('RT03-F 23  ¬'!$G$59,'RT03-F 23  ¬'!$G$62,'RT03-F 23  ¬'!$G$66:$G$67,'RT03-F 23  ¬'!$G$68)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BC-4998-B8DF-434B17E7015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(#REF!,#REF!,#REF!)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50738576"/>
        <c:axId val="450736224"/>
      </c:barChart>
      <c:catAx>
        <c:axId val="45073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6224"/>
        <c:crosses val="autoZero"/>
        <c:auto val="1"/>
        <c:lblAlgn val="ctr"/>
        <c:lblOffset val="100"/>
        <c:noMultiLvlLbl val="0"/>
      </c:catAx>
      <c:valAx>
        <c:axId val="4507362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5073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40000"/>
        <a:lumOff val="60000"/>
      </a:schemeClr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Grafico</a:t>
            </a:r>
            <a:r>
              <a:rPr lang="es-CO" baseline="0"/>
              <a:t> de control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'RT03-F 23  ¬'!$H$80</c:f>
              <c:strCache>
                <c:ptCount val="1"/>
                <c:pt idx="0">
                  <c:v>EMP +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3"/>
              <c:pt idx="0">
                <c:v>0.1</c:v>
              </c:pt>
              <c:pt idx="1">
                <c:v>0.1</c:v>
              </c:pt>
              <c:pt idx="2">
                <c:v>0.1</c:v>
              </c:pt>
            </c:numLit>
          </c:cat>
          <c:val>
            <c:numRef>
              <c:f>'RT03-F 23  ¬'!$H$81:$H$83</c:f>
              <c:numCache>
                <c:formatCode>General</c:formatCode>
                <c:ptCount val="3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41-443A-80B4-B56F6AEAB007}"/>
            </c:ext>
          </c:extLst>
        </c:ser>
        <c:ser>
          <c:idx val="1"/>
          <c:order val="1"/>
          <c:tx>
            <c:strRef>
              <c:f>'RT03-F 23  ¬'!$I$80</c:f>
              <c:strCache>
                <c:ptCount val="1"/>
                <c:pt idx="0">
                  <c:v>EMP -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Lit>
              <c:formatCode>#.000</c:formatCode>
              <c:ptCount val="1"/>
              <c:pt idx="0">
                <c:v>#N/A</c:v>
              </c:pt>
            </c:numLit>
          </c:cat>
          <c:val>
            <c:numRef>
              <c:f>'RT03-F 23  ¬'!$I$81:$I$83</c:f>
              <c:numCache>
                <c:formatCode>General</c:formatCode>
                <c:ptCount val="3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41-443A-80B4-B56F6AEAB007}"/>
            </c:ext>
          </c:extLst>
        </c:ser>
        <c:ser>
          <c:idx val="2"/>
          <c:order val="2"/>
          <c:tx>
            <c:strRef>
              <c:f>'RT03-F 23  ¬'!$F$80</c:f>
              <c:strCache>
                <c:ptCount val="1"/>
                <c:pt idx="0">
                  <c:v>Valor Indicado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</c:v>
                </c:pt>
              </c:numLit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'RT03-F 23  ¬'!$F$81:$F$83</c:f>
              <c:numCache>
                <c:formatCode>0.00</c:formatCode>
                <c:ptCount val="3"/>
                <c:pt idx="0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41-443A-80B4-B56F6AEAB00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0736616"/>
        <c:axId val="450738968"/>
      </c:lineChart>
      <c:catAx>
        <c:axId val="450736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.00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8968"/>
        <c:crosses val="autoZero"/>
        <c:auto val="1"/>
        <c:lblAlgn val="ctr"/>
        <c:lblOffset val="100"/>
        <c:tickMarkSkip val="1"/>
        <c:noMultiLvlLbl val="0"/>
      </c:catAx>
      <c:valAx>
        <c:axId val="450738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Error</a:t>
                </a:r>
                <a:r>
                  <a:rPr lang="en-US" baseline="0"/>
                  <a:t> ± 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3661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hr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¬'!$A$179</c:f>
              <c:strCache>
                <c:ptCount val="1"/>
                <c:pt idx="0">
                  <c:v>Humedad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344235107210112"/>
                  <c:y val="-0.46215928423106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¬'!$F$179:$F$181</c:f>
              <c:numCache>
                <c:formatCode>General</c:formatCode>
                <c:ptCount val="3"/>
                <c:pt idx="0">
                  <c:v>33.299999999999997</c:v>
                </c:pt>
                <c:pt idx="1">
                  <c:v>56.1</c:v>
                </c:pt>
                <c:pt idx="2" formatCode="0.0">
                  <c:v>82.1</c:v>
                </c:pt>
              </c:numCache>
            </c:numRef>
          </c:xVal>
          <c:yVal>
            <c:numRef>
              <c:f>'DATOS ¬'!$H$179:$H$181</c:f>
              <c:numCache>
                <c:formatCode>General</c:formatCode>
                <c:ptCount val="3"/>
                <c:pt idx="0">
                  <c:v>-3.3</c:v>
                </c:pt>
                <c:pt idx="1">
                  <c:v>-1.1000000000000001</c:v>
                </c:pt>
                <c:pt idx="2">
                  <c:v>-1.2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E9-4C75-BE60-27A91AA27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59872"/>
        <c:axId val="414163792"/>
      </c:scatterChart>
      <c:valAx>
        <c:axId val="41415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3792"/>
        <c:crosses val="autoZero"/>
        <c:crossBetween val="midCat"/>
      </c:valAx>
      <c:valAx>
        <c:axId val="41416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59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hPa</a:t>
            </a:r>
          </a:p>
        </c:rich>
      </c:tx>
      <c:layout>
        <c:manualLayout>
          <c:xMode val="edge"/>
          <c:yMode val="edge"/>
          <c:x val="6.0284908749499933E-2"/>
          <c:y val="6.7146282973621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'DATOS ¬'!$A$182</c:f>
              <c:strCache>
                <c:ptCount val="1"/>
                <c:pt idx="0">
                  <c:v>Presión Atmosférica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6441550862467911"/>
                  <c:y val="-0.55359730033745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'DATOS ¬'!$F$182:$F$184</c:f>
              <c:numCache>
                <c:formatCode>General</c:formatCode>
                <c:ptCount val="3"/>
                <c:pt idx="0" formatCode="0.000">
                  <c:v>399.84</c:v>
                </c:pt>
                <c:pt idx="1">
                  <c:v>752.29499999999996</c:v>
                </c:pt>
                <c:pt idx="2" formatCode="0.000">
                  <c:v>999.72299999999996</c:v>
                </c:pt>
              </c:numCache>
            </c:numRef>
          </c:xVal>
          <c:yVal>
            <c:numRef>
              <c:f>'DATOS ¬'!$H$182:$H$184</c:f>
              <c:numCache>
                <c:formatCode>0.000</c:formatCode>
                <c:ptCount val="3"/>
                <c:pt idx="0" formatCode="General">
                  <c:v>1.6759999999999999</c:v>
                </c:pt>
                <c:pt idx="1">
                  <c:v>0.81399999999999995</c:v>
                </c:pt>
                <c:pt idx="2" formatCode="General">
                  <c:v>0.54900000000000004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67-4594-AAE3-A4A41078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4161440"/>
        <c:axId val="414165752"/>
      </c:scatterChart>
      <c:valAx>
        <c:axId val="41416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5752"/>
        <c:crosses val="autoZero"/>
        <c:crossBetween val="midCat"/>
      </c:valAx>
      <c:valAx>
        <c:axId val="41416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4161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79750</xdr:colOff>
      <xdr:row>190</xdr:row>
      <xdr:rowOff>76200</xdr:rowOff>
    </xdr:from>
    <xdr:to>
      <xdr:col>14</xdr:col>
      <xdr:colOff>1160416</xdr:colOff>
      <xdr:row>194</xdr:row>
      <xdr:rowOff>352200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291346</xdr:colOff>
      <xdr:row>190</xdr:row>
      <xdr:rowOff>92074</xdr:rowOff>
    </xdr:from>
    <xdr:to>
      <xdr:col>16</xdr:col>
      <xdr:colOff>1372013</xdr:colOff>
      <xdr:row>194</xdr:row>
      <xdr:rowOff>368074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244863</xdr:colOff>
      <xdr:row>190</xdr:row>
      <xdr:rowOff>69273</xdr:rowOff>
    </xdr:from>
    <xdr:to>
      <xdr:col>18</xdr:col>
      <xdr:colOff>1325530</xdr:colOff>
      <xdr:row>194</xdr:row>
      <xdr:rowOff>345273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301626</xdr:colOff>
      <xdr:row>168</xdr:row>
      <xdr:rowOff>-1</xdr:rowOff>
    </xdr:from>
    <xdr:to>
      <xdr:col>18</xdr:col>
      <xdr:colOff>1382293</xdr:colOff>
      <xdr:row>172</xdr:row>
      <xdr:rowOff>275999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359835</xdr:colOff>
      <xdr:row>168</xdr:row>
      <xdr:rowOff>100543</xdr:rowOff>
    </xdr:from>
    <xdr:to>
      <xdr:col>17</xdr:col>
      <xdr:colOff>1168</xdr:colOff>
      <xdr:row>172</xdr:row>
      <xdr:rowOff>376543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224518</xdr:colOff>
      <xdr:row>168</xdr:row>
      <xdr:rowOff>95250</xdr:rowOff>
    </xdr:from>
    <xdr:to>
      <xdr:col>14</xdr:col>
      <xdr:colOff>1305184</xdr:colOff>
      <xdr:row>172</xdr:row>
      <xdr:rowOff>371250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2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174624</xdr:colOff>
      <xdr:row>179</xdr:row>
      <xdr:rowOff>206378</xdr:rowOff>
    </xdr:from>
    <xdr:to>
      <xdr:col>14</xdr:col>
      <xdr:colOff>1255290</xdr:colOff>
      <xdr:row>183</xdr:row>
      <xdr:rowOff>101378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2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439512</xdr:colOff>
      <xdr:row>179</xdr:row>
      <xdr:rowOff>222254</xdr:rowOff>
    </xdr:from>
    <xdr:to>
      <xdr:col>17</xdr:col>
      <xdr:colOff>80845</xdr:colOff>
      <xdr:row>183</xdr:row>
      <xdr:rowOff>117254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387805</xdr:colOff>
      <xdr:row>179</xdr:row>
      <xdr:rowOff>264585</xdr:rowOff>
    </xdr:from>
    <xdr:to>
      <xdr:col>19</xdr:col>
      <xdr:colOff>29139</xdr:colOff>
      <xdr:row>183</xdr:row>
      <xdr:rowOff>159585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223611</xdr:colOff>
      <xdr:row>146</xdr:row>
      <xdr:rowOff>21161</xdr:rowOff>
    </xdr:from>
    <xdr:to>
      <xdr:col>14</xdr:col>
      <xdr:colOff>1304277</xdr:colOff>
      <xdr:row>150</xdr:row>
      <xdr:rowOff>297161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xmlns="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412625</xdr:colOff>
      <xdr:row>146</xdr:row>
      <xdr:rowOff>28377</xdr:rowOff>
    </xdr:from>
    <xdr:to>
      <xdr:col>17</xdr:col>
      <xdr:colOff>53958</xdr:colOff>
      <xdr:row>150</xdr:row>
      <xdr:rowOff>304377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2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349250</xdr:colOff>
      <xdr:row>146</xdr:row>
      <xdr:rowOff>37035</xdr:rowOff>
    </xdr:from>
    <xdr:to>
      <xdr:col>18</xdr:col>
      <xdr:colOff>1429917</xdr:colOff>
      <xdr:row>150</xdr:row>
      <xdr:rowOff>313035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2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349250</xdr:colOff>
      <xdr:row>157</xdr:row>
      <xdr:rowOff>37041</xdr:rowOff>
    </xdr:from>
    <xdr:to>
      <xdr:col>18</xdr:col>
      <xdr:colOff>1429917</xdr:colOff>
      <xdr:row>161</xdr:row>
      <xdr:rowOff>313041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412750</xdr:colOff>
      <xdr:row>157</xdr:row>
      <xdr:rowOff>0</xdr:rowOff>
    </xdr:from>
    <xdr:to>
      <xdr:col>17</xdr:col>
      <xdr:colOff>54083</xdr:colOff>
      <xdr:row>161</xdr:row>
      <xdr:rowOff>276000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xmlns="" id="{00000000-0008-0000-2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221795</xdr:colOff>
      <xdr:row>156</xdr:row>
      <xdr:rowOff>333376</xdr:rowOff>
    </xdr:from>
    <xdr:to>
      <xdr:col>14</xdr:col>
      <xdr:colOff>1302461</xdr:colOff>
      <xdr:row>161</xdr:row>
      <xdr:rowOff>228376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2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</xdr:col>
      <xdr:colOff>547686</xdr:colOff>
      <xdr:row>0</xdr:row>
      <xdr:rowOff>71437</xdr:rowOff>
    </xdr:from>
    <xdr:to>
      <xdr:col>3</xdr:col>
      <xdr:colOff>902953</xdr:colOff>
      <xdr:row>0</xdr:row>
      <xdr:rowOff>1452563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99A0C499-DD77-2B2A-071F-7286D30D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28811" y="71437"/>
          <a:ext cx="2962736" cy="13811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8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8AF0810D-26C5-4A75-8346-CD1E33EC12D6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8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5172339D-3715-4F4E-8672-511DBF7935AB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8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AE901739-0C0F-48DF-85AD-B2F24B1A1A8A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8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FF1432CA-A5BA-42F7-B504-3B9BEF25EA6D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8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7281835-8513-4EC7-96ED-37462B14378F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8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9C61FBDF-40D3-4F02-910B-C15D706B7EE6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8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8263952F-4F45-46A9-9833-FBD4C477BA69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8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524F268F-FE40-4EA8-9350-06ADE4028457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8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D42BCA96-0DDC-47D6-9D02-A84F1B65920E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8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AC00F26A-33EF-404F-B3FB-EF79DEC89033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8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9DF87F4C-AF8C-42FB-8B95-E38EB7F5FF2A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8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CD4113B5-7A88-4083-AB4A-DC01AC254C85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8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FC534504-8E42-4387-811A-093FA705272A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8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97DDEACC-EACF-4758-AF8A-5C9E9A004659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8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F1B9A424-AB1D-4A96-A6F5-7F039A798B2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8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488492B7-9199-4431-B9C8-765B983335C6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8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C4C24CEE-D876-432C-94E5-0D52267B20D1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8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F02B197B-7474-43F8-B464-E0F7F1532EEB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8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48D71463-2500-41BF-A36C-D881A66DD18D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8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490D993C-5CE4-4949-9460-370141E80709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8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6E4A9A6D-41E6-4B79-B6A2-10E40DAAAD95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8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745DDC32-B94F-444D-BDC7-C7F44E4A0FC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8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1B616AE4-6F6A-4E2D-9CD6-CEC36BB2F661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8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594B0212-AB45-4F1C-951D-1756039338EA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8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7A64C0EF-1796-4FFD-8573-79E58DB64E28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8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F5851017-7E5B-4691-81E5-10E7D7D5B22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8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EEC260E7-1C0E-4BB8-AAFE-E928FDC491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8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DB58EA7F-081F-4E56-B97A-B8C4E3118DD5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8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CDD0BB04-BAF0-4FE0-AB97-D39C04DCC911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8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93E69AAF-AE56-4B81-89D5-1DA4BCCA7A12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35717</xdr:colOff>
      <xdr:row>73</xdr:row>
      <xdr:rowOff>95250</xdr:rowOff>
    </xdr:from>
    <xdr:ext cx="837407" cy="2143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800-000028000000}"/>
                </a:ext>
              </a:extLst>
            </xdr:cNvPr>
            <xdr:cNvSpPr txBox="1"/>
          </xdr:nvSpPr>
          <xdr:spPr>
            <a:xfrm>
              <a:off x="1067592" y="29908500"/>
              <a:ext cx="837407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8A021869-46A8-43CB-A3B6-5AC1E45E5B02}"/>
                </a:ext>
              </a:extLst>
            </xdr:cNvPr>
            <xdr:cNvSpPr txBox="1"/>
          </xdr:nvSpPr>
          <xdr:spPr>
            <a:xfrm>
              <a:off x="1067592" y="29908500"/>
              <a:ext cx="837407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8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89A2750B-250F-4518-9F3C-28194DFEE7FD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8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2A4CD100-4424-4EB8-ABF6-A4D7BCF04189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8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EEED4485-E828-4367-8FC5-6BB54E2744E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8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7A6DE9E8-CB36-4562-8DE5-10B58FC466A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418041</xdr:colOff>
      <xdr:row>62</xdr:row>
      <xdr:rowOff>473603</xdr:rowOff>
    </xdr:from>
    <xdr:to>
      <xdr:col>12</xdr:col>
      <xdr:colOff>714374</xdr:colOff>
      <xdr:row>65</xdr:row>
      <xdr:rowOff>2645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8F6BC3A-A587-4A4C-B9ED-AF3A5D215C1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08F6BC3A-A587-4A4C-B9ED-AF3A5D215C1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5A263E4E-36D1-46A2-A075-1B36CC079F6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5A263E4E-36D1-46A2-A075-1B36CC079F6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BB58EEB-92D1-4636-8F48-5616BCE6C63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0BB58EEB-92D1-4636-8F48-5616BCE6C63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FCA96E10-61F2-4554-96D0-7698B33F109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FCA96E10-61F2-4554-96D0-7698B33F109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35B6FA02-A983-47D2-84F0-C610D320338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986EE567-A7F0-4CC0-ACC3-E9A7D242D96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986EE567-A7F0-4CC0-ACC3-E9A7D242D96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F53787F6-F621-4D26-8C4B-9DFC36D09E4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F53787F6-F621-4D26-8C4B-9DFC36D09E4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1029E83F-D452-45C9-AFC0-BD10F2E3CC2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1029E83F-D452-45C9-AFC0-BD10F2E3CC2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99610BA6-2431-4A3F-A61B-63F2300003D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99610BA6-2431-4A3F-A61B-63F2300003D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9A1BEB2B-C20F-47CB-B8DA-B4155FB8C80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2328D0FB-9296-448A-8A46-0326E761F8D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2328D0FB-9296-448A-8A46-0326E761F8D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CA9E9A26-17FF-4BA6-95B0-C4A3412B034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CA9E9A26-17FF-4BA6-95B0-C4A3412B034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B9CCC472-A0EC-4FD3-834A-1D659375A51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B9CCC472-A0EC-4FD3-834A-1D659375A51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E4636C82-EC0C-47AF-BECE-C4166624B0A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E4636C82-EC0C-47AF-BECE-C4166624B0A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3772F607-F082-414B-A196-BEE37CB50B2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72B79A12-6444-42A6-883A-FC19B0C2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476250</xdr:colOff>
      <xdr:row>0</xdr:row>
      <xdr:rowOff>178594</xdr:rowOff>
    </xdr:from>
    <xdr:to>
      <xdr:col>1</xdr:col>
      <xdr:colOff>847249</xdr:colOff>
      <xdr:row>0</xdr:row>
      <xdr:rowOff>932339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92BEB8B1-E5B7-570D-8317-ED79098D254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78594"/>
          <a:ext cx="1621155" cy="7537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9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5294F771-339B-4F31-807C-70A39D40CA7D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9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20DA5D3C-36D3-46A8-9842-761B2F4BC084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9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2ABD8150-7764-4A1A-B8AB-0226B497F398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9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541AFC8F-BF18-4099-A9BB-7382A98CD098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9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F380B7C-5042-4481-877F-DC8C1CBBD1BA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9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9E382DB2-236E-4DBC-81E9-E98AA9BB61D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9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9272DC58-FE2E-4E0B-A834-340EC96BC97E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9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1ED72682-01B5-48D1-8908-D559380C67A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9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AC771363-1D50-488C-9DAE-0DA5D2A42704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9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797ACFBE-08D8-4DFF-B71A-F405CBF30E4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9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AD28457E-EF9E-431F-BC2C-5B64E1599C49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9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DB251D47-12F1-45E5-90A7-D1677EEA9F3A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9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18714137-35CF-4FF7-8883-44B697A4C493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9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266B414F-1445-47DF-AB2A-BBA99DF2CFD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9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1786F109-1601-46F5-8FBA-8B1F54AA1FB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9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B5EB811-3A8C-4CC2-90A3-323926F53A82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9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F6336A62-58A1-42E4-B7E4-1EC036CDFF77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9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996AA49F-2F70-44D5-95E4-900D2D9D9598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9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70E9B622-3E2B-4BAE-932B-9F33EA7946DD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9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A33FCF8-1BC5-4028-8A1C-74E24E0E922F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9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56E557CB-1976-400E-AA96-745758E1AC39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9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C6ABA330-1535-4944-BD96-B01DD297DA1D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9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A2A84C87-E7C6-4975-B62E-5E715889B479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9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5922AA18-9132-47B7-8034-1589F7A449AB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9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F58F0EA0-F26B-4DAE-845F-BCAA872A551F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9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4587F081-830D-4713-8E4D-B7553600F18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9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84AA3CF0-80B0-4678-9C62-991DAECFB72B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9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9752F34C-E545-4C66-9AE0-3ADEFCFE4289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9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AB48FBAF-C2C3-4F0D-BD62-42465CBDAF8C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9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0E8FC306-DDBC-4B05-9BB8-DF03CF039E27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1031874</xdr:colOff>
      <xdr:row>73</xdr:row>
      <xdr:rowOff>95250</xdr:rowOff>
    </xdr:from>
    <xdr:ext cx="881063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900-000028000000}"/>
                </a:ext>
              </a:extLst>
            </xdr:cNvPr>
            <xdr:cNvSpPr txBox="1"/>
          </xdr:nvSpPr>
          <xdr:spPr>
            <a:xfrm>
              <a:off x="1031874" y="29908500"/>
              <a:ext cx="881063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45494DE0-1584-4404-99B5-3C098293DB5A}"/>
                </a:ext>
              </a:extLst>
            </xdr:cNvPr>
            <xdr:cNvSpPr txBox="1"/>
          </xdr:nvSpPr>
          <xdr:spPr>
            <a:xfrm>
              <a:off x="1031874" y="29908500"/>
              <a:ext cx="881063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9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B51A1559-5F17-42FD-8437-CB92A1FDC357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9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D8CFDC1A-A28A-4311-83F7-F058D31DCF2C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9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0BB4728F-18EA-451E-B7A3-5EA3D0758118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9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320A803F-3545-47FB-98B8-0266F7E77912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378354</xdr:colOff>
      <xdr:row>62</xdr:row>
      <xdr:rowOff>521230</xdr:rowOff>
    </xdr:from>
    <xdr:to>
      <xdr:col>12</xdr:col>
      <xdr:colOff>674687</xdr:colOff>
      <xdr:row>65</xdr:row>
      <xdr:rowOff>50272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532FB8EC-6BD1-4566-8C6F-0DD762339DA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532FB8EC-6BD1-4566-8C6F-0DD762339DA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C38E8C4D-AB9A-4998-AAF6-761D8889CD3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C38E8C4D-AB9A-4998-AAF6-761D8889CD3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EAFDECD9-8D4F-46AC-AADB-8284117CD59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EAFDECD9-8D4F-46AC-AADB-8284117CD59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AFA79D82-7DC7-414B-AB2C-3CCB0C673B5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AFA79D82-7DC7-414B-AB2C-3CCB0C673B5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970FABF9-718A-4F7C-90A8-F0E0A57D1D3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13F32852-EB6D-4394-BE50-C7506010C55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13F32852-EB6D-4394-BE50-C7506010C55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2F93E95C-5B27-4E4F-AEF1-1E304FCD677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2F93E95C-5B27-4E4F-AEF1-1E304FCD677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8C118E7E-04A3-46C8-B836-3BB36C33A3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8C118E7E-04A3-46C8-B836-3BB36C33A3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34693183-8CE9-4FA0-BB85-A3406523CC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34693183-8CE9-4FA0-BB85-A3406523CC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AAF259CB-7A00-45E8-991E-715E9ADF0A9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CB26F2C7-0A92-4C99-B7A6-7CB64DF3424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CB26F2C7-0A92-4C99-B7A6-7CB64DF3424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EC759A7E-1043-4D72-BA95-C1324712D75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EC759A7E-1043-4D72-BA95-C1324712D75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A9D7E133-5C45-4A70-915C-4A1ABE67DE7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A9D7E133-5C45-4A70-915C-4A1ABE67DE7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08EC6CA-C3A4-4575-B297-2527B2CB653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08EC6CA-C3A4-4575-B297-2527B2CB653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496352DE-098D-49B1-A415-BDCA1AAE787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452A8E62-1A82-4B55-850F-EB30F13E9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511969</xdr:colOff>
      <xdr:row>0</xdr:row>
      <xdr:rowOff>178593</xdr:rowOff>
    </xdr:from>
    <xdr:to>
      <xdr:col>1</xdr:col>
      <xdr:colOff>882968</xdr:colOff>
      <xdr:row>0</xdr:row>
      <xdr:rowOff>932338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B2534249-6C58-887F-E52F-D3FE2EE52A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9" y="178593"/>
          <a:ext cx="1621155" cy="7537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A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76E7D125-9455-41F9-93D9-C74343530AC1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A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8A4211D5-25A9-4B2E-BE36-6909CCA69EC5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A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EF0E5415-571E-4328-9EEB-EBC2DA6DB428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A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48A2DDB-0E65-46C4-B847-CA93EC814662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A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93F2FF7-823C-40DF-8205-D395EB566716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A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D8E3852-C024-4B3B-8873-B91AF70E7EB8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A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DC606F6C-7810-47DC-A73F-E0C1EAD9C735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A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E9694A77-78AF-4318-A780-2CE9ECF69186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A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A3770D3-FC5A-411E-9D1B-ACE0BD38D9AD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A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5736B131-8269-4E2C-AC20-BC94CCC3661C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A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A9A7F0D8-8E41-42A7-A24A-EC3D078BAE3B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A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D6B45CDC-2F23-4847-9051-0DB9A6B844E5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A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5DA45627-A165-4513-B9FD-36C00D9EBDBF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A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EA96131A-91CD-491E-A72E-470244423DC2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A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DBEB9FBD-6E99-462E-9475-D1415941F975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A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45FE12FB-A66D-4C15-B8CA-00874A0F26A2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A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6CAAFC2B-25D8-4DA7-B17F-802B93DCCF6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A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17B7B4C8-1597-4C27-A990-9AE779B78D83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A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1651DB3A-A0CD-496E-9F2C-53786962D0E3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A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0749D333-D9F9-41AE-AA2D-680E124E9BBD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A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86DBD726-DB6D-4D15-A57F-26EC4672E154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A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ACEA6037-1F5F-4FF5-BC22-C6D94991861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A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3023C163-389D-4C21-B91B-DA9F5CFB9603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A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288F1328-4922-4E41-93E5-18E18C79AE42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A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6035CB8F-6DDF-4195-9A9B-C0DD27F1A5E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A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32250BA8-967D-42F1-BE3C-E56792BC14B4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A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7180EC03-0411-4042-A5D3-623747849C95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A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7D245403-C28F-4110-8DB0-7C90176D8767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A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98287AA8-764B-403E-A9C6-3AFF5682B758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A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3A856072-72E8-4F71-A7C2-3AB4B01F36BE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873126" cy="2143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A00-000028000000}"/>
                </a:ext>
              </a:extLst>
            </xdr:cNvPr>
            <xdr:cNvSpPr txBox="1"/>
          </xdr:nvSpPr>
          <xdr:spPr>
            <a:xfrm>
              <a:off x="1055687" y="29908500"/>
              <a:ext cx="873126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E9F69EAB-FBDD-42DF-9FF3-1583C4BEF21A}"/>
                </a:ext>
              </a:extLst>
            </xdr:cNvPr>
            <xdr:cNvSpPr txBox="1"/>
          </xdr:nvSpPr>
          <xdr:spPr>
            <a:xfrm>
              <a:off x="1055687" y="29908500"/>
              <a:ext cx="873126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A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74528271-18A7-4522-BCD3-7FDF93C09D52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A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9E343E68-2A0E-4222-9836-8F5A5A8497F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A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018E9B59-D582-4CC3-BACC-3C9A0807BA78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A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0698F47C-6ADA-4D47-B767-DE9688659F29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444498</xdr:colOff>
      <xdr:row>62</xdr:row>
      <xdr:rowOff>529165</xdr:rowOff>
    </xdr:from>
    <xdr:to>
      <xdr:col>12</xdr:col>
      <xdr:colOff>690560</xdr:colOff>
      <xdr:row>65</xdr:row>
      <xdr:rowOff>39686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C8E725F8-58CA-4DD4-8576-443E33CB184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C8E725F8-58CA-4DD4-8576-443E33CB184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AAB2A84B-4B80-49A0-9124-563BC8B4C51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AAB2A84B-4B80-49A0-9124-563BC8B4C51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4B0A39CE-EF82-431E-8F0D-1378ECA535D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4B0A39CE-EF82-431E-8F0D-1378ECA535D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370647B3-D834-4A20-88E3-8CFAB4E4386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370647B3-D834-4A20-88E3-8CFAB4E4386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FA0CB3FE-1DD0-40CE-9D92-1FA29102621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7AFF2F11-0467-462F-B52C-E2C24E239F2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7AFF2F11-0467-462F-B52C-E2C24E239F2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3820CE7C-94DB-4943-AB87-DD9D93C7DB4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3820CE7C-94DB-4943-AB87-DD9D93C7DB4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63608FAA-D8FA-4030-8BF4-A28AA00D8E0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63608FAA-D8FA-4030-8BF4-A28AA00D8E0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2C897106-68C1-44A9-AEA8-2BBCC90EEDF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2C897106-68C1-44A9-AEA8-2BBCC90EEDF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15522C04-D352-4CCE-B911-315244C9580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289E0FC5-8D4F-40EC-B9A9-7EC921DA184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289E0FC5-8D4F-40EC-B9A9-7EC921DA184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E844826E-B350-4631-991F-01E5E96E351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E844826E-B350-4631-991F-01E5E96E351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A33A6CB1-A436-4A51-AC41-06805F5EE3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A33A6CB1-A436-4A51-AC41-06805F5EE3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EFB039CC-B937-419B-A049-EF05E099956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EFB039CC-B937-419B-A049-EF05E099956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03CF7622-DA78-44D3-A9B3-C504971738D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188D5CDC-232A-4A8C-8BF5-B63347A5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440532</xdr:colOff>
      <xdr:row>0</xdr:row>
      <xdr:rowOff>166688</xdr:rowOff>
    </xdr:from>
    <xdr:to>
      <xdr:col>1</xdr:col>
      <xdr:colOff>811531</xdr:colOff>
      <xdr:row>0</xdr:row>
      <xdr:rowOff>920433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EA336A91-3FBE-450A-F2E0-872E89AF6A6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2" y="166688"/>
          <a:ext cx="1621155" cy="7537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B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784DCF91-B98E-476E-9317-1129E1308BCD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B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47DE887F-4676-4204-B583-296438EB1594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B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A51A6708-7E30-49C9-9ABD-DA92A64214E2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B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0317497-5089-45EC-9D2C-368C0FE05C8D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B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AD413D00-35BD-48E5-9247-69DD8902B61E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B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068E2A6-640B-439C-826E-9DB72394C776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B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017E5A7-14CB-4B49-A766-A0B1E62B2DF3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B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C4B5205F-F13D-4E53-9915-1B66B66355DC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B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5382FB72-D570-4E76-A3C9-1C792B454656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B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AF6B604B-901B-4EBB-8B2A-6425AB30DBFC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B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D769D605-D08A-43D9-B70C-61A2204A08BB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B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C8D81A27-B76D-492A-9E01-7E1A17A43543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B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4802BA2D-CF8A-452B-ACFA-61A7CA2F975B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B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61255253-44BC-4892-8CE2-CF8A733500EB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B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E2F64CE7-5D57-4FF4-A40F-5A9FEA2B7E9F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B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CF740BD5-4BB0-4FC2-8D2A-1E5A8B35550F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B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2024D97A-957B-4AED-B87D-6A5A2DF6A75D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B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630F369F-CE06-4E4A-A44A-D7324163DD49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B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1BCE50E6-688C-4404-B3EB-B6E32BA55878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B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5F0082A4-56CA-475B-B4F1-9D375908D45C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B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CF7A5E8A-E35E-40BA-9ED9-3E6BDCB5ED5D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B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BE13968A-D998-42A6-B2DA-2DE06F20D0B8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B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D233154C-B037-4C58-A2A5-1AB893AAB218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B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8C79CEC5-E4FF-4E09-A024-5F7FE18C1FC9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B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A1BB7AE7-D1D3-4367-B806-D105BDF13088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B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AC0399A6-9E09-4550-A661-3FD1EC998A4E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B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63A43A0F-FDA4-4936-A7D4-1F4F274A182F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B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26176668-7021-472E-B75F-088C36C75DD1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B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59DD1339-3920-4704-A75F-C5CC2125416F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B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35E8F0F2-2ED6-4BF1-B3A8-40430CE19139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11906</xdr:colOff>
      <xdr:row>73</xdr:row>
      <xdr:rowOff>95250</xdr:rowOff>
    </xdr:from>
    <xdr:ext cx="85328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B00-000028000000}"/>
                </a:ext>
              </a:extLst>
            </xdr:cNvPr>
            <xdr:cNvSpPr txBox="1"/>
          </xdr:nvSpPr>
          <xdr:spPr>
            <a:xfrm>
              <a:off x="1043781" y="29908500"/>
              <a:ext cx="85328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DC05CD08-203B-40B1-964C-328DDEE306E3}"/>
                </a:ext>
              </a:extLst>
            </xdr:cNvPr>
            <xdr:cNvSpPr txBox="1"/>
          </xdr:nvSpPr>
          <xdr:spPr>
            <a:xfrm>
              <a:off x="1043781" y="29908500"/>
              <a:ext cx="85328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B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87AD3E34-B91D-4CB8-9040-AADE7431C937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B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D0CB0D47-F489-4951-ABE4-5346F601E5F5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B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A74992F9-CD74-42C1-BB47-D742E6C39423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B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C62E89D7-10F0-4AAF-87B7-1F1EC6F3E85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296333</xdr:colOff>
      <xdr:row>62</xdr:row>
      <xdr:rowOff>518583</xdr:rowOff>
    </xdr:from>
    <xdr:to>
      <xdr:col>12</xdr:col>
      <xdr:colOff>592666</xdr:colOff>
      <xdr:row>65</xdr:row>
      <xdr:rowOff>47625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656B49A6-7912-4854-8BC5-518F084E495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656B49A6-7912-4854-8BC5-518F084E495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ACD50EF8-C7A2-4C5C-83B5-C67E1E0043B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ACD50EF8-C7A2-4C5C-83B5-C67E1E0043B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71CC898A-5AE7-4541-91EF-30F7E7B26A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71CC898A-5AE7-4541-91EF-30F7E7B26A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CFD2FF89-E204-43E8-A057-C2324FBB6EF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CFD2FF89-E204-43E8-A057-C2324FBB6EF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xmlns="" id="{7E25523C-E1A5-4B3A-A905-EF88F5C504D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A359421B-2060-40A9-9634-34907CFAA42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A359421B-2060-40A9-9634-34907CFAA42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A90AF32F-AAA6-4F1D-A412-E9FBF5A4025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A90AF32F-AAA6-4F1D-A412-E9FBF5A4025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6215C471-7260-4D4A-A446-1DB24FBE71A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6215C471-7260-4D4A-A446-1DB24FBE71A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65FFF125-0348-4E47-B8CE-B68408B4C1B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65FFF125-0348-4E47-B8CE-B68408B4C1B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xmlns="" id="{8A0DA790-0D4A-4678-80E8-9152DE3B0A9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A6F683FC-CB80-495E-B2DB-DF9AFC45303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A6F683FC-CB80-495E-B2DB-DF9AFC45303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1FA97A26-9B9A-465F-BA16-BC4565E7EEB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1FA97A26-9B9A-465F-BA16-BC4565E7EEB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4478C54-B789-4CF3-ABB0-0FEE16846DC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4478C54-B789-4CF3-ABB0-0FEE16846DC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330D4BDE-ADA1-4981-8040-635581E6F84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330D4BDE-ADA1-4981-8040-635581E6F84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7" name="CuadroTexto 66">
          <a:extLst>
            <a:ext uri="{FF2B5EF4-FFF2-40B4-BE49-F238E27FC236}">
              <a16:creationId xmlns:a16="http://schemas.microsoft.com/office/drawing/2014/main" xmlns="" id="{CD08DE6D-33D7-4F7A-A588-54C06EA53E3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xmlns="" id="{CB01A8A3-8B45-43B1-A5CB-86A939C2A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440532</xdr:colOff>
      <xdr:row>0</xdr:row>
      <xdr:rowOff>190500</xdr:rowOff>
    </xdr:from>
    <xdr:to>
      <xdr:col>1</xdr:col>
      <xdr:colOff>811531</xdr:colOff>
      <xdr:row>0</xdr:row>
      <xdr:rowOff>944245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5DE53D11-178C-38E7-DF22-584940E3BF5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2" y="190500"/>
          <a:ext cx="1621155" cy="7537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0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0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0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0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0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0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0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0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0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0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0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0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0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0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95250</xdr:rowOff>
    </xdr:from>
    <xdr:ext cx="71305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000-00002A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0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0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10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B5D7ABCB-A982-47A9-A819-FECF66D88462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0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CD6017D2-C690-4345-9412-2FC7D44222F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944562</xdr:colOff>
      <xdr:row>62</xdr:row>
      <xdr:rowOff>391584</xdr:rowOff>
    </xdr:from>
    <xdr:to>
      <xdr:col>13</xdr:col>
      <xdr:colOff>436561</xdr:colOff>
      <xdr:row>64</xdr:row>
      <xdr:rowOff>661459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5E3EA4CD-495A-44FD-B94F-316173FAC51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5E3EA4CD-495A-44FD-B94F-316173FAC51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FCB2E0D8-C859-4145-B263-92715ABB922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FCB2E0D8-C859-4145-B263-92715ABB922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846981F6-839D-479E-BE01-049CAB7748E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846981F6-839D-479E-BE01-049CAB7748E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70FA21EC-A40A-4D63-9490-E63FAEE8570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70FA21EC-A40A-4D63-9490-E63FAEE8570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xmlns="" id="{4133D01D-31F8-4F24-A055-3D5EE421A82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9EE2B3A9-7E65-458A-91EE-78332816C91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9EE2B3A9-7E65-458A-91EE-78332816C91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EF4816F3-E462-4046-9A1F-B1D5CF268C0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EF4816F3-E462-4046-9A1F-B1D5CF268C0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11F48DF3-944E-486C-8090-A4C074F58D7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11F48DF3-944E-486C-8090-A4C074F58D7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562A4766-52BA-4F5A-A0AB-FEA9C605F46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562A4766-52BA-4F5A-A0AB-FEA9C605F46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xmlns="" id="{7BED30B1-2CF2-4F54-B382-4D30F3F371B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35FA187D-A8A3-43D7-A1C8-B9E5BBD1833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35FA187D-A8A3-43D7-A1C8-B9E5BBD1833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FF50F6EC-AB5B-4FEF-BD79-296598576E0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FF50F6EC-AB5B-4FEF-BD79-296598576E0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933C56BB-C712-4F7C-B972-C042C3A779D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933C56BB-C712-4F7C-B972-C042C3A779D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C7432AD1-9DE9-4079-96DB-3C3718D45E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C7432AD1-9DE9-4079-96DB-3C3718D45E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7" name="CuadroTexto 66">
          <a:extLst>
            <a:ext uri="{FF2B5EF4-FFF2-40B4-BE49-F238E27FC236}">
              <a16:creationId xmlns:a16="http://schemas.microsoft.com/office/drawing/2014/main" xmlns="" id="{CEBF9AD0-B780-440D-9C41-48C0C242CD0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xmlns="" id="{D6C629F0-345B-4A06-8E2E-E2629C721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488156</xdr:colOff>
      <xdr:row>0</xdr:row>
      <xdr:rowOff>178593</xdr:rowOff>
    </xdr:from>
    <xdr:to>
      <xdr:col>1</xdr:col>
      <xdr:colOff>859155</xdr:colOff>
      <xdr:row>0</xdr:row>
      <xdr:rowOff>932338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8702AD58-AA8C-F3C8-E11C-DFBBCF51B57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178593"/>
          <a:ext cx="1621155" cy="7537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1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1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1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1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1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1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1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1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1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1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1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1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1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1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1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1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1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1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1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1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1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1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1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1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1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1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1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1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1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1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1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95250</xdr:rowOff>
    </xdr:from>
    <xdr:ext cx="71305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100-00002A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1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1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1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85D3BC00-F4EC-4874-A333-B057F8CB52D7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1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91EF3C3A-D9D3-42E8-98F7-10058362B131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672041</xdr:colOff>
      <xdr:row>62</xdr:row>
      <xdr:rowOff>608542</xdr:rowOff>
    </xdr:from>
    <xdr:to>
      <xdr:col>13</xdr:col>
      <xdr:colOff>164041</xdr:colOff>
      <xdr:row>65</xdr:row>
      <xdr:rowOff>137584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B1D3E988-9CBD-47AD-9A3D-96C10503D29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B1D3E988-9CBD-47AD-9A3D-96C10503D29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95E69ACB-8C5C-4A22-A6C6-CF36E14FA5F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95E69ACB-8C5C-4A22-A6C6-CF36E14FA5F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504CBFB4-C92C-42F4-A4AD-A2847461D04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504CBFB4-C92C-42F4-A4AD-A2847461D04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F9B56EDA-8FB4-4F3D-8E67-FDE9FB5F7A7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F9B56EDA-8FB4-4F3D-8E67-FDE9FB5F7A7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B222D217-8ED4-4E3B-AFA5-5CED0ADDF39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23CC6980-B017-44F2-8857-E49F820F8C9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23CC6980-B017-44F2-8857-E49F820F8C9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D8E9383D-A974-4E12-B72B-8050B8F992A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D8E9383D-A974-4E12-B72B-8050B8F992A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D6CD64D4-383A-429F-ABE5-CBEEB387F6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D6CD64D4-383A-429F-ABE5-CBEEB387F6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8875BD53-27C5-40A7-AB7D-391008CF20C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8875BD53-27C5-40A7-AB7D-391008CF20C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64FD0AAC-C2D0-439B-809F-EF3E0968C7B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FAEF751F-CFF5-44FA-8558-E725B70F61B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FAEF751F-CFF5-44FA-8558-E725B70F61B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19C0C528-9FA1-48AA-B667-9FE8B8EE9A2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19C0C528-9FA1-48AA-B667-9FE8B8EE9A2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8BC3A4E4-1FA5-4C5E-B92A-DE38AE0CC21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8BC3A4E4-1FA5-4C5E-B92A-DE38AE0CC21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9766AC66-F801-44C4-87D5-C04F781F13E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9766AC66-F801-44C4-87D5-C04F781F13E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42EC5FE4-3C75-472C-B5E3-895952BA46E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xmlns="" id="{2D6448CD-380F-435B-BC29-C03F9121D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511969</xdr:colOff>
      <xdr:row>0</xdr:row>
      <xdr:rowOff>119063</xdr:rowOff>
    </xdr:from>
    <xdr:to>
      <xdr:col>1</xdr:col>
      <xdr:colOff>882968</xdr:colOff>
      <xdr:row>0</xdr:row>
      <xdr:rowOff>872808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66B6A247-D043-C41B-530B-4EB48E58FE5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9" y="119063"/>
          <a:ext cx="1621155" cy="75374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2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2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2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2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2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2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2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2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2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2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2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2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2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2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2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2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2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2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2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2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2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2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2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2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2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2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2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2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2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2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2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2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2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59531</xdr:colOff>
      <xdr:row>73</xdr:row>
      <xdr:rowOff>95250</xdr:rowOff>
    </xdr:from>
    <xdr:ext cx="736864" cy="2143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200-00002A000000}"/>
                </a:ext>
              </a:extLst>
            </xdr:cNvPr>
            <xdr:cNvSpPr txBox="1"/>
          </xdr:nvSpPr>
          <xdr:spPr>
            <a:xfrm>
              <a:off x="1035844" y="30206156"/>
              <a:ext cx="736864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35844" y="30206156"/>
              <a:ext cx="736864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2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2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2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2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AEF9614B-4236-4903-BCC3-FCEC9148A3FC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2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A7FBE6B9-BFB7-4F28-BBEF-2AD63A14DCA9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441854</xdr:colOff>
      <xdr:row>62</xdr:row>
      <xdr:rowOff>457730</xdr:rowOff>
    </xdr:from>
    <xdr:to>
      <xdr:col>12</xdr:col>
      <xdr:colOff>738187</xdr:colOff>
      <xdr:row>64</xdr:row>
      <xdr:rowOff>727605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2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FD8105A0-65B5-40E7-9D57-6FC08D4787D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FD8105A0-65B5-40E7-9D57-6FC08D4787D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A484525A-2E0F-4865-92F8-F905645F913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A484525A-2E0F-4865-92F8-F905645F913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1A61074C-765E-4E8E-93D8-F46435910A2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1A61074C-765E-4E8E-93D8-F46435910A2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D30D939D-4F58-4ECF-83AA-05F9021E376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D30D939D-4F58-4ECF-83AA-05F9021E376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9F4D8343-D601-4F3B-9DB6-D706BE8BA9D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5AF8609D-804C-4DD2-BDF3-290B77B6AD6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5AF8609D-804C-4DD2-BDF3-290B77B6AD6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D20C1500-E748-49E5-A964-0A2BF8F9735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D20C1500-E748-49E5-A964-0A2BF8F9735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CB913070-841F-4518-9185-BED0BDAFFDE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CB913070-841F-4518-9185-BED0BDAFFDE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7EC4A68D-CD31-4BAA-BD86-92F0A0EE3BE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7EC4A68D-CD31-4BAA-BD86-92F0A0EE3BE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3F3CAFD4-79F7-4BB2-AC34-81BBDF9347E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0EC6EA8-8DF3-4DA7-A388-CC9F26807B0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0EC6EA8-8DF3-4DA7-A388-CC9F26807B0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C37A8695-37BB-46A7-8C3D-87FBAC1AFFB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C37A8695-37BB-46A7-8C3D-87FBAC1AFFB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0FBD5451-8927-46F3-BC75-0915100CC44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0FBD5451-8927-46F3-BC75-0915100CC44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418E8B83-A763-4CEA-8C3C-DAD6F2C872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418E8B83-A763-4CEA-8C3C-DAD6F2C872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xmlns="" id="{2A6C50DA-AB56-4EB8-87AC-CEA5D9BC8E8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xmlns="" id="{5793E9F2-2DF4-4317-AD9C-08F5E33AB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488157</xdr:colOff>
      <xdr:row>0</xdr:row>
      <xdr:rowOff>178594</xdr:rowOff>
    </xdr:from>
    <xdr:to>
      <xdr:col>1</xdr:col>
      <xdr:colOff>859156</xdr:colOff>
      <xdr:row>0</xdr:row>
      <xdr:rowOff>932339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4267AC61-2D63-7545-0F1D-0C1E19D410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7" y="178594"/>
          <a:ext cx="1621155" cy="7537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3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3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3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3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3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3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3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3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3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3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3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3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3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3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3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3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3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3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3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3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3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3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3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3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3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3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3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3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3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3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3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3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3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3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3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976311</xdr:colOff>
      <xdr:row>73</xdr:row>
      <xdr:rowOff>95250</xdr:rowOff>
    </xdr:from>
    <xdr:ext cx="750095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300-00002A000000}"/>
                </a:ext>
              </a:extLst>
            </xdr:cNvPr>
            <xdr:cNvSpPr txBox="1"/>
          </xdr:nvSpPr>
          <xdr:spPr>
            <a:xfrm>
              <a:off x="976311" y="30206156"/>
              <a:ext cx="75009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76311" y="30206156"/>
              <a:ext cx="75009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300-00002B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3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3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3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3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3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3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3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C50992FD-9819-4B7A-BAF2-461E41DB501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3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1C85EBF2-66AD-444B-BE3F-52413166DA0E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613834</xdr:colOff>
      <xdr:row>62</xdr:row>
      <xdr:rowOff>566208</xdr:rowOff>
    </xdr:from>
    <xdr:to>
      <xdr:col>13</xdr:col>
      <xdr:colOff>105833</xdr:colOff>
      <xdr:row>65</xdr:row>
      <xdr:rowOff>95250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F60F19B3-1BF0-4FCD-985A-C889ACF5FF7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F60F19B3-1BF0-4FCD-985A-C889ACF5FF7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6CA08780-5F54-4813-B031-476FE2CC3FE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6CA08780-5F54-4813-B031-476FE2CC3FE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4CE0C5E6-6107-413F-A2DA-2A6CB183435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4CE0C5E6-6107-413F-A2DA-2A6CB183435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C78305B5-9704-4E4B-AB52-5278BABEC33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C78305B5-9704-4E4B-AB52-5278BABEC33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E11A21C7-35F4-4E16-9104-0E75E40B0E2B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D811F5F7-E95F-4C83-BB45-2A09AE5EE31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D811F5F7-E95F-4C83-BB45-2A09AE5EE31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14D998CB-20F7-41F9-8FDF-8FD90F053B9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14D998CB-20F7-41F9-8FDF-8FD90F053B9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D95B6DDA-4B9C-461A-ACD6-566396CFB84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D95B6DDA-4B9C-461A-ACD6-566396CFB84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AB32D15-0684-4340-8B34-9F0BB6CD1DE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0AB32D15-0684-4340-8B34-9F0BB6CD1DE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3F9A5E94-AB51-4090-B6EE-CFCFB1CA523B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E5237D9D-E760-4669-81A9-9B115716BB9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E5237D9D-E760-4669-81A9-9B115716BB9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6DBD6E8-E7E3-436F-A5D2-E8C5F05A64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6DBD6E8-E7E3-436F-A5D2-E8C5F05A64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E6602A73-9C0C-47DD-8FB7-561F8392140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E6602A73-9C0C-47DD-8FB7-561F8392140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4D0AA451-754C-4B15-85B9-74CFB37466F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4D0AA451-754C-4B15-85B9-74CFB37466F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7A37FB97-3EE1-4A8A-B0FD-0CE67785861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xmlns="" id="{C54EDBF4-AFB6-4575-973B-2616D7451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452438</xdr:colOff>
      <xdr:row>0</xdr:row>
      <xdr:rowOff>238125</xdr:rowOff>
    </xdr:from>
    <xdr:to>
      <xdr:col>1</xdr:col>
      <xdr:colOff>823437</xdr:colOff>
      <xdr:row>0</xdr:row>
      <xdr:rowOff>991870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924460B1-50E4-8503-0C01-BE6FC228CF0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38125"/>
          <a:ext cx="1621155" cy="7537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4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4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4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4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4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4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4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4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4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4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4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4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4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4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4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4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4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4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4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4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4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4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4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4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4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4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4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4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4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4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4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4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4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4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4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4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95250</xdr:rowOff>
    </xdr:from>
    <xdr:ext cx="726282" cy="2143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400-00002A000000}"/>
                </a:ext>
              </a:extLst>
            </xdr:cNvPr>
            <xdr:cNvSpPr txBox="1"/>
          </xdr:nvSpPr>
          <xdr:spPr>
            <a:xfrm>
              <a:off x="1012031" y="30206156"/>
              <a:ext cx="726282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6"/>
              <a:ext cx="726282" cy="2143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4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4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4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4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4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4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4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4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212DF9CE-2F31-4BFC-98FA-B29F5D59B513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4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6E0D46CF-C7EF-4A38-A3A3-39953B09A96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415395</xdr:colOff>
      <xdr:row>62</xdr:row>
      <xdr:rowOff>457729</xdr:rowOff>
    </xdr:from>
    <xdr:to>
      <xdr:col>12</xdr:col>
      <xdr:colOff>711728</xdr:colOff>
      <xdr:row>64</xdr:row>
      <xdr:rowOff>727604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2D2B2DFD-4BED-49EE-88DA-052235B30C4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2D2B2DFD-4BED-49EE-88DA-052235B30C4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CA105FD1-7341-428C-8037-558312C0CFF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CA105FD1-7341-428C-8037-558312C0CFF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EFAB5FE2-D6D9-4D46-A426-5E11B6193CA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EFAB5FE2-D6D9-4D46-A426-5E11B6193CA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D4BCFED1-3CAF-484F-B978-6BC4ADDCA9E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D4BCFED1-3CAF-484F-B978-6BC4ADDCA9E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930A3E76-0813-422F-8E0A-EE6E0CC47FF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7C3CF264-AEF5-4369-9E50-E00771127AE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7C3CF264-AEF5-4369-9E50-E00771127AE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A324FBD6-2C3A-449F-8EF4-C8709F241B8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A324FBD6-2C3A-449F-8EF4-C8709F241B8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EE0A8844-97F6-4FBA-BF59-FD0937C581F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EE0A8844-97F6-4FBA-BF59-FD0937C581F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EC73477E-D61C-46D3-A2F6-C7BF7EEA345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EC73477E-D61C-46D3-A2F6-C7BF7EEA345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EDE97A87-FE42-400B-87ED-0B0D8973798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3BDFD85A-E8B1-47D6-8761-98DA219BF88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3BDFD85A-E8B1-47D6-8761-98DA219BF88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B401CBC4-37C3-4936-86F8-EF3E5EC2539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B401CBC4-37C3-4936-86F8-EF3E5EC2539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18CBF769-0446-44F7-83E8-D15DC204360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18CBF769-0446-44F7-83E8-D15DC204360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3078D9A8-8D5A-4D8B-B32C-822F4B5267E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3078D9A8-8D5A-4D8B-B32C-822F4B5267E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6EE7B9FC-7C36-4581-9C6E-9E88CB30C8F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F6899066-4555-42DF-8B56-8E5A0CD1522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F6899066-4555-42DF-8B56-8E5A0CD1522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2A32DE29-0320-48E5-A163-3CB79F4195E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2A32DE29-0320-48E5-A163-3CB79F4195E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B78C41E8-D789-4939-9698-B8C47B82F09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B78C41E8-D789-4939-9698-B8C47B82F09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81021AE3-8E3C-41A4-9CB5-D06E5DCC310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81021AE3-8E3C-41A4-9CB5-D06E5DCC310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E67D9011-29F1-43C7-B259-E2D33A59C2D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260294B5-2529-40E8-A9C9-725385B8B97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260294B5-2529-40E8-A9C9-725385B8B97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1AEC3DA3-1090-44FA-B33B-4F8E5E3132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1AEC3DA3-1090-44FA-B33B-4F8E5E3132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A2125D05-6620-4A93-9914-184CD9349E7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A2125D05-6620-4A93-9914-184CD9349E7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91F3D3B0-C9C6-4F8F-8B2A-6154978613F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91F3D3B0-C9C6-4F8F-8B2A-6154978613F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7703FEF8-14AD-4691-B13D-370F2A0357D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AB74F674-3B5C-4E73-A577-D3C1F15BA0A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AB74F674-3B5C-4E73-A577-D3C1F15BA0A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3B94EA02-77D1-4541-8DC0-C4374567501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3B94EA02-77D1-4541-8DC0-C4374567501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8CC4567A-B1A9-47D9-B238-AC4159F91DF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8CC4567A-B1A9-47D9-B238-AC4159F91DF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493896E5-814B-4EEB-A0D9-F727D0A0BD2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493896E5-814B-4EEB-A0D9-F727D0A0BD2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AD93D40D-9D8F-45B1-AF4A-C729F3FB39F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23D8B1ED-B86B-470A-BACF-B654822C5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523875</xdr:colOff>
      <xdr:row>0</xdr:row>
      <xdr:rowOff>226219</xdr:rowOff>
    </xdr:from>
    <xdr:to>
      <xdr:col>1</xdr:col>
      <xdr:colOff>894874</xdr:colOff>
      <xdr:row>0</xdr:row>
      <xdr:rowOff>979964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318D08F7-FC3C-D79E-56D7-3DC30EABD60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26219"/>
          <a:ext cx="1621155" cy="7537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5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5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5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5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5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5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5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5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5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5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5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5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5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5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5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5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5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5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5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5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5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5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5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5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5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5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5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5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5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5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-1</xdr:colOff>
      <xdr:row>73</xdr:row>
      <xdr:rowOff>107157</xdr:rowOff>
    </xdr:from>
    <xdr:ext cx="714376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500-00002A000000}"/>
                </a:ext>
              </a:extLst>
            </xdr:cNvPr>
            <xdr:cNvSpPr txBox="1"/>
          </xdr:nvSpPr>
          <xdr:spPr>
            <a:xfrm>
              <a:off x="976312" y="30218063"/>
              <a:ext cx="714376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76312" y="30218063"/>
              <a:ext cx="714376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5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5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5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A3E7DFC7-1B51-42A7-A543-32F8A21BC0D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5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59AF8408-2110-4668-98F0-DCFA1C7F88F3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325438</xdr:colOff>
      <xdr:row>62</xdr:row>
      <xdr:rowOff>529166</xdr:rowOff>
    </xdr:from>
    <xdr:to>
      <xdr:col>12</xdr:col>
      <xdr:colOff>621771</xdr:colOff>
      <xdr:row>65</xdr:row>
      <xdr:rowOff>58208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10B876DC-B378-45AB-8B50-0ECBF55319C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10B876DC-B378-45AB-8B50-0ECBF55319C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51A87DEE-7645-4389-BBD2-F0BA6F51D48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51A87DEE-7645-4389-BBD2-F0BA6F51D48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DC620E3F-33C1-41EB-93D3-89BFBCA49AD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DC620E3F-33C1-41EB-93D3-89BFBCA49AD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EB27BF2D-E1E0-40AD-BC2A-58A9682FDA1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EB27BF2D-E1E0-40AD-BC2A-58A9682FDA1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5D6522F4-97C8-4376-8A0D-44471511962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181F5BCF-4ACD-4616-9962-24589F1075D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181F5BCF-4ACD-4616-9962-24589F1075D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2BF3796E-B3AF-4BBE-ABB8-16DA5DF2198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2BF3796E-B3AF-4BBE-ABB8-16DA5DF2198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14C73CFF-996D-4DCF-BD91-596ED68ED7D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14C73CFF-996D-4DCF-BD91-596ED68ED7D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46997430-2D81-463A-97CF-E3E1961FE66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46997430-2D81-463A-97CF-E3E1961FE66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A0AA1508-3724-424B-9CD5-4628718CC28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2AD9CB46-4E7A-464E-A5B2-5BF728F740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2AD9CB46-4E7A-464E-A5B2-5BF728F740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F4F9CA17-570C-4E88-B93B-A157F23564B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F4F9CA17-570C-4E88-B93B-A157F23564B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F0657423-8A9E-4D05-907D-116FA003321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F0657423-8A9E-4D05-907D-116FA003321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8D0D0C53-C446-43E5-8ED5-A6126D579DB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8D0D0C53-C446-43E5-8ED5-A6126D579DB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xmlns="" id="{E4FE5904-7399-4FB5-A5CC-F3D6A3CD4AB4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88E1C186-5B5A-4F49-B745-B10CE128C5B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88E1C186-5B5A-4F49-B745-B10CE128C5B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998102E7-A74C-4581-83D1-6FE2B758F74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998102E7-A74C-4581-83D1-6FE2B758F74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8BA62D29-F0A4-4F0A-8467-4D82239BD37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8BA62D29-F0A4-4F0A-8467-4D82239BD37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E5F62678-D02E-460C-B06B-C6F43111B11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E5F62678-D02E-460C-B06B-C6F43111B11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xmlns="" id="{FFEAC572-417C-42D9-82B4-176ADB990A7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C107C0DA-97C1-47CF-93CD-46B37899814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C107C0DA-97C1-47CF-93CD-46B37899814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C9E2D43B-9353-4F68-9E06-4E5C6459EB6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C9E2D43B-9353-4F68-9E06-4E5C6459EB6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A0B89A8C-1A7D-4B7D-AC90-8F2036F0495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A0B89A8C-1A7D-4B7D-AC90-8F2036F0495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C5B6F1B9-C4F2-4C6D-B86F-FBB983F0F64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C5B6F1B9-C4F2-4C6D-B86F-FBB983F0F64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xmlns="" id="{3A0C2FD3-A002-426D-89CF-750E74A4CB0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FC6CEB17-E3BD-4603-A849-C639D34BD21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FC6CEB17-E3BD-4603-A849-C639D34BD21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544761C4-35B3-4602-8458-2E4D608D66E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544761C4-35B3-4602-8458-2E4D608D66E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36345DEB-5C12-459C-A509-297EE4E1F2B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36345DEB-5C12-459C-A509-297EE4E1F2B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xmlns="" id="{5BECCDBB-C983-4915-A76A-4B42339D142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id="{5BECCDBB-C983-4915-A76A-4B42339D142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xmlns="" id="{81D867C2-D6CC-44E3-84BA-85B4F9524704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FC3D060C-6FB6-4320-9BC9-506217C64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488156</xdr:colOff>
      <xdr:row>0</xdr:row>
      <xdr:rowOff>166687</xdr:rowOff>
    </xdr:from>
    <xdr:to>
      <xdr:col>1</xdr:col>
      <xdr:colOff>859155</xdr:colOff>
      <xdr:row>0</xdr:row>
      <xdr:rowOff>920432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D9AC024C-D767-8F59-8755-548F07ADFB7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166687"/>
          <a:ext cx="1621155" cy="753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539B232-30A4-4991-B286-69BB6A539421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C559D039-7711-4B8B-BAB0-1052E29A9D7B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D1AA3083-4E46-4AF7-B763-A63DBAF17475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4FA30CB-1BBF-46BF-B4D6-53CEFB207A24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0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3C4D509-14C9-4680-9434-DF5319380588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0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C61713ED-D80B-4508-8C87-36AFB87EF37E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21CEE084-DB11-441F-8A75-A905EACB0D4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C8291970-7BA9-4FA5-8213-0B77FC08D67F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7557D0CF-FBEE-4571-9BB8-F76737FAB47C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0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D03DB7B1-630E-4A94-B38B-3A4F9E888308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0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576597EF-1D88-48A8-8703-38690F7A7DEA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2D84580E-E4BC-4629-A903-0AF1F37EC8FD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4BB77957-F86B-416E-8EBC-5691B5E96563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0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12380EAD-33BA-4E1F-910D-D8BD8E59CE17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0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DB55788C-8FC2-44E8-B44A-59C8C3543F92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F49EEE3A-512C-44EC-A8D7-93083797E50D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DE555BF3-2436-4DF4-9D19-BB0C6C2337FF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0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D45CEF39-52D5-41D6-95E2-F9803AD495D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0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B10DF296-AF04-4D9A-B9FC-2811894D16FA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B274290B-E7CE-4348-8E5D-F40D4710CE3C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12B75BF6-E7AE-4EA4-AE9C-885D7E9ECC97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0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814CB5C2-CBCA-45C0-B82E-20EA6CA712A4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0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7F97EEE2-7FEB-4DF7-83D3-F18F67B24242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13A5FCA8-0211-42C4-ABDB-D4B9077F2A57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0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15FC6BA9-77B0-45ED-BBAF-2FF2755DF62C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0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34725349-CAF3-404F-BD48-7DB75DB79F01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0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77FD290F-37C5-4B6A-AA29-C0C1711CCA39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0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A9FBCC09-43C9-4D29-A88E-1916F00287C9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0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1BAFD0F6-AF3D-4637-A3E6-0764ECFB969C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0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:a14="http://schemas.microsoft.com/office/drawing/2010/main" xmlns="" id="{733184D5-C083-499E-9BF1-D6A9ABBD8ED2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19843</xdr:colOff>
      <xdr:row>73</xdr:row>
      <xdr:rowOff>158750</xdr:rowOff>
    </xdr:from>
    <xdr:ext cx="92472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000-000028000000}"/>
                </a:ext>
              </a:extLst>
            </xdr:cNvPr>
            <xdr:cNvSpPr txBox="1"/>
          </xdr:nvSpPr>
          <xdr:spPr>
            <a:xfrm>
              <a:off x="1051718" y="29972000"/>
              <a:ext cx="92472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:a14="http://schemas.microsoft.com/office/drawing/2010/main" xmlns="" id="{F0176FFF-CBCE-474F-B0F2-1A3C08721004}"/>
                </a:ext>
              </a:extLst>
            </xdr:cNvPr>
            <xdr:cNvSpPr txBox="1"/>
          </xdr:nvSpPr>
          <xdr:spPr>
            <a:xfrm>
              <a:off x="1051718" y="29972000"/>
              <a:ext cx="92472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0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417C2BF3-AAE6-49F9-A1B7-02D4635FBDCD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0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AFC42AA1-17DC-4F81-89C3-87090071FDAC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0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9F78240F-4EA3-439B-AAFB-ED2716D075BB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0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44EF212A-3708-43B7-8840-3E21CBAD29C7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621771</xdr:colOff>
      <xdr:row>62</xdr:row>
      <xdr:rowOff>407459</xdr:rowOff>
    </xdr:from>
    <xdr:to>
      <xdr:col>13</xdr:col>
      <xdr:colOff>113771</xdr:colOff>
      <xdr:row>64</xdr:row>
      <xdr:rowOff>677334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xmlns="" id="{15240C7C-BB04-4B12-AEA5-371B667AC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452439</xdr:colOff>
      <xdr:row>0</xdr:row>
      <xdr:rowOff>166688</xdr:rowOff>
    </xdr:from>
    <xdr:to>
      <xdr:col>1</xdr:col>
      <xdr:colOff>823960</xdr:colOff>
      <xdr:row>0</xdr:row>
      <xdr:rowOff>922658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4F2670B-6734-7805-06A1-8D19A90E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439" y="166688"/>
          <a:ext cx="1621677" cy="75597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6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6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6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6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6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6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6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6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6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6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6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6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6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6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6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6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6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6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6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6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6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6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6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6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6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6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6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6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6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6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6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6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6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6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6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6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95250</xdr:rowOff>
    </xdr:from>
    <xdr:ext cx="71305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600-00002A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6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6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6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6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6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6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6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6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41CB19A0-0CE3-4954-8126-D63BEB005917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6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1B833B34-FF4B-4498-BE4C-B072C498E0E3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373061</xdr:colOff>
      <xdr:row>62</xdr:row>
      <xdr:rowOff>404812</xdr:rowOff>
    </xdr:from>
    <xdr:to>
      <xdr:col>12</xdr:col>
      <xdr:colOff>669394</xdr:colOff>
      <xdr:row>64</xdr:row>
      <xdr:rowOff>674687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A99566BB-427B-48AE-8F5A-C8968A40E48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A99566BB-427B-48AE-8F5A-C8968A40E48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1B11C88C-47A1-4CD1-97F3-7ACB0973105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1B11C88C-47A1-4CD1-97F3-7ACB0973105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99FAB318-E593-4923-9F18-FD1AE7457C21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99FAB318-E593-4923-9F18-FD1AE7457C21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F8F043E6-1221-4A4C-A11D-9CC9220698B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F8F043E6-1221-4A4C-A11D-9CC9220698B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AE5CB0DA-37B9-4A76-A8F8-1286A5C185B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64F9A3F7-C606-40FA-8398-19056F943FA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64F9A3F7-C606-40FA-8398-19056F943FA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112D3FD5-C4FA-40F8-8EE8-C100D78C555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112D3FD5-C4FA-40F8-8EE8-C100D78C555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C4042C2C-B4B9-4D05-9E38-C80E923F74A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C4042C2C-B4B9-4D05-9E38-C80E923F74A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1D988E48-2D1D-451A-A24D-55383B54DB8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1D988E48-2D1D-451A-A24D-55383B54DB8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9B912353-E2F9-4B14-B844-47978811D83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4ECE7EA3-3CD6-4ADD-AD97-17657B94736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4ECE7EA3-3CD6-4ADD-AD97-17657B94736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E94F6134-5F1D-409E-BB67-651BE2090FB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E94F6134-5F1D-409E-BB67-651BE2090FB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E49C2A13-D81C-4F34-8E66-7727F806945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E49C2A13-D81C-4F34-8E66-7727F806945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1515433D-E69A-45EF-82C5-D862DD1FAD4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1515433D-E69A-45EF-82C5-D862DD1FAD4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83D02ADF-83E3-438D-8892-88ED9251CE2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82A1ACA6-F889-43C2-9DFD-255C1F3EAB6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82A1ACA6-F889-43C2-9DFD-255C1F3EAB6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7DDCBE2E-9261-44D0-8FCE-59A41ABCA1A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7DDCBE2E-9261-44D0-8FCE-59A41ABCA1A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13A145EE-1EA5-4248-A38C-A0CBB42CF84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13A145EE-1EA5-4248-A38C-A0CBB42CF84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06C011FC-1425-4702-A9B1-8FB52C16E17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06C011FC-1425-4702-A9B1-8FB52C16E17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185A0C3B-B9FA-4615-AAEF-A3588E68E99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DFA9C9C3-17AF-482A-B892-13DACA24A82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DFA9C9C3-17AF-482A-B892-13DACA24A82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4120AB69-B359-46C9-B971-2B8834C4AE7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4120AB69-B359-46C9-B971-2B8834C4AE7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1EA6D1AC-A186-40B4-978C-53222D7D78C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1EA6D1AC-A186-40B4-978C-53222D7D78C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272D0A0F-FC09-4C56-B73E-27390642426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272D0A0F-FC09-4C56-B73E-27390642426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C6C26375-726B-4878-B8E6-F049477A007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7EEEE657-FFCC-496A-A843-48BDB97DB4B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7EEEE657-FFCC-496A-A843-48BDB97DB4B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22C7D834-0571-4B01-8507-9773A6EA14E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22C7D834-0571-4B01-8507-9773A6EA14E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5B8006D1-D23D-4237-A235-823329252AF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5B8006D1-D23D-4237-A235-823329252AF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79B7A438-F14F-4BD4-8030-3359C46F4FD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79B7A438-F14F-4BD4-8030-3359C46F4FD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40B495F8-779B-4F8D-B315-8C6F630206D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F38FD008-6204-4B5E-B6BE-6887DF8FA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440531</xdr:colOff>
      <xdr:row>0</xdr:row>
      <xdr:rowOff>202406</xdr:rowOff>
    </xdr:from>
    <xdr:to>
      <xdr:col>1</xdr:col>
      <xdr:colOff>811530</xdr:colOff>
      <xdr:row>0</xdr:row>
      <xdr:rowOff>956151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15039445-AB39-B4BE-BC31-7E60931E158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" y="202406"/>
          <a:ext cx="1621155" cy="75374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7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7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7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7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7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7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7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7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7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7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7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7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7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7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7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7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7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7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7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7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7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7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7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7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7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7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7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7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7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7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47625</xdr:colOff>
      <xdr:row>73</xdr:row>
      <xdr:rowOff>166688</xdr:rowOff>
    </xdr:from>
    <xdr:ext cx="738187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700-00002A000000}"/>
                </a:ext>
              </a:extLst>
            </xdr:cNvPr>
            <xdr:cNvSpPr txBox="1"/>
          </xdr:nvSpPr>
          <xdr:spPr>
            <a:xfrm>
              <a:off x="1023938" y="30277594"/>
              <a:ext cx="73818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23938" y="30277594"/>
              <a:ext cx="73818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7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7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7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86EEEFE9-003E-4B05-B8CE-BE710B5201F7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7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005461F6-DACA-45BE-B2EA-895F2197107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330729</xdr:colOff>
      <xdr:row>62</xdr:row>
      <xdr:rowOff>420688</xdr:rowOff>
    </xdr:from>
    <xdr:to>
      <xdr:col>12</xdr:col>
      <xdr:colOff>627062</xdr:colOff>
      <xdr:row>64</xdr:row>
      <xdr:rowOff>690563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F2811A61-9D18-45F0-8E20-27C8F53EF6E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F2811A61-9D18-45F0-8E20-27C8F53EF6E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B29FEB84-59AC-4558-931B-DC848C80816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B29FEB84-59AC-4558-931B-DC848C80816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47F30B4C-6777-4D5A-99B9-EE611C9C447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47F30B4C-6777-4D5A-99B9-EE611C9C447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24112D65-5E96-4808-9D37-6CBF8DE5C3E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24112D65-5E96-4808-9D37-6CBF8DE5C3E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70F38169-C993-4786-9607-8247D306850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5AFCDF10-482F-4F5A-AD15-AAA15007517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5AFCDF10-482F-4F5A-AD15-AAA15007517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75F71EA8-80E8-413E-8CA4-7D164AC0DAB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75F71EA8-80E8-413E-8CA4-7D164AC0DAB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1FF72101-5CB2-41A5-8E25-677B2E884F5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1FF72101-5CB2-41A5-8E25-677B2E884F5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EB117918-A2AF-4698-AEEE-680F990CD89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EB117918-A2AF-4698-AEEE-680F990CD89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4F342AE0-4E71-4C66-8687-7F60B51CF07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BB851AA1-CA54-4F98-8F9F-F107FF07EEF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BB851AA1-CA54-4F98-8F9F-F107FF07EEF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9ADAED8D-A049-4048-B618-6D3F641E15D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9ADAED8D-A049-4048-B618-6D3F641E15D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67F3B490-16CF-406D-8F8B-BA9BDEFA185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67F3B490-16CF-406D-8F8B-BA9BDEFA185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84A1F650-10CC-46A0-B07D-B1023B8518E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84A1F650-10CC-46A0-B07D-B1023B8518E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xmlns="" id="{477151C6-73AB-43E6-9CEF-CD66B357C9F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52B22AAC-6F3F-42F2-9F6E-2D74AA2EB5F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52B22AAC-6F3F-42F2-9F6E-2D74AA2EB5F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D1538A59-A08C-420A-A81F-A71BFE2CF3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D1538A59-A08C-420A-A81F-A71BFE2CF3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6F157E3B-849B-4410-A7D4-0EDE6EABB36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6F157E3B-849B-4410-A7D4-0EDE6EABB36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90B0B093-24CE-4C27-87EF-0FD59AD939A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90B0B093-24CE-4C27-87EF-0FD59AD939A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xmlns="" id="{AD0B1EE0-A8E8-427C-ACA1-0339E8CC187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3F14A641-61BA-448B-858C-DC472AA8E95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3F14A641-61BA-448B-858C-DC472AA8E95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A02EEE35-09B8-4C42-91F3-E101CADAE7A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A02EEE35-09B8-4C42-91F3-E101CADAE7A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E6495493-475C-4AC9-B49B-295838F731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E6495493-475C-4AC9-B49B-295838F731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C5D89352-47A3-4A42-902E-34C85B202E4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C5D89352-47A3-4A42-902E-34C85B202E4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xmlns="" id="{FF3D7559-BBCC-4600-9FD7-637F3EDF677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AC0D50A9-9F8D-493F-9398-8B2CA2E2485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AC0D50A9-9F8D-493F-9398-8B2CA2E2485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DA332DEF-843F-4CF7-8ABB-27D584E5EAD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DA332DEF-843F-4CF7-8ABB-27D584E5EAD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6C370880-17FD-4C0F-A319-BDDD1D543A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6C370880-17FD-4C0F-A319-BDDD1D543A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xmlns="" id="{DA1FCE09-49E1-44A0-8B42-BD161CBE21D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id="{DA1FCE09-49E1-44A0-8B42-BD161CBE21D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xmlns="" id="{959072E6-97D0-4EF2-8BCB-658C6F73D13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1E210CC6-F660-4586-BF36-AA18119E8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559594</xdr:colOff>
      <xdr:row>0</xdr:row>
      <xdr:rowOff>190500</xdr:rowOff>
    </xdr:from>
    <xdr:to>
      <xdr:col>1</xdr:col>
      <xdr:colOff>930593</xdr:colOff>
      <xdr:row>0</xdr:row>
      <xdr:rowOff>944245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E174C925-79FC-3662-D666-241A8385A9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594" y="190500"/>
          <a:ext cx="1621155" cy="75374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8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8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8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8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8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8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8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8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8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8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8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8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8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8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8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8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8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8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8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8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8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8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8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8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8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8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8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8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8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8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95250</xdr:rowOff>
    </xdr:from>
    <xdr:ext cx="71305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800-00002A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6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8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8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8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4E7F27F0-3C29-43AA-BA91-4E9647B75CB4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8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A4520B41-3988-4362-AAC5-9E8AFA4AFCBA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267229</xdr:colOff>
      <xdr:row>62</xdr:row>
      <xdr:rowOff>431271</xdr:rowOff>
    </xdr:from>
    <xdr:to>
      <xdr:col>12</xdr:col>
      <xdr:colOff>563562</xdr:colOff>
      <xdr:row>64</xdr:row>
      <xdr:rowOff>701146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FF73D5CB-0182-4ACC-B226-3602A556F05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FF73D5CB-0182-4ACC-B226-3602A556F05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A3D036A6-D79C-465E-BE03-E2019179E54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A3D036A6-D79C-465E-BE03-E2019179E54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10F262E5-1A09-4EBA-86CA-1BB96B3E1CE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10F262E5-1A09-4EBA-86CA-1BB96B3E1CE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9CA38C93-7C35-4B5B-8FF8-B39589D1418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9CA38C93-7C35-4B5B-8FF8-B39589D1418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B9059098-99AE-4D80-9BB3-598D3530F94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0D28FF0C-3DFC-4B4D-8289-47EB75C5D09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D28FF0C-3DFC-4B4D-8289-47EB75C5D09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FCC924FC-B42A-40C9-BEE2-842B91A14F0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FCC924FC-B42A-40C9-BEE2-842B91A14F0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C9149EA5-67D3-4828-A497-15549C743D5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C9149EA5-67D3-4828-A497-15549C743D5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45882894-4572-47AA-B0C3-4646B69E48F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45882894-4572-47AA-B0C3-4646B69E48F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491AF719-95CA-474F-BBB6-2A247CCAEA0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A2FDAA66-E53F-4F12-BE28-70F8F390CFF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A2FDAA66-E53F-4F12-BE28-70F8F390CFF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A19176DC-5A5D-44B0-A076-B084E38FCC9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A19176DC-5A5D-44B0-A076-B084E38FCC9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2856D8FC-EB51-4521-BDBA-47AB0E8EAD2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2856D8FC-EB51-4521-BDBA-47AB0E8EAD2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A862B6F5-A017-40A7-B486-780D2F345D5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A862B6F5-A017-40A7-B486-780D2F345D5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xmlns="" id="{D8CDE2EA-D56A-4CC6-B92D-A318CE81BFA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B7D8A11D-A73C-40F2-8DD1-804A24AB6C7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B7D8A11D-A73C-40F2-8DD1-804A24AB6C7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4CD7395D-8499-4252-ACC8-6B7E0738593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4CD7395D-8499-4252-ACC8-6B7E0738593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B60982AE-67CA-4907-91E0-FE6AB476A79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B60982AE-67CA-4907-91E0-FE6AB476A79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C6A326C7-75AC-44A7-8EB2-3CA2D36A1DF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C6A326C7-75AC-44A7-8EB2-3CA2D36A1DF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xmlns="" id="{011A36F2-6128-44DB-8E78-449DF053FEF2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F716F6B1-4D31-469F-A67A-EB96289D4C1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F716F6B1-4D31-469F-A67A-EB96289D4C1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B05960EC-A4C9-41E7-AC4D-F5ACC0282CF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B05960EC-A4C9-41E7-AC4D-F5ACC0282CF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5BAC7632-72BE-41AC-9E06-B1EC6BA7AE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5BAC7632-72BE-41AC-9E06-B1EC6BA7AE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A81867AB-7129-470F-98FB-5F8A5BFD89D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A81867AB-7129-470F-98FB-5F8A5BFD89D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xmlns="" id="{2A0840EE-4190-4B55-8F24-E54796920412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763D0699-961B-451D-BF45-DB619F94BC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763D0699-961B-451D-BF45-DB619F94BC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D48E69D9-1EE7-408D-A114-3ED8AAC283A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D48E69D9-1EE7-408D-A114-3ED8AAC283A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8BD57219-BCD5-4DBE-9261-4ED166DB96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8BD57219-BCD5-4DBE-9261-4ED166DB96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xmlns="" id="{8195029B-B0A1-42F8-957A-5101AC105B1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id="{8195029B-B0A1-42F8-957A-5101AC105B1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xmlns="" id="{A51D0861-211A-4A25-84E3-36D4AE6A6CD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96020BB1-8E3B-49A7-AB10-1E2134D6C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607218</xdr:colOff>
      <xdr:row>0</xdr:row>
      <xdr:rowOff>190500</xdr:rowOff>
    </xdr:from>
    <xdr:to>
      <xdr:col>1</xdr:col>
      <xdr:colOff>978217</xdr:colOff>
      <xdr:row>0</xdr:row>
      <xdr:rowOff>944245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39B0FC94-D355-CE49-E796-445840AF749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" y="190500"/>
          <a:ext cx="1621155" cy="75374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9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9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9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9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9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9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9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9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9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9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9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9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9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9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9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9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9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9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9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9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9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9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9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9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9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9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9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9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9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9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9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9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9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9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73</xdr:row>
      <xdr:rowOff>95250</xdr:rowOff>
    </xdr:from>
    <xdr:ext cx="74877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900-00002A000000}"/>
                </a:ext>
              </a:extLst>
            </xdr:cNvPr>
            <xdr:cNvSpPr txBox="1"/>
          </xdr:nvSpPr>
          <xdr:spPr>
            <a:xfrm>
              <a:off x="976313" y="30206156"/>
              <a:ext cx="74877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76313" y="30206156"/>
              <a:ext cx="74877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9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9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9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9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9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9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9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9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A6423C26-4C91-4378-AD2D-301D30D6FC0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9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ED019746-72C6-45BD-BF03-2F4A8C5F6E8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449791</xdr:colOff>
      <xdr:row>62</xdr:row>
      <xdr:rowOff>452437</xdr:rowOff>
    </xdr:from>
    <xdr:to>
      <xdr:col>12</xdr:col>
      <xdr:colOff>746124</xdr:colOff>
      <xdr:row>64</xdr:row>
      <xdr:rowOff>722312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9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79454F10-04F7-4AFF-8B6A-46B3276EB95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79454F10-04F7-4AFF-8B6A-46B3276EB95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FC56D3B5-7568-4940-81AD-BB8049E26F2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FC56D3B5-7568-4940-81AD-BB8049E26F2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CBFC1C78-3909-4540-BD6B-3E6E17E883C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CBFC1C78-3909-4540-BD6B-3E6E17E883C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F3641C07-A447-410F-94F3-18608B995AF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F3641C07-A447-410F-94F3-18608B995AF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6D91949D-A8D5-4004-A825-7E71BB96E7E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F24F053E-9E0E-4A2D-8267-B5091553E12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F24F053E-9E0E-4A2D-8267-B5091553E12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F3F2701A-1D06-4CC4-8A8C-99C9D3AC2D3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F3F2701A-1D06-4CC4-8A8C-99C9D3AC2D3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F2C2588F-AE4A-4AA0-B74D-005BD09387E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F2C2588F-AE4A-4AA0-B74D-005BD09387E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0F8D9A98-0D81-4459-964A-9EF5F1E389A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0F8D9A98-0D81-4459-964A-9EF5F1E389A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58CE2037-4BD1-4AA7-A53E-D5FF1CEE237B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A9D487B7-7432-4340-A32D-18D3A0C65EC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A9D487B7-7432-4340-A32D-18D3A0C65EC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1FDA7227-0EC5-4A8E-B867-C4EA91058CC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1FDA7227-0EC5-4A8E-B867-C4EA91058CC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19F59921-77E5-454D-926A-6E8B147E0CD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19F59921-77E5-454D-926A-6E8B147E0CD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49D012B8-43F6-45E6-8D31-565DEE6B69A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49D012B8-43F6-45E6-8D31-565DEE6B69A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xmlns="" id="{C71E4624-23C0-4650-B59C-4CC557F6549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10FC66C6-9694-4492-84D0-5AE609F2562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10FC66C6-9694-4492-84D0-5AE609F2562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5FB79C9C-0246-415E-AE8D-002B1202110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5FB79C9C-0246-415E-AE8D-002B1202110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11C4A5CD-99F0-41DF-8E96-478CCF7A41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11C4A5CD-99F0-41DF-8E96-478CCF7A41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0A5DE86A-B954-4756-BB81-06CB0BCA375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0A5DE86A-B954-4756-BB81-06CB0BCA375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xmlns="" id="{CF07C360-71F1-40E1-ABA9-26801AFF3DF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95D3FF25-FA77-4C02-8E01-9068B0CC7B7B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95D3FF25-FA77-4C02-8E01-9068B0CC7B7B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B6F9580D-305F-465B-B884-E7F1689AADC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B6F9580D-305F-465B-B884-E7F1689AADC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D909A539-1787-409D-8E5C-8A9784A4C6D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D909A539-1787-409D-8E5C-8A9784A4C6D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8EB16882-DA26-4367-9BEE-9BDB1A04528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8EB16882-DA26-4367-9BEE-9BDB1A04528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xmlns="" id="{3D74A87B-F710-4642-8542-DF591EF6CC7B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74196B73-EC7E-4419-9501-DAAC612C453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74196B73-EC7E-4419-9501-DAAC612C453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1C616A4B-550E-4F66-8254-E7D9DBB0F89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1C616A4B-550E-4F66-8254-E7D9DBB0F89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E6991980-C45E-464E-AE0C-3782AB869F3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E6991980-C45E-464E-AE0C-3782AB869F3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xmlns="" id="{C1F6EF56-7FF9-41D1-B8BC-2F1AE5EC0EA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id="{C1F6EF56-7FF9-41D1-B8BC-2F1AE5EC0EA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xmlns="" id="{55722324-E27E-4747-8FF3-FD42ED63EED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3313270D-EEB6-43B1-87C9-D132569D6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500063</xdr:colOff>
      <xdr:row>0</xdr:row>
      <xdr:rowOff>202407</xdr:rowOff>
    </xdr:from>
    <xdr:to>
      <xdr:col>1</xdr:col>
      <xdr:colOff>871062</xdr:colOff>
      <xdr:row>0</xdr:row>
      <xdr:rowOff>956152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E59A147A-82A3-002F-46F1-790D09CDF2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202407"/>
          <a:ext cx="1621155" cy="75374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A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A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A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A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A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A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A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A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A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A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A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A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A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A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A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A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A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A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A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A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A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A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A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A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A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A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A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A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A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A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A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A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A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A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A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A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A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A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A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A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A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A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A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A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A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C202A7E4-EC1A-4334-AD9F-7A83025EFBC4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A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3A8CECE6-4976-4594-8EC7-474F1713308D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507999</xdr:colOff>
      <xdr:row>62</xdr:row>
      <xdr:rowOff>291041</xdr:rowOff>
    </xdr:from>
    <xdr:to>
      <xdr:col>12</xdr:col>
      <xdr:colOff>804332</xdr:colOff>
      <xdr:row>64</xdr:row>
      <xdr:rowOff>560916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A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A004826C-48BC-4372-8F4D-56D4F2AE741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A004826C-48BC-4372-8F4D-56D4F2AE741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7D30F5DA-D03E-4DBC-AB67-4DDE49968E1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7D30F5DA-D03E-4DBC-AB67-4DDE49968E1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7EDC2369-BE43-43FB-A4A0-746853BBF48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7EDC2369-BE43-43FB-A4A0-746853BBF48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5FE3DE97-7250-4884-B78E-D2F1A9A8B1F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5FE3DE97-7250-4884-B78E-D2F1A9A8B1F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E2CB89AA-1BEA-417F-9F43-F346B9A2E0A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E5977822-7B42-426B-B542-26E8D76AB40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E5977822-7B42-426B-B542-26E8D76AB40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7E90CCA1-F165-4C92-93F3-5FD219CC56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7E90CCA1-F165-4C92-93F3-5FD219CC561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0FF6206B-D3A2-4A7E-B068-0131262C467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0FF6206B-D3A2-4A7E-B068-0131262C467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453E1043-C2F8-4FE4-81EC-DBAD94134C9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453E1043-C2F8-4FE4-81EC-DBAD94134C9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545FA595-3130-47D7-8A83-B73DCE40EA2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03050ADF-8452-44A4-A5B0-451CAD9A3FA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03050ADF-8452-44A4-A5B0-451CAD9A3FA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CA9A61A9-15D8-4A8A-9FC2-C43DCBE57AC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CA9A61A9-15D8-4A8A-9FC2-C43DCBE57AC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1F8DB278-C72B-452B-8A52-08E1C9E0AC0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1F8DB278-C72B-452B-8A52-08E1C9E0AC0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E604F85F-8520-4CEA-AF6F-6E3B2617EB9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E604F85F-8520-4CEA-AF6F-6E3B2617EB9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BF2A5DF9-7893-4C86-A865-9F1D07B3D01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4DA2CB16-D2EC-4FA7-8AB2-0B4A7B38232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4DA2CB16-D2EC-4FA7-8AB2-0B4A7B38232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AA0DF908-B050-4DD3-85A1-3B810C3AEBB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AA0DF908-B050-4DD3-85A1-3B810C3AEBB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7FED7C39-6B00-46C7-A909-223615A8D61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7FED7C39-6B00-46C7-A909-223615A8D61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D6550AEA-F23B-4624-96DF-DD0D86C3AAB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D6550AEA-F23B-4624-96DF-DD0D86C3AAB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932612A8-CC96-4DB2-89BE-B1D9D0C7B02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B52F0677-A42A-413C-B2A8-23293C47759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B52F0677-A42A-413C-B2A8-23293C47759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3308F8C8-409C-420B-9016-A96026E521E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3308F8C8-409C-420B-9016-A96026E521E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5DFF0909-4A6D-4B59-8C1D-255D0C8FFC9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5DFF0909-4A6D-4B59-8C1D-255D0C8FFC9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D1F8A4B6-21DA-4B84-9E01-25F6B06202C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D1F8A4B6-21DA-4B84-9E01-25F6B06202C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CC891DD5-9243-4F2E-99A8-8CCC2F92A5C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14C09115-DA4D-415A-915A-042976688AE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14C09115-DA4D-415A-915A-042976688AE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260AAB69-A93F-455E-BF9F-1CA92C078A2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260AAB69-A93F-455E-BF9F-1CA92C078A2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A05D3B51-BC7C-4D69-BA78-AB0B890836F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A05D3B51-BC7C-4D69-BA78-AB0B890836F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2AAEBEB4-3EBD-4AEF-BE83-EE91E3960D0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2AAEBEB4-3EBD-4AEF-BE83-EE91E3960D0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D6EEA850-42A3-4A2E-B57A-920B6BED319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4953ACAC-EEC4-4E28-8600-9F0CB1516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511968</xdr:colOff>
      <xdr:row>0</xdr:row>
      <xdr:rowOff>154781</xdr:rowOff>
    </xdr:from>
    <xdr:to>
      <xdr:col>1</xdr:col>
      <xdr:colOff>882967</xdr:colOff>
      <xdr:row>0</xdr:row>
      <xdr:rowOff>908526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5BAE6240-D035-FC3B-8E11-1D88EAB1E6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68" y="154781"/>
          <a:ext cx="1621155" cy="7537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B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B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B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B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B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B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B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B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B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B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B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B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B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B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B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B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B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B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B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B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B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B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B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B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B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B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B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B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B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B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B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B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B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B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B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B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B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11906</xdr:colOff>
      <xdr:row>73</xdr:row>
      <xdr:rowOff>95250</xdr:rowOff>
    </xdr:from>
    <xdr:ext cx="736864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B00-00002A000000}"/>
                </a:ext>
              </a:extLst>
            </xdr:cNvPr>
            <xdr:cNvSpPr txBox="1"/>
          </xdr:nvSpPr>
          <xdr:spPr>
            <a:xfrm>
              <a:off x="988219" y="30206156"/>
              <a:ext cx="736864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88219" y="30206156"/>
              <a:ext cx="736864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B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B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B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B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B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B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B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B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C488E316-4EC4-4530-9CDB-D63D25CE89EC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B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8C31675C-A502-412C-B74A-08792A49D082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314854</xdr:colOff>
      <xdr:row>62</xdr:row>
      <xdr:rowOff>394229</xdr:rowOff>
    </xdr:from>
    <xdr:to>
      <xdr:col>12</xdr:col>
      <xdr:colOff>611187</xdr:colOff>
      <xdr:row>64</xdr:row>
      <xdr:rowOff>664104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B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34B4BB74-6306-4F46-857E-CD23D7643BC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34B4BB74-6306-4F46-857E-CD23D7643BC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74F24D7E-529F-46F8-9613-12EF6A53776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74F24D7E-529F-46F8-9613-12EF6A53776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6206AD99-A766-4D28-9B9F-6508ECE7045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6206AD99-A766-4D28-9B9F-6508ECE7045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4B9BCE07-3604-4A87-A8D6-F924A6A31B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4B9BCE07-3604-4A87-A8D6-F924A6A31BF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0BF3B1AC-C33A-4C3B-8292-4276F05F317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561F0533-1DF7-4A03-B509-AD9C7E3A81A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561F0533-1DF7-4A03-B509-AD9C7E3A81A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6D34D4DA-011C-42A4-960A-4AF191ED006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6D34D4DA-011C-42A4-960A-4AF191ED006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D1F03A6A-1CF4-4841-A5C0-D72959D7CF4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D1F03A6A-1CF4-4841-A5C0-D72959D7CF4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B0AD97B-698C-4EFE-BDED-4A7409097B2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0B0AD97B-698C-4EFE-BDED-4A7409097B2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B4B75ADA-4248-4AC9-87A7-30B74B1A32D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7898CA86-3FB7-44E9-973B-700FA8263DE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7898CA86-3FB7-44E9-973B-700FA8263DE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4BD864BB-F04C-46BC-8A62-AC981976BCA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4BD864BB-F04C-46BC-8A62-AC981976BCA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D17E06FF-6F8B-4284-A144-2F89B044461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D17E06FF-6F8B-4284-A144-2F89B044461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C487E967-C6F4-4648-A80E-BC8EC7C62D8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C487E967-C6F4-4648-A80E-BC8EC7C62D8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972A5FF4-C6E5-46A3-97BA-60E32C4BCEA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096D7E66-BAD1-42F8-BF07-9E28E048AF4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096D7E66-BAD1-42F8-BF07-9E28E048AF4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5A67477E-2FEC-4B3B-BBE4-2372B7DBE09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5A67477E-2FEC-4B3B-BBE4-2372B7DBE09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AFD60430-3AB7-420B-BB69-6C0EEFB2D60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AFD60430-3AB7-420B-BB69-6C0EEFB2D60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F26874C3-7625-437A-89AA-EA18B47F19B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F26874C3-7625-437A-89AA-EA18B47F19B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FBB3F3AE-E938-4DC1-AE55-B21009D7A48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9E7B5C19-FC6A-4D94-AD8E-5FC82536DC4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9E7B5C19-FC6A-4D94-AD8E-5FC82536DC4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629CBAFE-D317-4C0D-9E80-37A0D482DBB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629CBAFE-D317-4C0D-9E80-37A0D482DBB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27B11A8A-CAF9-4426-A798-FCB5F87401D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27B11A8A-CAF9-4426-A798-FCB5F87401D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2774735B-0C96-4FE7-8274-02554D8BC3F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2774735B-0C96-4FE7-8274-02554D8BC3F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0701496C-ADA0-432E-9BD2-1CCF3537498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2F39E8D5-5D33-4517-A7E6-AD84540D645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2F39E8D5-5D33-4517-A7E6-AD84540D645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462D7495-B072-4BE3-9CC2-EC1376D7A29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462D7495-B072-4BE3-9CC2-EC1376D7A29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B46A4694-A52E-422D-BF46-E5F8DFEB344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B46A4694-A52E-422D-BF46-E5F8DFEB344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AE5EC6D9-076D-4751-A3EE-7619A20769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AE5EC6D9-076D-4751-A3EE-7619A20769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E5ABFAF6-4FD4-4620-9022-91841A7DADD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D83A657D-C721-449F-99D9-2D7FB8DAB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500062</xdr:colOff>
      <xdr:row>0</xdr:row>
      <xdr:rowOff>166688</xdr:rowOff>
    </xdr:from>
    <xdr:to>
      <xdr:col>1</xdr:col>
      <xdr:colOff>871061</xdr:colOff>
      <xdr:row>0</xdr:row>
      <xdr:rowOff>920433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E17E4BAD-8CE6-9C05-5FF3-BDE175CDA19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" y="166688"/>
          <a:ext cx="1621155" cy="75374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C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C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C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C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C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C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C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C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C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401508</xdr:colOff>
      <xdr:row>69</xdr:row>
      <xdr:rowOff>153994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C00-00000C000000}"/>
                </a:ext>
              </a:extLst>
            </xdr:cNvPr>
            <xdr:cNvSpPr txBox="1"/>
          </xdr:nvSpPr>
          <xdr:spPr>
            <a:xfrm>
              <a:off x="5648196" y="286496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D00-00000C000000}"/>
                </a:ext>
              </a:extLst>
            </xdr:cNvPr>
            <xdr:cNvSpPr txBox="1"/>
          </xdr:nvSpPr>
          <xdr:spPr>
            <a:xfrm>
              <a:off x="5648196" y="286496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C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0D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C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C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C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C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C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C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C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C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C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D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C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C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C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C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C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C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C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C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C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C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C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C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C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C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C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C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00000000-0008-0000-0D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C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00000000-0008-0000-0D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C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D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206376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C00-00002B000000}"/>
                </a:ext>
              </a:extLst>
            </xdr:cNvPr>
            <xdr:cNvSpPr txBox="1"/>
          </xdr:nvSpPr>
          <xdr:spPr>
            <a:xfrm>
              <a:off x="9966855" y="30535564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0D00-00002B000000}"/>
                </a:ext>
              </a:extLst>
            </xdr:cNvPr>
            <xdr:cNvSpPr txBox="1"/>
          </xdr:nvSpPr>
          <xdr:spPr>
            <a:xfrm>
              <a:off x="9966855" y="30535564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C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C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C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C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C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00000000-0008-0000-0D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C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C00-000033000000}"/>
                </a:ext>
              </a:extLst>
            </xdr:cNvPr>
            <xdr:cNvSpPr txBox="1"/>
          </xdr:nvSpPr>
          <xdr:spPr>
            <a:xfrm>
              <a:off x="1182687" y="2732087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BAE713BF-7829-4ECD-A353-224172BFF5DE}"/>
                </a:ext>
              </a:extLst>
            </xdr:cNvPr>
            <xdr:cNvSpPr txBox="1"/>
          </xdr:nvSpPr>
          <xdr:spPr>
            <a:xfrm>
              <a:off x="1182687" y="2732087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C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88FDD811-A8F2-4402-91CD-068E28BF6D4E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169332</xdr:colOff>
      <xdr:row>62</xdr:row>
      <xdr:rowOff>391584</xdr:rowOff>
    </xdr:from>
    <xdr:to>
      <xdr:col>12</xdr:col>
      <xdr:colOff>465665</xdr:colOff>
      <xdr:row>64</xdr:row>
      <xdr:rowOff>661459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DCB7F94A-F179-4E58-AEBD-763319D3119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DCB7F94A-F179-4E58-AEBD-763319D3119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81CC5BE0-C9EE-4762-B0CE-3DE3B6E5ED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81CC5BE0-C9EE-4762-B0CE-3DE3B6E5ED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B0539E06-8792-4AE7-A737-A71C61ABEF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B0539E06-8792-4AE7-A737-A71C61ABEF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1BBF8361-CE60-49B6-957B-BC3AB7B0CA7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1BBF8361-CE60-49B6-957B-BC3AB7B0CA7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F3F4CB25-A75F-497B-87C1-44CBCFC33B2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8337B3B6-B964-48E3-A835-3812A4EE68F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8337B3B6-B964-48E3-A835-3812A4EE68F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03B20465-3917-4AEE-B5BF-271F6C2E241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3B20465-3917-4AEE-B5BF-271F6C2E241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2AC2205D-B21C-4D2D-8D21-7E9173BC1D8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2AC2205D-B21C-4D2D-8D21-7E9173BC1D8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5152D507-AF49-44A5-8C53-4897CE9E43B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5152D507-AF49-44A5-8C53-4897CE9E43B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94A9DCCC-43BF-49C0-A957-2225F7EC73D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27844518-8A69-4FC6-B4D0-8DD9705917FB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27844518-8A69-4FC6-B4D0-8DD9705917FB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7D3C2911-734F-45A4-9BBD-439693F93C2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7D3C2911-734F-45A4-9BBD-439693F93C2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96A3AF0B-BA10-4121-BED0-7B20C98D6F3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96A3AF0B-BA10-4121-BED0-7B20C98D6F3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14FAD6FC-E477-4BE9-9001-A9D580D39B3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14FAD6FC-E477-4BE9-9001-A9D580D39B3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BFF41A2F-5CB1-4345-A6AD-A810900F1BA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BFB5B69A-EADD-42FD-926D-6B55959F6B6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BFB5B69A-EADD-42FD-926D-6B55959F6B6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C395CCE8-2B07-4C5B-ADDA-923BAE72E57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C395CCE8-2B07-4C5B-ADDA-923BAE72E57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0EAD2A37-51B4-4B8E-BE0F-04DAF8187A9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0EAD2A37-51B4-4B8E-BE0F-04DAF8187A9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2927E883-B273-4206-BFCE-95072242FAA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2927E883-B273-4206-BFCE-95072242FAA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86EE760D-3250-484C-B412-B4FF1381335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385D0316-5EAF-48B7-9FCA-18952BE7CD9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385D0316-5EAF-48B7-9FCA-18952BE7CD9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963680B8-270F-477F-AB6C-7357765DA42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963680B8-270F-477F-AB6C-7357765DA42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578EBA3B-ED88-40B4-AA97-23289A94012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578EBA3B-ED88-40B4-AA97-23289A94012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F85D12B2-AD63-400C-B35E-E00DFC8664D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F85D12B2-AD63-400C-B35E-E00DFC8664D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F788F854-D0B0-47E8-B88C-C8B902371E6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61BC8CA5-4A69-4E3E-A5A8-6ED2057E106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61BC8CA5-4A69-4E3E-A5A8-6ED2057E106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538E57A7-2E61-419A-BC02-2C740E9EAEB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538E57A7-2E61-419A-BC02-2C740E9EAEB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F41A3AB5-4D73-483E-9F8F-4D473B6CE09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F41A3AB5-4D73-483E-9F8F-4D473B6CE09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80ECC9D7-9832-4FCB-B6C2-4789CF8CDCA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80ECC9D7-9832-4FCB-B6C2-4789CF8CDCA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1FE8A610-4E08-4A3D-A655-B1CF6FEE9B3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6850A824-0BC9-492E-9A97-E97998E93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595313</xdr:colOff>
      <xdr:row>0</xdr:row>
      <xdr:rowOff>166688</xdr:rowOff>
    </xdr:from>
    <xdr:to>
      <xdr:col>1</xdr:col>
      <xdr:colOff>966312</xdr:colOff>
      <xdr:row>0</xdr:row>
      <xdr:rowOff>920433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2D88EFCA-7747-6511-8F88-898376F3B59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66688"/>
          <a:ext cx="1621155" cy="75374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D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D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D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D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D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D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D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D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D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D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D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D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D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D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D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D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D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D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D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D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D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D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D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D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D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D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D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D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D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D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D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D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D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D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D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D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D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35718</xdr:colOff>
      <xdr:row>73</xdr:row>
      <xdr:rowOff>95251</xdr:rowOff>
    </xdr:from>
    <xdr:ext cx="713052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D00-00002A000000}"/>
                </a:ext>
              </a:extLst>
            </xdr:cNvPr>
            <xdr:cNvSpPr txBox="1"/>
          </xdr:nvSpPr>
          <xdr:spPr>
            <a:xfrm>
              <a:off x="1012031" y="30206157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12031" y="30206157"/>
              <a:ext cx="713052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D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D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D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D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D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D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D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D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83C1FD6D-58CD-4BB9-AE4F-67E6B9A0F0B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D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D7CAF4EF-0F3E-47C5-9DBB-A6E3DE4448D1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193145</xdr:colOff>
      <xdr:row>62</xdr:row>
      <xdr:rowOff>492125</xdr:rowOff>
    </xdr:from>
    <xdr:to>
      <xdr:col>12</xdr:col>
      <xdr:colOff>489478</xdr:colOff>
      <xdr:row>65</xdr:row>
      <xdr:rowOff>21167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D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269749F9-7B62-4F37-8113-5A108F75BFF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269749F9-7B62-4F37-8113-5A108F75BFF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834D279C-CBD9-4821-85AC-C28D01B649C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834D279C-CBD9-4821-85AC-C28D01B649C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C601FF56-BB71-4A2B-8578-DE2628646D4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C601FF56-BB71-4A2B-8578-DE2628646D4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8D3A7F81-99B4-41C6-9BC8-794DD3C9366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8D3A7F81-99B4-41C6-9BC8-794DD3C9366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43237A2A-34C4-4277-9473-758E19CC629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A6D94EB8-6E02-48C0-9976-F9616512A40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A6D94EB8-6E02-48C0-9976-F9616512A40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2D83DE8A-36F9-4C5F-8A07-339FFF75296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2D83DE8A-36F9-4C5F-8A07-339FFF75296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3FAC9751-535B-4748-92E2-2D14CA35925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3FAC9751-535B-4748-92E2-2D14CA35925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EA3CEF3B-0A6C-4138-97CB-7D240047A06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EA3CEF3B-0A6C-4138-97CB-7D240047A06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CA461B9C-64CE-41BF-BAD2-7D43EF6EE39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15578B1B-E469-408D-BA1A-ED794DD20D0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15578B1B-E469-408D-BA1A-ED794DD20D0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2FB8975-BF49-431D-A1D8-DD499304625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2FB8975-BF49-431D-A1D8-DD499304625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EF20DDE9-60E2-467D-ADC2-DFFE1C4A31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EF20DDE9-60E2-467D-ADC2-DFFE1C4A31B7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E085F1A7-21B8-42A2-B75A-4E51BF6E9D8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E085F1A7-21B8-42A2-B75A-4E51BF6E9D8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D9169EAC-81F2-4F78-AA6D-E0A7B2F50D1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5C970035-E54D-4371-91D3-BBEC91478BF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5C970035-E54D-4371-91D3-BBEC91478BF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9027DD92-2852-42D8-AB92-D28914D97AE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9027DD92-2852-42D8-AB92-D28914D97AE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82DC5A92-440B-4CFD-93F2-2B08E31A6D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82DC5A92-440B-4CFD-93F2-2B08E31A6D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6700F144-7998-44AA-A5A5-3AEF2CBEBC1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6700F144-7998-44AA-A5A5-3AEF2CBEBC1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D439A438-16E4-482C-90C0-A336D674325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BE206D36-D3CB-4B30-B8C3-689E2093D09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BE206D36-D3CB-4B30-B8C3-689E2093D09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86CF5DE8-472A-407A-BFF9-BFB07242A69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86CF5DE8-472A-407A-BFF9-BFB07242A69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92943E66-77FA-4C0C-80AC-02FE80FFC38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92943E66-77FA-4C0C-80AC-02FE80FFC38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9573284A-6E2A-49D1-BCE5-108DD0109F2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9573284A-6E2A-49D1-BCE5-108DD0109F2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3A33BD7F-77B2-4901-B482-7CA92AF72CE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12494997-21F2-4162-9F7D-210FEDB60A2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12494997-21F2-4162-9F7D-210FEDB60A2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91B9EA13-5EEE-4CFF-8030-016C0A2D31F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91B9EA13-5EEE-4CFF-8030-016C0A2D31F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FD2DABFD-6A85-4F45-9BEC-A3089DECB08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FD2DABFD-6A85-4F45-9BEC-A3089DECB08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3B457358-0B05-4751-A084-84E04E94F92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3B457358-0B05-4751-A084-84E04E94F92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DF1F7FB8-F6F5-4AAF-97FF-2C8A8AEC08A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C3D50C15-741F-43B1-B646-FDD8FA54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452437</xdr:colOff>
      <xdr:row>0</xdr:row>
      <xdr:rowOff>142875</xdr:rowOff>
    </xdr:from>
    <xdr:to>
      <xdr:col>1</xdr:col>
      <xdr:colOff>823436</xdr:colOff>
      <xdr:row>0</xdr:row>
      <xdr:rowOff>896620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98F58F33-AEC1-C000-304D-207478AA7D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142875"/>
          <a:ext cx="1621155" cy="75374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E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E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E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E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E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E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E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E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E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E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E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E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E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E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E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E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E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E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E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E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E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E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E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E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E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E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E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E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E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E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E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E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E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E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E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E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E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E00-00002B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30203776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E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E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E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E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E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E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E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BC17A67F-1290-4308-8C0D-30286039D611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E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0EBA5BEE-C1BE-4E2A-AA11-154828997BC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179916</xdr:colOff>
      <xdr:row>62</xdr:row>
      <xdr:rowOff>436562</xdr:rowOff>
    </xdr:from>
    <xdr:to>
      <xdr:col>12</xdr:col>
      <xdr:colOff>478895</xdr:colOff>
      <xdr:row>64</xdr:row>
      <xdr:rowOff>706437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E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D7E5FC3D-2EA2-40A0-B053-DCA42ABF44B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D7E5FC3D-2EA2-40A0-B053-DCA42ABF44B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A7839D79-648F-4E7C-B3F1-2F59DF3CEB1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A7839D79-648F-4E7C-B3F1-2F59DF3CEB1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3CECBFD9-D58F-4EDA-8F64-177AB33AEF5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3CECBFD9-D58F-4EDA-8F64-177AB33AEF5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C1F7D51F-6B0E-4316-8D4F-01E99876F8B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C1F7D51F-6B0E-4316-8D4F-01E99876F8B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73AECBD2-4966-4BA3-9261-3D15722FE5D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46549E6D-13B4-49B8-97D5-2E60373FB95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46549E6D-13B4-49B8-97D5-2E60373FB95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D4EDDDBE-DB98-4F9C-B812-48AD66EAE66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D4EDDDBE-DB98-4F9C-B812-48AD66EAE66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6E8B01D0-A993-4507-AF58-85652B46E06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6E8B01D0-A993-4507-AF58-85652B46E06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A50DFD21-A58A-422A-ABA2-5FD6B9F7CA6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A50DFD21-A58A-422A-ABA2-5FD6B9F7CA6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660AEDCE-3336-4322-8C20-66847EB67D22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A048A0F5-8D01-4A01-8A00-22DEA6FB06B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A048A0F5-8D01-4A01-8A00-22DEA6FB06B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2768E14E-4322-4078-BBC4-92F607850AF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2768E14E-4322-4078-BBC4-92F607850AFF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A4EE5A3B-5764-4D39-8D5D-C6301EF4793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A4EE5A3B-5764-4D39-8D5D-C6301EF4793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3F3AD39F-FBBD-427D-8253-1707D89B4CC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3F3AD39F-FBBD-427D-8253-1707D89B4CC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4DE715F8-FEE2-4CD2-BCF2-FE91C4DC4D1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9AFC1599-DE45-48CC-9675-C4AC8ADBC03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9AFC1599-DE45-48CC-9675-C4AC8ADBC03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A81409AB-AEB6-4A6D-8CCB-3EB26E5FB92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A81409AB-AEB6-4A6D-8CCB-3EB26E5FB92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4C46E9C5-2A9A-4D47-ADFF-B185868DBE8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4C46E9C5-2A9A-4D47-ADFF-B185868DBE8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130133FA-626D-42AF-9A21-DF914A567C6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130133FA-626D-42AF-9A21-DF914A567C6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9FD14561-8416-4972-808B-ACE354246D5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488ED6C5-72AF-4B1C-AE6E-D445C2DB68C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488ED6C5-72AF-4B1C-AE6E-D445C2DB68C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0F4E3CDF-C73C-4FEE-83AA-836B1EF652A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0F4E3CDF-C73C-4FEE-83AA-836B1EF652A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E6A63EFD-EC87-41F7-A76B-7DE31CDEF03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E6A63EFD-EC87-41F7-A76B-7DE31CDEF03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3DF2FFE0-9EE8-4372-A1B8-C3A21EE650A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3DF2FFE0-9EE8-4372-A1B8-C3A21EE650A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0ABF8FC0-2F45-4BE2-950C-9E9F8DF59D6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E099C7EB-B616-4FA4-BD81-ED0BDD4EB0A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E099C7EB-B616-4FA4-BD81-ED0BDD4EB0A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0B87B6C6-50E8-403C-BB7C-61C95AA7527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0B87B6C6-50E8-403C-BB7C-61C95AA7527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790F1062-C455-408D-B1F9-FB8135631CA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790F1062-C455-408D-B1F9-FB8135631CA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A0E1C874-BF6A-4236-9963-1990F0ACCD4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A0E1C874-BF6A-4236-9963-1990F0ACCD4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BCBDE163-D866-4033-BD21-F85E7FFE4AE2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xmlns="" id="{B87B22C1-030C-453A-8375-1C45C6017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583406</xdr:colOff>
      <xdr:row>0</xdr:row>
      <xdr:rowOff>178594</xdr:rowOff>
    </xdr:from>
    <xdr:to>
      <xdr:col>1</xdr:col>
      <xdr:colOff>954405</xdr:colOff>
      <xdr:row>0</xdr:row>
      <xdr:rowOff>932339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8B1CB59E-6A18-50E3-2878-491434A4AC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6" y="178594"/>
          <a:ext cx="1621155" cy="75374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1F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1F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1F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1F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1F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1F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1F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1F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1F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1F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1F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1F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1F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1F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1F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1F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1F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1F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1F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1F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1F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1F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1F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1F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1F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1F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1F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1F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1F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1F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1F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1F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1F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1F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1F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1F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1F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1F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1F00-00002B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1F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1F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1F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1F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1F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1F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1F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996C4A5D-F6F1-4BC3-81E3-6DFB846A20B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1F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DA71394F-DDFF-4B4F-A500-6283CEDAB5EA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132292</xdr:colOff>
      <xdr:row>62</xdr:row>
      <xdr:rowOff>420688</xdr:rowOff>
    </xdr:from>
    <xdr:to>
      <xdr:col>12</xdr:col>
      <xdr:colOff>428625</xdr:colOff>
      <xdr:row>64</xdr:row>
      <xdr:rowOff>690563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1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A714CBA-DAD2-4A2B-8B7A-0C98809F7C4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0A714CBA-DAD2-4A2B-8B7A-0C98809F7C4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C2F4AB3A-76B2-4606-86E9-CB04AD49E59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C2F4AB3A-76B2-4606-86E9-CB04AD49E59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3374CB0B-006E-437D-AFBF-9C943871DD7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3374CB0B-006E-437D-AFBF-9C943871DD7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BA1E8FDB-2BAE-465A-9E87-C6220827841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BA1E8FDB-2BAE-465A-9E87-C6220827841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8E99F7F4-4A57-4D87-A31C-1F47392FD7E1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F5E08FE3-E79D-440D-97DD-F0CC373427C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F5E08FE3-E79D-440D-97DD-F0CC373427C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F71A76DC-7F74-4635-893D-442F12B4EDA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F71A76DC-7F74-4635-893D-442F12B4EDA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1D83FBE7-E96B-41AA-838C-D1AB0CC7E49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1D83FBE7-E96B-41AA-838C-D1AB0CC7E49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599D86BB-092E-4E5F-B534-1E324356192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599D86BB-092E-4E5F-B534-1E324356192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B00F9A57-B0B1-45FB-A57D-20E747C8B9D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65D61EC4-6A69-49C2-AE3F-708F44B793D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65D61EC4-6A69-49C2-AE3F-708F44B793D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00519D03-DDCB-4E07-9582-F46CFFABA03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00519D03-DDCB-4E07-9582-F46CFFABA03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CDE0E235-DEAF-41AD-AE2B-9A88F27E4C6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CDE0E235-DEAF-41AD-AE2B-9A88F27E4C6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5FD98FE5-D4E2-4655-B15B-FF1AA8202C4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5FD98FE5-D4E2-4655-B15B-FF1AA8202C4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140D9DFC-661C-4909-8E3A-6F6A4580D9E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B69301CB-61D9-480E-A2C5-9EC17809842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B69301CB-61D9-480E-A2C5-9EC17809842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742EB369-A875-41AE-89B2-ADAB6240EE1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742EB369-A875-41AE-89B2-ADAB6240EE1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B16B6360-8BA9-4077-9F3A-4CE4CD1444F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B16B6360-8BA9-4077-9F3A-4CE4CD1444F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7579A8C5-E671-4236-9687-F08D50C8E80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7579A8C5-E671-4236-9687-F08D50C8E80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47EC3B48-EF55-4DE8-B147-1181C877B5C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EAF883D2-E023-421B-9370-8D0D58C4391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EAF883D2-E023-421B-9370-8D0D58C4391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4BF56673-981B-4781-AEEA-8E8DEB16698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4BF56673-981B-4781-AEEA-8E8DEB16698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5F83A913-BB0B-48B3-989A-241243FD1AA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5F83A913-BB0B-48B3-989A-241243FD1AA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A24D9986-240F-47F8-8028-F6634A955A6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A24D9986-240F-47F8-8028-F6634A955A6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C5780012-0C6B-438D-BCE1-6970F252307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640008AF-287A-4988-9A61-CFED6D19832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640008AF-287A-4988-9A61-CFED6D19832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D060A501-D5DE-40F9-B5CF-FD12ED2F36C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D060A501-D5DE-40F9-B5CF-FD12ED2F36C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46437EFE-A4D1-48E9-B4A7-157077EE81A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46437EFE-A4D1-48E9-B4A7-157077EE81A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56D6F5DF-2F41-406E-A090-4F9765579C5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56D6F5DF-2F41-406E-A090-4F9765579C5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DE802F57-4DC7-424A-A0A5-1AD38FB2D392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142875</xdr:colOff>
      <xdr:row>78</xdr:row>
      <xdr:rowOff>250031</xdr:rowOff>
    </xdr:from>
    <xdr:to>
      <xdr:col>4</xdr:col>
      <xdr:colOff>902951</xdr:colOff>
      <xdr:row>83</xdr:row>
      <xdr:rowOff>242766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D91D6076-4F0F-472E-86AD-E5F22C0FD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488156</xdr:colOff>
      <xdr:row>0</xdr:row>
      <xdr:rowOff>130968</xdr:rowOff>
    </xdr:from>
    <xdr:to>
      <xdr:col>1</xdr:col>
      <xdr:colOff>859155</xdr:colOff>
      <xdr:row>0</xdr:row>
      <xdr:rowOff>884713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7467E4E7-BC6F-14DC-08AB-F48E5DF9A18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130968"/>
          <a:ext cx="1621155" cy="753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1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EEB08D93-2709-4996-8663-EF9F46A6D836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1BF412B-2DD4-4F9E-86A8-45C11A817EB8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EC1C26E7-5155-474A-B341-13CA7ACFA763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1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8325503-4A4A-41E4-872F-09D753CD8A52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469B640C-99FE-4A89-B153-6192502B19E4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1026EEE-DD8E-4FB3-8BE9-C69CACAF4D8C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4FF6FD69-42C5-4461-A132-9F80FF414B32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1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E882BC38-9722-499A-AB58-E78F366D1917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1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9071ED9D-3364-49A0-8979-26E3E802853C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100-00000C000000}"/>
                </a:ext>
              </a:extLst>
            </xdr:cNvPr>
            <xdr:cNvSpPr txBox="1"/>
          </xdr:nvSpPr>
          <xdr:spPr>
            <a:xfrm>
              <a:off x="56831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A73DCA10-D706-4701-82D4-CC33BF12CE66}"/>
                </a:ext>
              </a:extLst>
            </xdr:cNvPr>
            <xdr:cNvSpPr txBox="1"/>
          </xdr:nvSpPr>
          <xdr:spPr>
            <a:xfrm>
              <a:off x="56831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 txBox="1"/>
          </xdr:nvSpPr>
          <xdr:spPr>
            <a:xfrm>
              <a:off x="55335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EB130F03-446F-4385-9B45-CBC0C034BC98}"/>
                </a:ext>
              </a:extLst>
            </xdr:cNvPr>
            <xdr:cNvSpPr txBox="1"/>
          </xdr:nvSpPr>
          <xdr:spPr>
            <a:xfrm>
              <a:off x="55335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FEF4F948-321C-4EA5-86E0-B7352D42CCCB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100-00000F000000}"/>
                </a:ext>
              </a:extLst>
            </xdr:cNvPr>
            <xdr:cNvSpPr txBox="1"/>
          </xdr:nvSpPr>
          <xdr:spPr>
            <a:xfrm>
              <a:off x="99329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D24A641D-DF15-4ABF-B5A4-DA2DEAD17312}"/>
                </a:ext>
              </a:extLst>
            </xdr:cNvPr>
            <xdr:cNvSpPr txBox="1"/>
          </xdr:nvSpPr>
          <xdr:spPr>
            <a:xfrm>
              <a:off x="99329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/>
      </xdr:nvSpPr>
      <xdr:spPr>
        <a:xfrm>
          <a:off x="43594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1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BFAE22A0-E874-4B98-B845-256A83FBED81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1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E223A811-296F-4D84-9376-D9EF381AB4AC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1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EAD0B708-B5B0-40AA-8263-F2CE2B7D2CC7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1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96428F2E-EF54-4231-930B-2A3E6AC24CF4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100-000016000000}"/>
                </a:ext>
              </a:extLst>
            </xdr:cNvPr>
            <xdr:cNvSpPr txBox="1"/>
          </xdr:nvSpPr>
          <xdr:spPr>
            <a:xfrm>
              <a:off x="32527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F88203A4-393E-4DCD-A07C-DFEA294CA4F6}"/>
                </a:ext>
              </a:extLst>
            </xdr:cNvPr>
            <xdr:cNvSpPr txBox="1"/>
          </xdr:nvSpPr>
          <xdr:spPr>
            <a:xfrm>
              <a:off x="32527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100-000017000000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89104CB0-7F3C-496E-AE51-29E3DA0BF73D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43594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1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AA2D89D-4C71-432D-8A0A-D681166D94A9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1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8E908B9F-78BB-4B55-B165-DE6C342D66C7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1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33570B13-A09F-4EAC-87A2-A94161360C9B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1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21CA9A49-D0A1-4619-825C-2B34F900E544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100-00001E000000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99DD47BA-C1A3-4432-BF97-9EAA28424AB2}"/>
                </a:ext>
              </a:extLst>
            </xdr:cNvPr>
            <xdr:cNvSpPr txBox="1"/>
          </xdr:nvSpPr>
          <xdr:spPr>
            <a:xfrm>
              <a:off x="21910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/>
      </xdr:nvSpPr>
      <xdr:spPr>
        <a:xfrm>
          <a:off x="43594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1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D9BBADA1-4412-4332-B1C5-7ADF3B664BC5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1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527622A6-23C0-4008-94BC-E1EE0F4B7DD9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1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D6AD649D-09BC-4BDA-93C5-CF1DD52BF9E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1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C2CC7425-F0E0-44F3-8050-907F81723E38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127444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100-000026000000}"/>
                </a:ext>
              </a:extLst>
            </xdr:cNvPr>
            <xdr:cNvSpPr txBox="1"/>
          </xdr:nvSpPr>
          <xdr:spPr>
            <a:xfrm>
              <a:off x="58293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F314EC04-0AD3-47AF-A42E-C28E8CEB84B2}"/>
                </a:ext>
              </a:extLst>
            </xdr:cNvPr>
            <xdr:cNvSpPr txBox="1"/>
          </xdr:nvSpPr>
          <xdr:spPr>
            <a:xfrm>
              <a:off x="58293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100-000027000000}"/>
                </a:ext>
              </a:extLst>
            </xdr:cNvPr>
            <xdr:cNvSpPr txBox="1"/>
          </xdr:nvSpPr>
          <xdr:spPr>
            <a:xfrm>
              <a:off x="42566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9DA98905-DBB0-4109-BB69-43F322C8C9A5}"/>
                </a:ext>
              </a:extLst>
            </xdr:cNvPr>
            <xdr:cNvSpPr txBox="1"/>
          </xdr:nvSpPr>
          <xdr:spPr>
            <a:xfrm>
              <a:off x="42566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972342</xdr:colOff>
      <xdr:row>73</xdr:row>
      <xdr:rowOff>111125</xdr:rowOff>
    </xdr:from>
    <xdr:ext cx="1004095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100-000028000000}"/>
                </a:ext>
              </a:extLst>
            </xdr:cNvPr>
            <xdr:cNvSpPr txBox="1"/>
          </xdr:nvSpPr>
          <xdr:spPr>
            <a:xfrm>
              <a:off x="972342" y="29924375"/>
              <a:ext cx="100409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A14ABFE7-D00A-4611-B8B0-94B96CD5C92D}"/>
                </a:ext>
              </a:extLst>
            </xdr:cNvPr>
            <xdr:cNvSpPr txBox="1"/>
          </xdr:nvSpPr>
          <xdr:spPr>
            <a:xfrm>
              <a:off x="972342" y="29924375"/>
              <a:ext cx="100409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100-000029000000}"/>
                </a:ext>
              </a:extLst>
            </xdr:cNvPr>
            <xdr:cNvSpPr txBox="1"/>
          </xdr:nvSpPr>
          <xdr:spPr>
            <a:xfrm>
              <a:off x="100160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77EDF02F-DF85-4278-81CF-427894C1A497}"/>
                </a:ext>
              </a:extLst>
            </xdr:cNvPr>
            <xdr:cNvSpPr txBox="1"/>
          </xdr:nvSpPr>
          <xdr:spPr>
            <a:xfrm>
              <a:off x="100160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/>
      </xdr:nvSpPr>
      <xdr:spPr>
        <a:xfrm>
          <a:off x="109601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/>
      </xdr:nvSpPr>
      <xdr:spPr>
        <a:xfrm>
          <a:off x="109283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/>
      </xdr:nvSpPr>
      <xdr:spPr>
        <a:xfrm>
          <a:off x="68601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/>
      </xdr:nvSpPr>
      <xdr:spPr>
        <a:xfrm>
          <a:off x="69130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100-00002E000000}"/>
                </a:ext>
              </a:extLst>
            </xdr:cNvPr>
            <xdr:cNvSpPr txBox="1"/>
          </xdr:nvSpPr>
          <xdr:spPr>
            <a:xfrm>
              <a:off x="35771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F77D7D6D-94C6-4C38-832D-CA439C8D8A32}"/>
                </a:ext>
              </a:extLst>
            </xdr:cNvPr>
            <xdr:cNvSpPr txBox="1"/>
          </xdr:nvSpPr>
          <xdr:spPr>
            <a:xfrm>
              <a:off x="35771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/>
      </xdr:nvSpPr>
      <xdr:spPr>
        <a:xfrm>
          <a:off x="80954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1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F366DC8C-B773-44A2-ADF7-B7DE4A6BF56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1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87C11473-2BC8-41ED-B35D-CD8E1FD22DE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476250</xdr:colOff>
      <xdr:row>62</xdr:row>
      <xdr:rowOff>539750</xdr:rowOff>
    </xdr:from>
    <xdr:to>
      <xdr:col>12</xdr:col>
      <xdr:colOff>775229</xdr:colOff>
      <xdr:row>65</xdr:row>
      <xdr:rowOff>68792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42D91523-5DD5-4055-8D37-CFE075CD9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392906</xdr:colOff>
      <xdr:row>0</xdr:row>
      <xdr:rowOff>166688</xdr:rowOff>
    </xdr:from>
    <xdr:to>
      <xdr:col>1</xdr:col>
      <xdr:colOff>764427</xdr:colOff>
      <xdr:row>0</xdr:row>
      <xdr:rowOff>922658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F13E662-84D6-38A3-CF1E-7232271EB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906" y="166688"/>
          <a:ext cx="1621677" cy="75597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2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2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2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2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2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2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2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2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2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2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8220994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2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74337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2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2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20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2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2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2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2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20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2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20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20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20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20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20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20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20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20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20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20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20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20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20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20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20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20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20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20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2000-00002B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530292" y="30396657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20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20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20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20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20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20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20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DBF2DECE-B26C-46D0-B033-F9492965500A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xmlns="" id="{00000000-0008-0000-2000-000034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2" name="CuadroTexto 51">
              <a:extLst>
                <a:ext uri="{FF2B5EF4-FFF2-40B4-BE49-F238E27FC236}">
                  <a16:creationId xmlns:a16="http://schemas.microsoft.com/office/drawing/2014/main" id="{BCE1E1CD-5944-49A1-B0A9-1E7D5255E16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468313</xdr:colOff>
      <xdr:row>62</xdr:row>
      <xdr:rowOff>531813</xdr:rowOff>
    </xdr:from>
    <xdr:to>
      <xdr:col>12</xdr:col>
      <xdr:colOff>767292</xdr:colOff>
      <xdr:row>65</xdr:row>
      <xdr:rowOff>60855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2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7879F757-4336-4639-AA93-A358C614C21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7879F757-4336-4639-AA93-A358C614C21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B4401615-8796-41C6-83F5-41DB2C82B97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B4401615-8796-41C6-83F5-41DB2C82B97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0ADE0502-16A5-403C-A046-1D0DCCBABBD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0ADE0502-16A5-403C-A046-1D0DCCBABBD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7A03E4C9-566A-4EC2-A82B-B6641D15A47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7A03E4C9-566A-4EC2-A82B-B6641D15A47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6B9282FF-9422-4A17-849C-6EF565389B2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E1519535-59B0-4DC7-925D-4AFE953E204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E1519535-59B0-4DC7-925D-4AFE953E204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F505268E-4FBA-4670-81ED-1CADF7A238F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F505268E-4FBA-4670-81ED-1CADF7A238F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xmlns="" id="{E92F41BA-7B0A-451A-8438-8DDD74CF78B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1" name="CuadroTexto 60">
              <a:extLst>
                <a:ext uri="{FF2B5EF4-FFF2-40B4-BE49-F238E27FC236}">
                  <a16:creationId xmlns:a16="http://schemas.microsoft.com/office/drawing/2014/main" id="{E92F41BA-7B0A-451A-8438-8DDD74CF78B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5FA369BF-4733-4A91-8D4E-86ADB33F328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5FA369BF-4733-4A91-8D4E-86ADB33F328E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xmlns="" id="{9E8FF408-F8FF-4591-94F0-2D8CA40500B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1B28350B-9C39-4712-B599-665F20AD3D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1B28350B-9C39-4712-B599-665F20AD3D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1AE078D5-091D-42FC-923F-5B09582D805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1AE078D5-091D-42FC-923F-5B09582D805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100EB9C2-585D-4679-B09C-3CEA3B20064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100EB9C2-585D-4679-B09C-3CEA3B20064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C7B5F99A-5A57-4B73-9782-F35349CB8A2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C7B5F99A-5A57-4B73-9782-F35349CB8A2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xmlns="" id="{B609E6E8-68D1-47F8-85E7-A499ACC21C3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87789B04-8790-4B3C-AACA-699CD8D921B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87789B04-8790-4B3C-AACA-699CD8D921B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E7CC47D0-9B86-4CF8-A1A7-4EC0FD3CD3E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E7CC47D0-9B86-4CF8-A1A7-4EC0FD3CD3E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xmlns="" id="{9EE95DF8-155B-411B-93F2-E8AC15A23C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1" name="CuadroTexto 70">
              <a:extLst>
                <a:ext uri="{FF2B5EF4-FFF2-40B4-BE49-F238E27FC236}">
                  <a16:creationId xmlns:a16="http://schemas.microsoft.com/office/drawing/2014/main" id="{9EE95DF8-155B-411B-93F2-E8AC15A23CB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0D253871-3C13-4509-A0DC-A4722F92717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0D253871-3C13-4509-A0DC-A4722F92717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xmlns="" id="{2D4764C2-4DDC-423B-AB4F-15B3BE122B0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86692DF8-D4AD-45A5-A2FC-9352E113BCD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86692DF8-D4AD-45A5-A2FC-9352E113BCD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A17251E2-DA23-43E4-94B3-20C0DE8BD4D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A17251E2-DA23-43E4-94B3-20C0DE8BD4D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53FD923A-5BD3-482F-A90E-85FB35A1097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53FD923A-5BD3-482F-A90E-85FB35A1097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8FFDE9E0-44E8-4B55-B3C7-7DC5E2B632A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8FFDE9E0-44E8-4B55-B3C7-7DC5E2B632A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xmlns="" id="{7ADD97EB-97C7-48B2-8C32-5F960BA2498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4AE2891D-74C0-4FFE-A4AE-E437D2EBFB7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4AE2891D-74C0-4FFE-A4AE-E437D2EBFB7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63AA8398-A656-4EF2-9830-240C369C3A4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63AA8398-A656-4EF2-9830-240C369C3A4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18AB9A27-8A9B-4721-AB03-37FB6124002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id="{18AB9A27-8A9B-4721-AB03-37FB6124002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76704D02-F02F-4EA0-89C0-83A3DF1CF97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id="{76704D02-F02F-4EA0-89C0-83A3DF1CF97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xmlns="" id="{4D05FC97-9A39-4346-A997-5D48AEE8A96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35719</xdr:colOff>
      <xdr:row>78</xdr:row>
      <xdr:rowOff>202407</xdr:rowOff>
    </xdr:from>
    <xdr:to>
      <xdr:col>4</xdr:col>
      <xdr:colOff>974389</xdr:colOff>
      <xdr:row>83</xdr:row>
      <xdr:rowOff>195142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xmlns="" id="{CB94AC43-A9F0-44BC-934D-6739F63E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476250</xdr:colOff>
      <xdr:row>0</xdr:row>
      <xdr:rowOff>190500</xdr:rowOff>
    </xdr:from>
    <xdr:to>
      <xdr:col>1</xdr:col>
      <xdr:colOff>847249</xdr:colOff>
      <xdr:row>0</xdr:row>
      <xdr:rowOff>944245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576A2B2A-2467-4B5F-D3D9-EE30EF5B832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90500"/>
          <a:ext cx="1621155" cy="75374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2A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980892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2A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779407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2A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99193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2A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2243428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2A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724720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2A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44601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2A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5149175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2A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94880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2A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6688009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203072</xdr:colOff>
      <xdr:row>69</xdr:row>
      <xdr:rowOff>153993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2A00-00000C000000}"/>
                </a:ext>
              </a:extLst>
            </xdr:cNvPr>
            <xdr:cNvSpPr txBox="1"/>
          </xdr:nvSpPr>
          <xdr:spPr>
            <a:xfrm>
              <a:off x="6743572" y="28649618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B00-00000C000000}"/>
                </a:ext>
              </a:extLst>
            </xdr:cNvPr>
            <xdr:cNvSpPr txBox="1"/>
          </xdr:nvSpPr>
          <xdr:spPr>
            <a:xfrm>
              <a:off x="6743572" y="28649618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69340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2A00-00000D000000}"/>
                </a:ext>
              </a:extLst>
            </xdr:cNvPr>
            <xdr:cNvSpPr txBox="1"/>
          </xdr:nvSpPr>
          <xdr:spPr>
            <a:xfrm>
              <a:off x="6609840" y="29070402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B00-00000D000000}"/>
                </a:ext>
              </a:extLst>
            </xdr:cNvPr>
            <xdr:cNvSpPr txBox="1"/>
          </xdr:nvSpPr>
          <xdr:spPr>
            <a:xfrm>
              <a:off x="6609840" y="29070402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2A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2A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8623858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2A00-000010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2A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2A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2A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2A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2A00-000015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4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2A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1B00-000016000000}"/>
                </a:ext>
              </a:extLst>
            </xdr:cNvPr>
            <xdr:cNvSpPr txBox="1"/>
          </xdr:nvSpPr>
          <xdr:spPr>
            <a:xfrm>
              <a:off x="2922506" y="30059027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2A00-000017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2A00-000018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2A00-000019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2A00-00001A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2A00-00001B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2A00-00001C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2A00-00001D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2A00-00001E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8685979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2A00-00001F000000}"/>
            </a:ext>
          </a:extLst>
        </xdr:cNvPr>
        <xdr:cNvSpPr txBox="1"/>
      </xdr:nvSpPr>
      <xdr:spPr>
        <a:xfrm>
          <a:off x="3975238" y="1371724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2A00-000020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743746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2A00-000021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4152079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2A00-000022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4552130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2A00-000023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4543847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2A00-000024000000}"/>
            </a:ext>
          </a:extLst>
        </xdr:cNvPr>
        <xdr:cNvSpPr txBox="1"/>
      </xdr:nvSpPr>
      <xdr:spPr>
        <a:xfrm>
          <a:off x="1186072" y="14543846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2A00-000026000000}"/>
            </a:ext>
          </a:extLst>
        </xdr:cNvPr>
        <xdr:cNvSpPr txBox="1"/>
      </xdr:nvSpPr>
      <xdr:spPr>
        <a:xfrm>
          <a:off x="12001500" y="2272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6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2A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00000000-0008-0000-1B00-000027000000}"/>
                </a:ext>
              </a:extLst>
            </xdr:cNvPr>
            <xdr:cNvSpPr txBox="1"/>
          </xdr:nvSpPr>
          <xdr:spPr>
            <a:xfrm>
              <a:off x="5397500" y="30076774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2A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00000000-0008-0000-1B00-000028000000}"/>
                </a:ext>
              </a:extLst>
            </xdr:cNvPr>
            <xdr:cNvSpPr txBox="1"/>
          </xdr:nvSpPr>
          <xdr:spPr>
            <a:xfrm>
              <a:off x="3872442" y="30066192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23812</xdr:colOff>
      <xdr:row>73</xdr:row>
      <xdr:rowOff>95250</xdr:rowOff>
    </xdr:from>
    <xdr:ext cx="72495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2A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1B00-00002A000000}"/>
                </a:ext>
              </a:extLst>
            </xdr:cNvPr>
            <xdr:cNvSpPr txBox="1"/>
          </xdr:nvSpPr>
          <xdr:spPr>
            <a:xfrm>
              <a:off x="1000125" y="30206156"/>
              <a:ext cx="72495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624417</xdr:colOff>
      <xdr:row>73</xdr:row>
      <xdr:rowOff>206376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2A00-00002B000000}"/>
                </a:ext>
              </a:extLst>
            </xdr:cNvPr>
            <xdr:cNvSpPr txBox="1"/>
          </xdr:nvSpPr>
          <xdr:spPr>
            <a:xfrm>
              <a:off x="10935230" y="30535564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1B00-00002B000000}"/>
                </a:ext>
              </a:extLst>
            </xdr:cNvPr>
            <xdr:cNvSpPr txBox="1"/>
          </xdr:nvSpPr>
          <xdr:spPr>
            <a:xfrm>
              <a:off x="10935230" y="30535564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10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2A00-00002C000000}"/>
            </a:ext>
          </a:extLst>
        </xdr:cNvPr>
        <xdr:cNvSpPr txBox="1"/>
      </xdr:nvSpPr>
      <xdr:spPr>
        <a:xfrm>
          <a:off x="10299702" y="30517042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10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2A00-00002D000000}"/>
            </a:ext>
          </a:extLst>
        </xdr:cNvPr>
        <xdr:cNvSpPr txBox="1"/>
      </xdr:nvSpPr>
      <xdr:spPr>
        <a:xfrm>
          <a:off x="10267949" y="30986941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7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2A00-00002E000000}"/>
            </a:ext>
          </a:extLst>
        </xdr:cNvPr>
        <xdr:cNvSpPr txBox="1"/>
      </xdr:nvSpPr>
      <xdr:spPr>
        <a:xfrm>
          <a:off x="6371167" y="30580541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7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2A00-00002F000000}"/>
            </a:ext>
          </a:extLst>
        </xdr:cNvPr>
        <xdr:cNvSpPr txBox="1"/>
      </xdr:nvSpPr>
      <xdr:spPr>
        <a:xfrm>
          <a:off x="6424083" y="30955192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4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2A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id="{00000000-0008-0000-1B00-000030000000}"/>
                </a:ext>
              </a:extLst>
            </xdr:cNvPr>
            <xdr:cNvSpPr txBox="1"/>
          </xdr:nvSpPr>
          <xdr:spPr>
            <a:xfrm>
              <a:off x="3246966" y="29553959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2A00-000031000000}"/>
            </a:ext>
          </a:extLst>
        </xdr:cNvPr>
        <xdr:cNvSpPr txBox="1"/>
      </xdr:nvSpPr>
      <xdr:spPr>
        <a:xfrm>
          <a:off x="755570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2A00-000033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699BD3F3-5E6A-4166-A481-A975E8DD9EA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9</xdr:col>
      <xdr:colOff>169334</xdr:colOff>
      <xdr:row>62</xdr:row>
      <xdr:rowOff>404813</xdr:rowOff>
    </xdr:from>
    <xdr:to>
      <xdr:col>13</xdr:col>
      <xdr:colOff>627062</xdr:colOff>
      <xdr:row>64</xdr:row>
      <xdr:rowOff>674688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2A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155713</xdr:colOff>
      <xdr:row>37</xdr:row>
      <xdr:rowOff>106017</xdr:rowOff>
    </xdr:from>
    <xdr:ext cx="65" cy="172227"/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xmlns="" id="{00000000-0008-0000-2A00-000035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155713</xdr:colOff>
      <xdr:row>37</xdr:row>
      <xdr:rowOff>106017</xdr:rowOff>
    </xdr:from>
    <xdr:ext cx="65" cy="172227"/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xmlns="" id="{00000000-0008-0000-2A00-000036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155713</xdr:colOff>
      <xdr:row>37</xdr:row>
      <xdr:rowOff>106017</xdr:rowOff>
    </xdr:from>
    <xdr:ext cx="65" cy="172227"/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xmlns="" id="{00000000-0008-0000-2A00-000037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155713</xdr:colOff>
      <xdr:row>38</xdr:row>
      <xdr:rowOff>106017</xdr:rowOff>
    </xdr:from>
    <xdr:ext cx="65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00000000-0008-0000-2A00-000038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155713</xdr:colOff>
      <xdr:row>38</xdr:row>
      <xdr:rowOff>106017</xdr:rowOff>
    </xdr:from>
    <xdr:ext cx="65" cy="172227"/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xmlns="" id="{00000000-0008-0000-2A00-000039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4</xdr:col>
      <xdr:colOff>155713</xdr:colOff>
      <xdr:row>38</xdr:row>
      <xdr:rowOff>106017</xdr:rowOff>
    </xdr:from>
    <xdr:ext cx="65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00000000-0008-0000-2A00-00003A000000}"/>
            </a:ext>
          </a:extLst>
        </xdr:cNvPr>
        <xdr:cNvSpPr txBox="1"/>
      </xdr:nvSpPr>
      <xdr:spPr>
        <a:xfrm>
          <a:off x="4304380" y="138855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00000000-0008-0000-2A00-00004E000000}"/>
                </a:ext>
              </a:extLst>
            </xdr:cNvPr>
            <xdr:cNvSpPr txBox="1"/>
          </xdr:nvSpPr>
          <xdr:spPr>
            <a:xfrm>
              <a:off x="1267010" y="1514281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03000000}"/>
                </a:ext>
              </a:extLst>
            </xdr:cNvPr>
            <xdr:cNvSpPr txBox="1"/>
          </xdr:nvSpPr>
          <xdr:spPr>
            <a:xfrm>
              <a:off x="1267010" y="1514281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xmlns="" id="{00000000-0008-0000-2A00-00004F000000}"/>
            </a:ext>
          </a:extLst>
        </xdr:cNvPr>
        <xdr:cNvSpPr txBox="1"/>
      </xdr:nvSpPr>
      <xdr:spPr>
        <a:xfrm>
          <a:off x="4118113" y="1387916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00000000-0008-0000-2A00-000050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1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uadroTexto 80">
              <a:extLst>
                <a:ext uri="{FF2B5EF4-FFF2-40B4-BE49-F238E27FC236}">
                  <a16:creationId xmlns:a16="http://schemas.microsoft.com/office/drawing/2014/main" xmlns="" id="{00000000-0008-0000-2A00-000051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1" name="CuadroTexto 80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2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uadroTexto 81">
              <a:extLst>
                <a:ext uri="{FF2B5EF4-FFF2-40B4-BE49-F238E27FC236}">
                  <a16:creationId xmlns:a16="http://schemas.microsoft.com/office/drawing/2014/main" xmlns="" id="{00000000-0008-0000-2A00-000052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2" name="CuadroTexto 8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3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uadroTexto 82">
              <a:extLst>
                <a:ext uri="{FF2B5EF4-FFF2-40B4-BE49-F238E27FC236}">
                  <a16:creationId xmlns:a16="http://schemas.microsoft.com/office/drawing/2014/main" xmlns="" id="{00000000-0008-0000-2A00-000053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3" name="CuadroTexto 8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4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xmlns="" id="{00000000-0008-0000-2A00-00005400000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85" name="CuadroTexto 84">
          <a:extLst>
            <a:ext uri="{FF2B5EF4-FFF2-40B4-BE49-F238E27FC236}">
              <a16:creationId xmlns:a16="http://schemas.microsoft.com/office/drawing/2014/main" xmlns="" id="{00000000-0008-0000-2A00-000055000000}"/>
            </a:ext>
          </a:extLst>
        </xdr:cNvPr>
        <xdr:cNvSpPr txBox="1"/>
      </xdr:nvSpPr>
      <xdr:spPr>
        <a:xfrm>
          <a:off x="4118113" y="1387916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CuadroTexto 85">
              <a:extLst>
                <a:ext uri="{FF2B5EF4-FFF2-40B4-BE49-F238E27FC236}">
                  <a16:creationId xmlns:a16="http://schemas.microsoft.com/office/drawing/2014/main" xmlns="" id="{00000000-0008-0000-2A00-000056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6" name="CuadroTexto 85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9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uadroTexto 86">
              <a:extLst>
                <a:ext uri="{FF2B5EF4-FFF2-40B4-BE49-F238E27FC236}">
                  <a16:creationId xmlns:a16="http://schemas.microsoft.com/office/drawing/2014/main" xmlns="" id="{00000000-0008-0000-2A00-000057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7" name="CuadroTexto 86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A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uadroTexto 87">
              <a:extLst>
                <a:ext uri="{FF2B5EF4-FFF2-40B4-BE49-F238E27FC236}">
                  <a16:creationId xmlns:a16="http://schemas.microsoft.com/office/drawing/2014/main" xmlns="" id="{00000000-0008-0000-2A00-000058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8" name="CuadroTexto 87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B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CuadroTexto 88">
              <a:extLst>
                <a:ext uri="{FF2B5EF4-FFF2-40B4-BE49-F238E27FC236}">
                  <a16:creationId xmlns:a16="http://schemas.microsoft.com/office/drawing/2014/main" xmlns="" id="{00000000-0008-0000-2A00-000059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9" name="CuadroTexto 88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1C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xmlns="" id="{00000000-0008-0000-2A00-00005A00000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91" name="CuadroTexto 90">
          <a:extLst>
            <a:ext uri="{FF2B5EF4-FFF2-40B4-BE49-F238E27FC236}">
              <a16:creationId xmlns:a16="http://schemas.microsoft.com/office/drawing/2014/main" xmlns="" id="{00000000-0008-0000-2A00-00005B000000}"/>
            </a:ext>
          </a:extLst>
        </xdr:cNvPr>
        <xdr:cNvSpPr txBox="1"/>
      </xdr:nvSpPr>
      <xdr:spPr>
        <a:xfrm>
          <a:off x="4118113" y="1387916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uadroTexto 91">
              <a:extLst>
                <a:ext uri="{FF2B5EF4-FFF2-40B4-BE49-F238E27FC236}">
                  <a16:creationId xmlns:a16="http://schemas.microsoft.com/office/drawing/2014/main" xmlns="" id="{00000000-0008-0000-2A00-00005C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2" name="CuadroTexto 9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2000000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uadroTexto 92">
              <a:extLst>
                <a:ext uri="{FF2B5EF4-FFF2-40B4-BE49-F238E27FC236}">
                  <a16:creationId xmlns:a16="http://schemas.microsoft.com/office/drawing/2014/main" xmlns="" id="{00000000-0008-0000-2A00-00005D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3" name="CuadroTexto 9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2100000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" name="CuadroTexto 93">
              <a:extLst>
                <a:ext uri="{FF2B5EF4-FFF2-40B4-BE49-F238E27FC236}">
                  <a16:creationId xmlns:a16="http://schemas.microsoft.com/office/drawing/2014/main" xmlns="" id="{00000000-0008-0000-2A00-00005E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4" name="CuadroTexto 93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2200000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" name="CuadroTexto 94">
              <a:extLst>
                <a:ext uri="{FF2B5EF4-FFF2-40B4-BE49-F238E27FC236}">
                  <a16:creationId xmlns:a16="http://schemas.microsoft.com/office/drawing/2014/main" xmlns="" id="{00000000-0008-0000-2A00-00005F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5" name="CuadroTexto 94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800-00002300000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96" name="CuadroTexto 95">
          <a:extLst>
            <a:ext uri="{FF2B5EF4-FFF2-40B4-BE49-F238E27FC236}">
              <a16:creationId xmlns:a16="http://schemas.microsoft.com/office/drawing/2014/main" xmlns="" id="{00000000-0008-0000-2A00-00006000000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711A813F-CF52-446D-A5BF-9AAA5824C80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711A813F-CF52-446D-A5BF-9AAA5824C80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xmlns="" id="{A307E556-8EE0-4379-A454-993C6800C03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6" name="CuadroTexto 75">
              <a:extLst>
                <a:ext uri="{FF2B5EF4-FFF2-40B4-BE49-F238E27FC236}">
                  <a16:creationId xmlns:a16="http://schemas.microsoft.com/office/drawing/2014/main" id="{A307E556-8EE0-4379-A454-993C6800C03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03717CC8-E87F-43D4-AA0F-DB77F3B67F2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03717CC8-E87F-43D4-AA0F-DB77F3B67F2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CuadroTexto 96">
              <a:extLst>
                <a:ext uri="{FF2B5EF4-FFF2-40B4-BE49-F238E27FC236}">
                  <a16:creationId xmlns:a16="http://schemas.microsoft.com/office/drawing/2014/main" xmlns="" id="{F6A2BB74-D28C-4AB6-A1C3-3BB812FD6B2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7" name="CuadroTexto 96">
              <a:extLst>
                <a:ext uri="{FF2B5EF4-FFF2-40B4-BE49-F238E27FC236}">
                  <a16:creationId xmlns:a16="http://schemas.microsoft.com/office/drawing/2014/main" id="{F6A2BB74-D28C-4AB6-A1C3-3BB812FD6B2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98" name="CuadroTexto 97">
          <a:extLst>
            <a:ext uri="{FF2B5EF4-FFF2-40B4-BE49-F238E27FC236}">
              <a16:creationId xmlns:a16="http://schemas.microsoft.com/office/drawing/2014/main" xmlns="" id="{CD03B346-A68C-4CAA-8BFB-45908862172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" name="CuadroTexto 98">
              <a:extLst>
                <a:ext uri="{FF2B5EF4-FFF2-40B4-BE49-F238E27FC236}">
                  <a16:creationId xmlns:a16="http://schemas.microsoft.com/office/drawing/2014/main" xmlns="" id="{98393CF7-C7AD-419B-B90A-7AD1E472086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99" name="CuadroTexto 98">
              <a:extLst>
                <a:ext uri="{FF2B5EF4-FFF2-40B4-BE49-F238E27FC236}">
                  <a16:creationId xmlns:a16="http://schemas.microsoft.com/office/drawing/2014/main" id="{98393CF7-C7AD-419B-B90A-7AD1E4720860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CuadroTexto 99">
              <a:extLst>
                <a:ext uri="{FF2B5EF4-FFF2-40B4-BE49-F238E27FC236}">
                  <a16:creationId xmlns:a16="http://schemas.microsoft.com/office/drawing/2014/main" xmlns="" id="{AA114E35-5DFC-4586-9791-2A30E106951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0" name="CuadroTexto 99">
              <a:extLst>
                <a:ext uri="{FF2B5EF4-FFF2-40B4-BE49-F238E27FC236}">
                  <a16:creationId xmlns:a16="http://schemas.microsoft.com/office/drawing/2014/main" id="{AA114E35-5DFC-4586-9791-2A30E106951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CuadroTexto 100">
              <a:extLst>
                <a:ext uri="{FF2B5EF4-FFF2-40B4-BE49-F238E27FC236}">
                  <a16:creationId xmlns:a16="http://schemas.microsoft.com/office/drawing/2014/main" xmlns="" id="{B21D3576-50BB-4A1A-A477-1AC0BC55044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1" name="CuadroTexto 100">
              <a:extLst>
                <a:ext uri="{FF2B5EF4-FFF2-40B4-BE49-F238E27FC236}">
                  <a16:creationId xmlns:a16="http://schemas.microsoft.com/office/drawing/2014/main" id="{B21D3576-50BB-4A1A-A477-1AC0BC550448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CuadroTexto 101">
              <a:extLst>
                <a:ext uri="{FF2B5EF4-FFF2-40B4-BE49-F238E27FC236}">
                  <a16:creationId xmlns:a16="http://schemas.microsoft.com/office/drawing/2014/main" xmlns="" id="{F6F2786A-9261-4CFB-B251-FF979EBB3B9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2" name="CuadroTexto 101">
              <a:extLst>
                <a:ext uri="{FF2B5EF4-FFF2-40B4-BE49-F238E27FC236}">
                  <a16:creationId xmlns:a16="http://schemas.microsoft.com/office/drawing/2014/main" id="{F6F2786A-9261-4CFB-B251-FF979EBB3B93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103" name="CuadroTexto 102">
          <a:extLst>
            <a:ext uri="{FF2B5EF4-FFF2-40B4-BE49-F238E27FC236}">
              <a16:creationId xmlns:a16="http://schemas.microsoft.com/office/drawing/2014/main" xmlns="" id="{40D99FFA-2353-47ED-B553-56F8A8893B2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CuadroTexto 103">
              <a:extLst>
                <a:ext uri="{FF2B5EF4-FFF2-40B4-BE49-F238E27FC236}">
                  <a16:creationId xmlns:a16="http://schemas.microsoft.com/office/drawing/2014/main" xmlns="" id="{A1BA424B-932D-477B-A046-F261ED607E3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4" name="CuadroTexto 103">
              <a:extLst>
                <a:ext uri="{FF2B5EF4-FFF2-40B4-BE49-F238E27FC236}">
                  <a16:creationId xmlns:a16="http://schemas.microsoft.com/office/drawing/2014/main" id="{A1BA424B-932D-477B-A046-F261ED607E3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CuadroTexto 104">
              <a:extLst>
                <a:ext uri="{FF2B5EF4-FFF2-40B4-BE49-F238E27FC236}">
                  <a16:creationId xmlns:a16="http://schemas.microsoft.com/office/drawing/2014/main" xmlns="" id="{27805EC8-9CC1-487E-B425-6A86D10E32D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5" name="CuadroTexto 104">
              <a:extLst>
                <a:ext uri="{FF2B5EF4-FFF2-40B4-BE49-F238E27FC236}">
                  <a16:creationId xmlns:a16="http://schemas.microsoft.com/office/drawing/2014/main" id="{27805EC8-9CC1-487E-B425-6A86D10E32D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CuadroTexto 105">
              <a:extLst>
                <a:ext uri="{FF2B5EF4-FFF2-40B4-BE49-F238E27FC236}">
                  <a16:creationId xmlns:a16="http://schemas.microsoft.com/office/drawing/2014/main" xmlns="" id="{CD9EF4F9-4AC1-4D4F-9616-81A3928894E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6" name="CuadroTexto 105">
              <a:extLst>
                <a:ext uri="{FF2B5EF4-FFF2-40B4-BE49-F238E27FC236}">
                  <a16:creationId xmlns:a16="http://schemas.microsoft.com/office/drawing/2014/main" id="{CD9EF4F9-4AC1-4D4F-9616-81A3928894E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uadroTexto 106">
              <a:extLst>
                <a:ext uri="{FF2B5EF4-FFF2-40B4-BE49-F238E27FC236}">
                  <a16:creationId xmlns:a16="http://schemas.microsoft.com/office/drawing/2014/main" xmlns="" id="{E4206C92-6D0A-4CD8-BE5B-AF611DB9A08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7" name="CuadroTexto 106">
              <a:extLst>
                <a:ext uri="{FF2B5EF4-FFF2-40B4-BE49-F238E27FC236}">
                  <a16:creationId xmlns:a16="http://schemas.microsoft.com/office/drawing/2014/main" id="{E4206C92-6D0A-4CD8-BE5B-AF611DB9A08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108" name="CuadroTexto 107">
          <a:extLst>
            <a:ext uri="{FF2B5EF4-FFF2-40B4-BE49-F238E27FC236}">
              <a16:creationId xmlns:a16="http://schemas.microsoft.com/office/drawing/2014/main" xmlns="" id="{BADE81F5-1FA3-4A37-B249-C9EA065D2C2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9" name="CuadroTexto 108">
              <a:extLst>
                <a:ext uri="{FF2B5EF4-FFF2-40B4-BE49-F238E27FC236}">
                  <a16:creationId xmlns:a16="http://schemas.microsoft.com/office/drawing/2014/main" xmlns="" id="{06C25597-34FF-489B-A0F7-87D69541E06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09" name="CuadroTexto 108">
              <a:extLst>
                <a:ext uri="{FF2B5EF4-FFF2-40B4-BE49-F238E27FC236}">
                  <a16:creationId xmlns:a16="http://schemas.microsoft.com/office/drawing/2014/main" id="{06C25597-34FF-489B-A0F7-87D69541E06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CuadroTexto 109">
              <a:extLst>
                <a:ext uri="{FF2B5EF4-FFF2-40B4-BE49-F238E27FC236}">
                  <a16:creationId xmlns:a16="http://schemas.microsoft.com/office/drawing/2014/main" xmlns="" id="{036D1050-AAEB-4EE3-A4C5-6706613B581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0" name="CuadroTexto 109">
              <a:extLst>
                <a:ext uri="{FF2B5EF4-FFF2-40B4-BE49-F238E27FC236}">
                  <a16:creationId xmlns:a16="http://schemas.microsoft.com/office/drawing/2014/main" id="{036D1050-AAEB-4EE3-A4C5-6706613B581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1" name="CuadroTexto 110">
              <a:extLst>
                <a:ext uri="{FF2B5EF4-FFF2-40B4-BE49-F238E27FC236}">
                  <a16:creationId xmlns:a16="http://schemas.microsoft.com/office/drawing/2014/main" xmlns="" id="{FBFCB83D-A599-4E1C-9019-4FCBBEDFCD9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1" name="CuadroTexto 110">
              <a:extLst>
                <a:ext uri="{FF2B5EF4-FFF2-40B4-BE49-F238E27FC236}">
                  <a16:creationId xmlns:a16="http://schemas.microsoft.com/office/drawing/2014/main" id="{FBFCB83D-A599-4E1C-9019-4FCBBEDFCD9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2" name="CuadroTexto 111">
              <a:extLst>
                <a:ext uri="{FF2B5EF4-FFF2-40B4-BE49-F238E27FC236}">
                  <a16:creationId xmlns:a16="http://schemas.microsoft.com/office/drawing/2014/main" xmlns="" id="{1CA77899-39DE-404C-A741-0299BBA363F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2" name="CuadroTexto 111">
              <a:extLst>
                <a:ext uri="{FF2B5EF4-FFF2-40B4-BE49-F238E27FC236}">
                  <a16:creationId xmlns:a16="http://schemas.microsoft.com/office/drawing/2014/main" id="{1CA77899-39DE-404C-A741-0299BBA363F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xmlns="" id="{860B5DEC-4CD7-48F5-BF57-6FE7461A3F3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4" name="CuadroTexto 113">
              <a:extLst>
                <a:ext uri="{FF2B5EF4-FFF2-40B4-BE49-F238E27FC236}">
                  <a16:creationId xmlns:a16="http://schemas.microsoft.com/office/drawing/2014/main" xmlns="" id="{26A91232-AD32-42E1-B9A3-7A585F5CF34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4" name="CuadroTexto 113">
              <a:extLst>
                <a:ext uri="{FF2B5EF4-FFF2-40B4-BE49-F238E27FC236}">
                  <a16:creationId xmlns:a16="http://schemas.microsoft.com/office/drawing/2014/main" id="{26A91232-AD32-42E1-B9A3-7A585F5CF34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5" name="CuadroTexto 114">
              <a:extLst>
                <a:ext uri="{FF2B5EF4-FFF2-40B4-BE49-F238E27FC236}">
                  <a16:creationId xmlns:a16="http://schemas.microsoft.com/office/drawing/2014/main" xmlns="" id="{0F8C60C2-FA82-4002-8B94-1094FDA20A1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5" name="CuadroTexto 114">
              <a:extLst>
                <a:ext uri="{FF2B5EF4-FFF2-40B4-BE49-F238E27FC236}">
                  <a16:creationId xmlns:a16="http://schemas.microsoft.com/office/drawing/2014/main" id="{0F8C60C2-FA82-4002-8B94-1094FDA20A1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6" name="CuadroTexto 115">
              <a:extLst>
                <a:ext uri="{FF2B5EF4-FFF2-40B4-BE49-F238E27FC236}">
                  <a16:creationId xmlns:a16="http://schemas.microsoft.com/office/drawing/2014/main" xmlns="" id="{EE7F7C5F-D352-4E7C-A759-7A8A4EAACB21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6" name="CuadroTexto 115">
              <a:extLst>
                <a:ext uri="{FF2B5EF4-FFF2-40B4-BE49-F238E27FC236}">
                  <a16:creationId xmlns:a16="http://schemas.microsoft.com/office/drawing/2014/main" id="{EE7F7C5F-D352-4E7C-A759-7A8A4EAACB21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7" name="CuadroTexto 116">
              <a:extLst>
                <a:ext uri="{FF2B5EF4-FFF2-40B4-BE49-F238E27FC236}">
                  <a16:creationId xmlns:a16="http://schemas.microsoft.com/office/drawing/2014/main" xmlns="" id="{E42A5895-CE4B-4A50-95E4-C94EACBA9E8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7" name="CuadroTexto 116">
              <a:extLst>
                <a:ext uri="{FF2B5EF4-FFF2-40B4-BE49-F238E27FC236}">
                  <a16:creationId xmlns:a16="http://schemas.microsoft.com/office/drawing/2014/main" id="{E42A5895-CE4B-4A50-95E4-C94EACBA9E8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xmlns="" id="{D4606F1D-15C2-4CCD-B696-9DA8B69196C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CuadroTexto 118">
              <a:extLst>
                <a:ext uri="{FF2B5EF4-FFF2-40B4-BE49-F238E27FC236}">
                  <a16:creationId xmlns:a16="http://schemas.microsoft.com/office/drawing/2014/main" xmlns="" id="{F6E5639A-E2C6-4EB2-9DCE-14FE5CAF3CA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19" name="CuadroTexto 118">
              <a:extLst>
                <a:ext uri="{FF2B5EF4-FFF2-40B4-BE49-F238E27FC236}">
                  <a16:creationId xmlns:a16="http://schemas.microsoft.com/office/drawing/2014/main" id="{F6E5639A-E2C6-4EB2-9DCE-14FE5CAF3CA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0" name="CuadroTexto 119">
              <a:extLst>
                <a:ext uri="{FF2B5EF4-FFF2-40B4-BE49-F238E27FC236}">
                  <a16:creationId xmlns:a16="http://schemas.microsoft.com/office/drawing/2014/main" xmlns="" id="{9DE158F7-7898-4BCA-9E9E-18F141D065E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20" name="CuadroTexto 119">
              <a:extLst>
                <a:ext uri="{FF2B5EF4-FFF2-40B4-BE49-F238E27FC236}">
                  <a16:creationId xmlns:a16="http://schemas.microsoft.com/office/drawing/2014/main" id="{9DE158F7-7898-4BCA-9E9E-18F141D065E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1" name="CuadroTexto 120">
              <a:extLst>
                <a:ext uri="{FF2B5EF4-FFF2-40B4-BE49-F238E27FC236}">
                  <a16:creationId xmlns:a16="http://schemas.microsoft.com/office/drawing/2014/main" xmlns="" id="{AFEF1F32-1157-44E9-8758-DF9E662DA78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21" name="CuadroTexto 120">
              <a:extLst>
                <a:ext uri="{FF2B5EF4-FFF2-40B4-BE49-F238E27FC236}">
                  <a16:creationId xmlns:a16="http://schemas.microsoft.com/office/drawing/2014/main" id="{AFEF1F32-1157-44E9-8758-DF9E662DA78D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2" name="CuadroTexto 121">
              <a:extLst>
                <a:ext uri="{FF2B5EF4-FFF2-40B4-BE49-F238E27FC236}">
                  <a16:creationId xmlns:a16="http://schemas.microsoft.com/office/drawing/2014/main" xmlns="" id="{8D20033A-998B-460C-BA2D-0C5848BF580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22" name="CuadroTexto 121">
              <a:extLst>
                <a:ext uri="{FF2B5EF4-FFF2-40B4-BE49-F238E27FC236}">
                  <a16:creationId xmlns:a16="http://schemas.microsoft.com/office/drawing/2014/main" id="{8D20033A-998B-460C-BA2D-0C5848BF580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123" name="CuadroTexto 122">
          <a:extLst>
            <a:ext uri="{FF2B5EF4-FFF2-40B4-BE49-F238E27FC236}">
              <a16:creationId xmlns:a16="http://schemas.microsoft.com/office/drawing/2014/main" xmlns="" id="{C15D2EA4-FC6D-4635-ACE2-2524AE108B2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0</xdr:colOff>
      <xdr:row>78</xdr:row>
      <xdr:rowOff>273844</xdr:rowOff>
    </xdr:from>
    <xdr:to>
      <xdr:col>4</xdr:col>
      <xdr:colOff>938670</xdr:colOff>
      <xdr:row>83</xdr:row>
      <xdr:rowOff>266579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xmlns="" id="{3314DF56-03EA-482C-9AB0-8FB4D2255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464344</xdr:colOff>
      <xdr:row>0</xdr:row>
      <xdr:rowOff>130968</xdr:rowOff>
    </xdr:from>
    <xdr:to>
      <xdr:col>1</xdr:col>
      <xdr:colOff>835343</xdr:colOff>
      <xdr:row>0</xdr:row>
      <xdr:rowOff>884713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E785B398-7DB8-A255-7097-7C87C4DE8A3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30968"/>
          <a:ext cx="1621155" cy="75374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2100-000003000000}"/>
                </a:ext>
              </a:extLst>
            </xdr:cNvPr>
            <xdr:cNvSpPr txBox="1"/>
          </xdr:nvSpPr>
          <xdr:spPr>
            <a:xfrm>
              <a:off x="1124135" y="142855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3000000}"/>
                </a:ext>
              </a:extLst>
            </xdr:cNvPr>
            <xdr:cNvSpPr txBox="1"/>
          </xdr:nvSpPr>
          <xdr:spPr>
            <a:xfrm>
              <a:off x="1124135" y="142855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2100-000004000000}"/>
                </a:ext>
              </a:extLst>
            </xdr:cNvPr>
            <xdr:cNvSpPr txBox="1"/>
          </xdr:nvSpPr>
          <xdr:spPr>
            <a:xfrm>
              <a:off x="974932" y="2008408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4000000}"/>
                </a:ext>
              </a:extLst>
            </xdr:cNvPr>
            <xdr:cNvSpPr txBox="1"/>
          </xdr:nvSpPr>
          <xdr:spPr>
            <a:xfrm>
              <a:off x="974932" y="2008408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2100-000005000000}"/>
                </a:ext>
              </a:extLst>
            </xdr:cNvPr>
            <xdr:cNvSpPr txBox="1"/>
          </xdr:nvSpPr>
          <xdr:spPr>
            <a:xfrm>
              <a:off x="1040851" y="22296612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5000000}"/>
                </a:ext>
              </a:extLst>
            </xdr:cNvPr>
            <xdr:cNvSpPr txBox="1"/>
          </xdr:nvSpPr>
          <xdr:spPr>
            <a:xfrm>
              <a:off x="1040851" y="22296612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2100-000006000000}"/>
                </a:ext>
              </a:extLst>
            </xdr:cNvPr>
            <xdr:cNvSpPr txBox="1"/>
          </xdr:nvSpPr>
          <xdr:spPr>
            <a:xfrm>
              <a:off x="872366" y="215481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6000000}"/>
                </a:ext>
              </a:extLst>
            </xdr:cNvPr>
            <xdr:cNvSpPr txBox="1"/>
          </xdr:nvSpPr>
          <xdr:spPr>
            <a:xfrm>
              <a:off x="872366" y="215481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2100-000007000000}"/>
                </a:ext>
              </a:extLst>
            </xdr:cNvPr>
            <xdr:cNvSpPr txBox="1"/>
          </xdr:nvSpPr>
          <xdr:spPr>
            <a:xfrm>
              <a:off x="1022070" y="2302939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7000000}"/>
                </a:ext>
              </a:extLst>
            </xdr:cNvPr>
            <xdr:cNvSpPr txBox="1"/>
          </xdr:nvSpPr>
          <xdr:spPr>
            <a:xfrm>
              <a:off x="1022070" y="2302939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2100-000008000000}"/>
                </a:ext>
              </a:extLst>
            </xdr:cNvPr>
            <xdr:cNvSpPr txBox="1"/>
          </xdr:nvSpPr>
          <xdr:spPr>
            <a:xfrm>
              <a:off x="1024498" y="23764781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8000000}"/>
                </a:ext>
              </a:extLst>
            </xdr:cNvPr>
            <xdr:cNvSpPr txBox="1"/>
          </xdr:nvSpPr>
          <xdr:spPr>
            <a:xfrm>
              <a:off x="1024498" y="23764781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2100-000009000000}"/>
                </a:ext>
              </a:extLst>
            </xdr:cNvPr>
            <xdr:cNvSpPr txBox="1"/>
          </xdr:nvSpPr>
          <xdr:spPr>
            <a:xfrm>
              <a:off x="1024498" y="244538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9000000}"/>
                </a:ext>
              </a:extLst>
            </xdr:cNvPr>
            <xdr:cNvSpPr txBox="1"/>
          </xdr:nvSpPr>
          <xdr:spPr>
            <a:xfrm>
              <a:off x="1024498" y="244538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2100-00000A000000}"/>
                </a:ext>
              </a:extLst>
            </xdr:cNvPr>
            <xdr:cNvSpPr txBox="1"/>
          </xdr:nvSpPr>
          <xdr:spPr>
            <a:xfrm>
              <a:off x="1103779" y="25253483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A000000}"/>
                </a:ext>
              </a:extLst>
            </xdr:cNvPr>
            <xdr:cNvSpPr txBox="1"/>
          </xdr:nvSpPr>
          <xdr:spPr>
            <a:xfrm>
              <a:off x="1103779" y="25253483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2100-00000B000000}"/>
                </a:ext>
              </a:extLst>
            </xdr:cNvPr>
            <xdr:cNvSpPr txBox="1"/>
          </xdr:nvSpPr>
          <xdr:spPr>
            <a:xfrm>
              <a:off x="1099591" y="2599268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B000000}"/>
                </a:ext>
              </a:extLst>
            </xdr:cNvPr>
            <xdr:cNvSpPr txBox="1"/>
          </xdr:nvSpPr>
          <xdr:spPr>
            <a:xfrm>
              <a:off x="1099591" y="2599268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2100-00000C000000}"/>
                </a:ext>
              </a:extLst>
            </xdr:cNvPr>
            <xdr:cNvSpPr txBox="1"/>
          </xdr:nvSpPr>
          <xdr:spPr>
            <a:xfrm>
              <a:off x="5251321" y="2752566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C000000}"/>
                </a:ext>
              </a:extLst>
            </xdr:cNvPr>
            <xdr:cNvSpPr txBox="1"/>
          </xdr:nvSpPr>
          <xdr:spPr>
            <a:xfrm>
              <a:off x="5251321" y="2752566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2100-00000D000000}"/>
                </a:ext>
              </a:extLst>
            </xdr:cNvPr>
            <xdr:cNvSpPr txBox="1"/>
          </xdr:nvSpPr>
          <xdr:spPr>
            <a:xfrm>
              <a:off x="5101715" y="28048052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D000000}"/>
                </a:ext>
              </a:extLst>
            </xdr:cNvPr>
            <xdr:cNvSpPr txBox="1"/>
          </xdr:nvSpPr>
          <xdr:spPr>
            <a:xfrm>
              <a:off x="5101715" y="28048052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2100-00000E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E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2100-00000F000000}"/>
                </a:ext>
              </a:extLst>
            </xdr:cNvPr>
            <xdr:cNvSpPr txBox="1"/>
          </xdr:nvSpPr>
          <xdr:spPr>
            <a:xfrm>
              <a:off x="9313794" y="1792853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0F000000}"/>
                </a:ext>
              </a:extLst>
            </xdr:cNvPr>
            <xdr:cNvSpPr txBox="1"/>
          </xdr:nvSpPr>
          <xdr:spPr>
            <a:xfrm>
              <a:off x="9313794" y="1792853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2100-000010000000}"/>
            </a:ext>
          </a:extLst>
        </xdr:cNvPr>
        <xdr:cNvSpPr txBox="1"/>
      </xdr:nvSpPr>
      <xdr:spPr>
        <a:xfrm>
          <a:off x="3975238" y="130219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2100-000011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1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2100-000012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2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2100-000013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3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2100-000014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4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2100-000015000000}"/>
            </a:ext>
          </a:extLst>
        </xdr:cNvPr>
        <xdr:cNvSpPr txBox="1"/>
      </xdr:nvSpPr>
      <xdr:spPr>
        <a:xfrm>
          <a:off x="1186072" y="138485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2100-000016000000}"/>
                </a:ext>
              </a:extLst>
            </xdr:cNvPr>
            <xdr:cNvSpPr txBox="1"/>
          </xdr:nvSpPr>
          <xdr:spPr>
            <a:xfrm>
              <a:off x="2922506" y="293637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2922506" y="293637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2100-000017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3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2100-000018000000}"/>
            </a:ext>
          </a:extLst>
        </xdr:cNvPr>
        <xdr:cNvSpPr txBox="1"/>
      </xdr:nvSpPr>
      <xdr:spPr>
        <a:xfrm>
          <a:off x="3975238" y="130219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2100-000019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6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2100-00001A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7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2100-00001B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8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2100-00001C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29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2100-00001D000000}"/>
            </a:ext>
          </a:extLst>
        </xdr:cNvPr>
        <xdr:cNvSpPr txBox="1"/>
      </xdr:nvSpPr>
      <xdr:spPr>
        <a:xfrm>
          <a:off x="1186072" y="138485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2100-00001E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8000000}"/>
                </a:ext>
              </a:extLst>
            </xdr:cNvPr>
            <xdr:cNvSpPr txBox="1"/>
          </xdr:nvSpPr>
          <xdr:spPr>
            <a:xfrm>
              <a:off x="1911627" y="1799065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2100-00001F000000}"/>
            </a:ext>
          </a:extLst>
        </xdr:cNvPr>
        <xdr:cNvSpPr txBox="1"/>
      </xdr:nvSpPr>
      <xdr:spPr>
        <a:xfrm>
          <a:off x="3975238" y="130219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2100-000020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B000000}"/>
                </a:ext>
              </a:extLst>
            </xdr:cNvPr>
            <xdr:cNvSpPr txBox="1"/>
          </xdr:nvSpPr>
          <xdr:spPr>
            <a:xfrm>
              <a:off x="1169504" y="130484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2100-000021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C000000}"/>
                </a:ext>
              </a:extLst>
            </xdr:cNvPr>
            <xdr:cNvSpPr txBox="1"/>
          </xdr:nvSpPr>
          <xdr:spPr>
            <a:xfrm>
              <a:off x="1144657" y="134567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2100-000022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D000000}"/>
                </a:ext>
              </a:extLst>
            </xdr:cNvPr>
            <xdr:cNvSpPr txBox="1"/>
          </xdr:nvSpPr>
          <xdr:spPr>
            <a:xfrm>
              <a:off x="1244048" y="138568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2100-000023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3E000000}"/>
                </a:ext>
              </a:extLst>
            </xdr:cNvPr>
            <xdr:cNvSpPr txBox="1"/>
          </xdr:nvSpPr>
          <xdr:spPr>
            <a:xfrm>
              <a:off x="1036982" y="138485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2100-000024000000}"/>
            </a:ext>
          </a:extLst>
        </xdr:cNvPr>
        <xdr:cNvSpPr txBox="1"/>
      </xdr:nvSpPr>
      <xdr:spPr>
        <a:xfrm>
          <a:off x="1186072" y="138485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2100-000026000000}"/>
            </a:ext>
          </a:extLst>
        </xdr:cNvPr>
        <xdr:cNvSpPr txBox="1"/>
      </xdr:nvSpPr>
      <xdr:spPr>
        <a:xfrm>
          <a:off x="12001500" y="22031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2100-000027000000}"/>
                </a:ext>
              </a:extLst>
            </xdr:cNvPr>
            <xdr:cNvSpPr txBox="1"/>
          </xdr:nvSpPr>
          <xdr:spPr>
            <a:xfrm>
              <a:off x="5397500" y="293814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5397500" y="293814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2100-000028000000}"/>
                </a:ext>
              </a:extLst>
            </xdr:cNvPr>
            <xdr:cNvSpPr txBox="1"/>
          </xdr:nvSpPr>
          <xdr:spPr>
            <a:xfrm>
              <a:off x="3872442" y="293708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872442" y="293708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59530</xdr:colOff>
      <xdr:row>73</xdr:row>
      <xdr:rowOff>95250</xdr:rowOff>
    </xdr:from>
    <xdr:ext cx="678657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xmlns="" id="{00000000-0008-0000-2100-00002A000000}"/>
                </a:ext>
              </a:extLst>
            </xdr:cNvPr>
            <xdr:cNvSpPr txBox="1"/>
          </xdr:nvSpPr>
          <xdr:spPr>
            <a:xfrm>
              <a:off x="940593" y="30206156"/>
              <a:ext cx="67865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40593" y="30206156"/>
              <a:ext cx="67865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xmlns="" id="{00000000-0008-0000-2100-00002B000000}"/>
                </a:ext>
              </a:extLst>
            </xdr:cNvPr>
            <xdr:cNvSpPr txBox="1"/>
          </xdr:nvSpPr>
          <xdr:spPr>
            <a:xfrm>
              <a:off x="9396942" y="295084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9396942" y="295084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(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𝒎 𝒄𝒕 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2100-00002C000000}"/>
            </a:ext>
          </a:extLst>
        </xdr:cNvPr>
        <xdr:cNvSpPr txBox="1"/>
      </xdr:nvSpPr>
      <xdr:spPr>
        <a:xfrm>
          <a:off x="10299702" y="298217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2100-00002D000000}"/>
            </a:ext>
          </a:extLst>
        </xdr:cNvPr>
        <xdr:cNvSpPr txBox="1"/>
      </xdr:nvSpPr>
      <xdr:spPr>
        <a:xfrm>
          <a:off x="10267949" y="3029161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00000000-0008-0000-2100-00002E000000}"/>
            </a:ext>
          </a:extLst>
        </xdr:cNvPr>
        <xdr:cNvSpPr txBox="1"/>
      </xdr:nvSpPr>
      <xdr:spPr>
        <a:xfrm>
          <a:off x="6371167" y="298852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2100-00002F000000}"/>
            </a:ext>
          </a:extLst>
        </xdr:cNvPr>
        <xdr:cNvSpPr txBox="1"/>
      </xdr:nvSpPr>
      <xdr:spPr>
        <a:xfrm>
          <a:off x="6424083" y="3025986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id="{00000000-0008-0000-2100-000030000000}"/>
                </a:ext>
              </a:extLst>
            </xdr:cNvPr>
            <xdr:cNvSpPr txBox="1"/>
          </xdr:nvSpPr>
          <xdr:spPr>
            <a:xfrm>
              <a:off x="3246966" y="2885863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8" name="CuadroTexto 47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1000-000016000000}"/>
                </a:ext>
              </a:extLst>
            </xdr:cNvPr>
            <xdr:cNvSpPr txBox="1"/>
          </xdr:nvSpPr>
          <xdr:spPr>
            <a:xfrm>
              <a:off x="3246966" y="2885863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xmlns="" id="{00000000-0008-0000-2100-000031000000}"/>
            </a:ext>
          </a:extLst>
        </xdr:cNvPr>
        <xdr:cNvSpPr txBox="1"/>
      </xdr:nvSpPr>
      <xdr:spPr>
        <a:xfrm>
          <a:off x="7555706" y="2876192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158750</xdr:colOff>
      <xdr:row>67</xdr:row>
      <xdr:rowOff>285750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0000000-0008-0000-2100-000033000000}"/>
                </a:ext>
              </a:extLst>
            </xdr:cNvPr>
            <xdr:cNvSpPr txBox="1"/>
          </xdr:nvSpPr>
          <xdr:spPr>
            <a:xfrm>
              <a:off x="1190625" y="27305000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344441BD-50E3-4C4E-9F2B-F121DD83AECC}"/>
                </a:ext>
              </a:extLst>
            </xdr:cNvPr>
            <xdr:cNvSpPr txBox="1"/>
          </xdr:nvSpPr>
          <xdr:spPr>
            <a:xfrm>
              <a:off x="1190625" y="27305000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433915</xdr:colOff>
      <xdr:row>63</xdr:row>
      <xdr:rowOff>148167</xdr:rowOff>
    </xdr:from>
    <xdr:to>
      <xdr:col>13</xdr:col>
      <xdr:colOff>701144</xdr:colOff>
      <xdr:row>65</xdr:row>
      <xdr:rowOff>418042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2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D5E007E-3EA3-431B-BFE0-4DE2435A815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0D5E007E-3EA3-431B-BFE0-4DE2435A815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2C15D1DD-23C4-4FDC-8962-5AA4AC3DFA3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2C15D1DD-23C4-4FDC-8962-5AA4AC3DFA3E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21BC2F75-3F61-46A2-B73A-C498486A522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21BC2F75-3F61-46A2-B73A-C498486A522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0EC33CBF-4D63-4549-A67C-64FA017BAE4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0EC33CBF-4D63-4549-A67C-64FA017BAE42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1BDE14BE-6ECC-4522-9D06-07FAFF1CC2E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DE94AA80-ABB6-4192-A985-3A7DCEBE16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DE94AA80-ABB6-4192-A985-3A7DCEBE1673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9AAB0C27-A365-4802-8AF0-D76C71492E0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9AAB0C27-A365-4802-8AF0-D76C71492E0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7E0CEA7F-8478-4324-A16D-460D2D7806B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7E0CEA7F-8478-4324-A16D-460D2D7806B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EDE201B9-3CA6-4807-AFAA-3B10AEC3F5A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EDE201B9-3CA6-4807-AFAA-3B10AEC3F5A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650FBBF6-5970-4136-8D73-346B9E1F106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89161249-80A9-4677-8255-82A121C61E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89161249-80A9-4677-8255-82A121C61E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6AB381CF-976D-4FA1-8CB5-B9B318C8538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6AB381CF-976D-4FA1-8CB5-B9B318C8538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034A3D0A-5526-432B-B815-37E6C71F946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034A3D0A-5526-432B-B815-37E6C71F946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DF8487E1-461A-43EA-97E9-CD8C27FFA48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DF8487E1-461A-43EA-97E9-CD8C27FFA48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F413658A-E317-42FC-95FD-B1C5E631923C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981629AE-D5CB-4137-BBC1-4E0941A330E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981629AE-D5CB-4137-BBC1-4E0941A330E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89C2361B-6FD0-4A93-B248-A29F216C838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89C2361B-6FD0-4A93-B248-A29F216C8383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3EFCE5F7-2983-45EE-833D-7AD59153B12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3EFCE5F7-2983-45EE-833D-7AD59153B12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xmlns="" id="{5C9D0B9C-CB14-4197-804F-0E3FC7CA197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0" name="CuadroTexto 69">
              <a:extLst>
                <a:ext uri="{FF2B5EF4-FFF2-40B4-BE49-F238E27FC236}">
                  <a16:creationId xmlns:a16="http://schemas.microsoft.com/office/drawing/2014/main" id="{5C9D0B9C-CB14-4197-804F-0E3FC7CA197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xmlns="" id="{617894C5-AE08-4CA5-AA9E-195DC0E184DF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2F6FE1E3-023E-4CEA-BD1D-357880F46AE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2F6FE1E3-023E-4CEA-BD1D-357880F46AE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C20EE57A-17C9-4A77-BC90-1BC5A1D3992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C20EE57A-17C9-4A77-BC90-1BC5A1D3992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D23E2339-7306-42F8-B2B1-FEF8CE1828D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D23E2339-7306-42F8-B2B1-FEF8CE1828D3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5D791429-5F98-43AC-9601-CA7F87237DE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5D791429-5F98-43AC-9601-CA7F87237DE5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6" name="CuadroTexto 75">
          <a:extLst>
            <a:ext uri="{FF2B5EF4-FFF2-40B4-BE49-F238E27FC236}">
              <a16:creationId xmlns:a16="http://schemas.microsoft.com/office/drawing/2014/main" xmlns="" id="{6060C93F-0F13-40D4-BF59-EAB98620E5A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38CAD2DB-F514-464F-B6B9-8574EC48B41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38CAD2DB-F514-464F-B6B9-8574EC48B41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07C86C77-5093-4462-BC82-3291D5E780D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07C86C77-5093-4462-BC82-3291D5E780D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025ABDC1-F0DC-4BE6-A45C-95031A29BE9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025ABDC1-F0DC-4BE6-A45C-95031A29BE9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2161BB75-11D9-463D-9B9A-14D780AB076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2161BB75-11D9-463D-9B9A-14D780AB0767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xmlns="" id="{2FDBF99B-0A75-4AF2-B032-2039A11C86E9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273843</xdr:colOff>
      <xdr:row>78</xdr:row>
      <xdr:rowOff>309563</xdr:rowOff>
    </xdr:from>
    <xdr:to>
      <xdr:col>4</xdr:col>
      <xdr:colOff>748169</xdr:colOff>
      <xdr:row>83</xdr:row>
      <xdr:rowOff>302298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xmlns="" id="{AE58BCE8-91DD-44B4-8112-B8CBA3708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444500</xdr:colOff>
      <xdr:row>0</xdr:row>
      <xdr:rowOff>127000</xdr:rowOff>
    </xdr:from>
    <xdr:to>
      <xdr:col>1</xdr:col>
      <xdr:colOff>816822</xdr:colOff>
      <xdr:row>0</xdr:row>
      <xdr:rowOff>880745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B11EF12D-300D-C327-FB22-886BE9068E8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27000"/>
          <a:ext cx="1621155" cy="7537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2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48B39686-433B-43C4-A964-DC1828ED8334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2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FE572943-1AAD-48F1-A4FB-E6CA07C8AF2B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2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BA75104A-7E2D-48CD-A5EF-F30FB72F16B8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2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09E2C95-A7B5-448F-A279-9680C762E406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2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6A699EB9-7B9F-4423-9E05-0433338A944A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2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E2E52CB4-56F8-4EBA-9C3E-EE7F0F1519F5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2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7807DBE-D552-4268-829F-71C47591595C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2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BBA62C7C-B524-4CD9-B3D2-94800D22B9C1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2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90EC5D7C-B82F-4563-9BD6-04684BE9A19C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2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4D985BE8-3A8D-488B-A741-F0EED8842ACC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2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75FA8AC-1F4F-4C32-8D7C-8A06779FC036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2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14D8DF17-BBA4-418A-B77D-AEC9360C5995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2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C904426E-ECAD-45DB-B149-12664D7FF988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2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206CD64A-6497-4D69-A1DD-5DCC4BD6A992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2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197080E7-6525-4324-9E98-D661E0030DD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2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E5CD5EF8-0137-4BA1-968A-21D23ABFFFB8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2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784CF693-4E64-4DF3-BEFC-E325BFDBF34E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2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8FF43D12-8606-43C4-9574-9CBF3DBBF14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2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1AEA05AA-113C-498E-A3B0-52B896E10341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2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94041B12-DFF1-4652-95DF-2A0B7810F16A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2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8316296E-1190-4184-A2BE-31E90BC68E3E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2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3C7EE899-B69C-4B04-B355-AFBBB3EF5BEA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2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49610046-EA16-473E-87DD-B68929CAFECF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2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B2E30D50-7BB1-4011-A409-95EEC9321D62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2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74CEFF63-05D8-4A64-9492-22435CFD3579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2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103C053D-01C0-4C51-A5AD-E87215C761E4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2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C47042AD-8DA6-4AC0-9086-F653B38896AE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2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9B3793EE-EC1C-40C4-91B8-624522F5178E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2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F528ECE6-8C27-438A-90B3-DD8F8679E251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2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37A9B3ED-2AD3-49DB-90B3-525582AEAEA4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59530</xdr:colOff>
      <xdr:row>73</xdr:row>
      <xdr:rowOff>95250</xdr:rowOff>
    </xdr:from>
    <xdr:ext cx="892969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200-000028000000}"/>
                </a:ext>
              </a:extLst>
            </xdr:cNvPr>
            <xdr:cNvSpPr txBox="1"/>
          </xdr:nvSpPr>
          <xdr:spPr>
            <a:xfrm>
              <a:off x="1091405" y="29908500"/>
              <a:ext cx="892969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7870F63F-DFC1-4DA0-A9C1-6DF0207AA92A}"/>
                </a:ext>
              </a:extLst>
            </xdr:cNvPr>
            <xdr:cNvSpPr txBox="1"/>
          </xdr:nvSpPr>
          <xdr:spPr>
            <a:xfrm>
              <a:off x="1091405" y="29908500"/>
              <a:ext cx="892969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2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C32B1ACF-EE5A-4A4B-A83B-EF9F397CA057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2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8A930622-55B5-4543-83F9-4E4FF1B59D63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2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53D85714-F689-4E41-89AA-4BED84557FE7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2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2532A77A-E77F-4790-9C7D-E1B558F45BD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505353</xdr:colOff>
      <xdr:row>62</xdr:row>
      <xdr:rowOff>412750</xdr:rowOff>
    </xdr:from>
    <xdr:to>
      <xdr:col>12</xdr:col>
      <xdr:colOff>804332</xdr:colOff>
      <xdr:row>64</xdr:row>
      <xdr:rowOff>682625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9C952639-F8CB-4809-A2DF-8B5D9DC644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9C952639-F8CB-4809-A2DF-8B5D9DC644C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FB36852F-086F-45C1-B059-FC380044369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FB36852F-086F-45C1-B059-FC3800443691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26051C44-7421-4B60-A8DE-960993CE39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26051C44-7421-4B60-A8DE-960993CE39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667D2942-3A8A-4B75-8AEC-14F4D70B28B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667D2942-3A8A-4B75-8AEC-14F4D70B28B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E83E6905-38EA-4B6D-9BD5-4ED8EE3691F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4FBE2329-FBB3-4992-84AB-27A9E0E4D7F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4FBE2329-FBB3-4992-84AB-27A9E0E4D7F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F6AD5057-07CF-441F-8800-0E49AA22669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F6AD5057-07CF-441F-8800-0E49AA226695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2DDC162B-0EF5-4255-9C0D-53CE5A785D9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2DDC162B-0EF5-4255-9C0D-53CE5A785D92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E6AEC46D-C8E4-453F-8171-188FCB2B600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E6AEC46D-C8E4-453F-8171-188FCB2B6008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55D52E06-13F4-46F6-A14C-17529D00D65B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688AA73B-18A9-4B6F-8630-9F414B8447B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688AA73B-18A9-4B6F-8630-9F414B8447B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66CD2622-DEDE-47AB-9953-53CE538FD01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66CD2622-DEDE-47AB-9953-53CE538FD01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1086D3DB-BCA0-4B03-9E23-50508A8054F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1086D3DB-BCA0-4B03-9E23-50508A8054F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88049A72-4974-40E6-8EF3-326A4837910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88049A72-4974-40E6-8EF3-326A4837910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A24EDCF8-C22B-4A26-9759-9C43BF8D166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654DFA55-5164-4376-A704-E48024C16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523875</xdr:colOff>
      <xdr:row>0</xdr:row>
      <xdr:rowOff>130969</xdr:rowOff>
    </xdr:from>
    <xdr:to>
      <xdr:col>1</xdr:col>
      <xdr:colOff>894874</xdr:colOff>
      <xdr:row>0</xdr:row>
      <xdr:rowOff>884714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8A3A363B-4928-288F-56E3-82A8C879146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30969"/>
          <a:ext cx="1621155" cy="753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3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ED023BE8-3628-4CB7-9106-8B52C52AF78B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3FBA4683-F806-4254-8D20-94D7BF11A66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3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B0B7E9EA-19F0-4350-911F-9E5B0CFDC0E5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3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6016417-5A32-408B-9816-92C930C38974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3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201C3550-1C44-42B8-AD66-75DA06D66682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3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804D67C1-FF13-4C1A-A72F-C37994DD63DB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3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FEA52BC1-0352-4A1D-B687-E721FC351952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3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6B6C573F-68F0-4872-8BD1-50BAFDABE9C8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3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C4A9B1A1-F234-40BD-B771-D34310D5DE86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3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7AD90CB2-095F-48C3-8A5A-335C528ECAA3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3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45E57050-1372-48F3-8C40-0CAC0D24A189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3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7EDBEE1D-7AE3-4905-B163-5FD96C3C5039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3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AF50DC6B-3336-4418-8AC1-EA2851B02019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3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CDEF87A4-FD2B-4C0F-9D00-FA8E4B864A26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3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CE93384B-7FE2-4081-957D-43049CA5597D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3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3C3C6AB2-C039-491F-B636-9FF9370C624D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3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28299E78-D03B-4983-B5D0-53D4BF3E8A82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3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F1300491-4B26-4F57-A1E0-DD3E56E59FBE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3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62268918-8812-42A5-877F-6F3ECBFD3A76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3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B9D398FD-F197-4D13-9CCC-FCB03F3E6004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3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A8C68BA1-4EBD-40FE-856A-B9BDB5C2E36F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3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73B54C0C-F985-41F2-8878-F64C126226CA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3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212AF373-5A78-49A4-8262-E04BA3C86185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3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FA81ED64-7A18-4E92-8472-6E499B55A609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3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E769B55B-C362-4C81-BF95-769072FC7116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3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581B09B2-4584-418C-A8F3-A63B18EF6ABD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3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2AB0A243-C8E6-4DB6-AE78-F5E36A35E3ED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3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E0EDA39D-90A4-419D-A6C4-5DCE8E5BE04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3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E326412B-3BB6-4DA4-BC18-E4AE1E4D37A6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3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5336C162-E0FE-461A-B061-FCFE0316F741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976311</xdr:colOff>
      <xdr:row>73</xdr:row>
      <xdr:rowOff>95250</xdr:rowOff>
    </xdr:from>
    <xdr:ext cx="976314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300-000028000000}"/>
                </a:ext>
              </a:extLst>
            </xdr:cNvPr>
            <xdr:cNvSpPr txBox="1"/>
          </xdr:nvSpPr>
          <xdr:spPr>
            <a:xfrm>
              <a:off x="976311" y="29908500"/>
              <a:ext cx="976314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2626CADD-8A7E-41EB-A62B-20DE4F6BFB07}"/>
                </a:ext>
              </a:extLst>
            </xdr:cNvPr>
            <xdr:cNvSpPr txBox="1"/>
          </xdr:nvSpPr>
          <xdr:spPr>
            <a:xfrm>
              <a:off x="976311" y="29908500"/>
              <a:ext cx="976314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3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BEEB8AD5-C096-4E50-9A0E-8BA62E152248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3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EA29F3C3-4941-4FDD-A832-D35C69E5E27A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190499</xdr:colOff>
      <xdr:row>67</xdr:row>
      <xdr:rowOff>293688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300-000031000000}"/>
                </a:ext>
              </a:extLst>
            </xdr:cNvPr>
            <xdr:cNvSpPr txBox="1"/>
          </xdr:nvSpPr>
          <xdr:spPr>
            <a:xfrm>
              <a:off x="1222374" y="27312938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47C08128-615C-4260-A8A7-3E6E47CE4EA4}"/>
                </a:ext>
              </a:extLst>
            </xdr:cNvPr>
            <xdr:cNvSpPr txBox="1"/>
          </xdr:nvSpPr>
          <xdr:spPr>
            <a:xfrm>
              <a:off x="1222374" y="27312938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3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7CDEE71F-7729-490E-8D6B-1DCFEBE19A1D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518583</xdr:colOff>
      <xdr:row>62</xdr:row>
      <xdr:rowOff>214313</xdr:rowOff>
    </xdr:from>
    <xdr:to>
      <xdr:col>13</xdr:col>
      <xdr:colOff>10582</xdr:colOff>
      <xdr:row>64</xdr:row>
      <xdr:rowOff>484188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74550AAA-754A-4368-9D80-0F5CBD8842C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74550AAA-754A-4368-9D80-0F5CBD8842C2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A1059501-10AC-479F-8AC2-A5E93D0D74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A1059501-10AC-479F-8AC2-A5E93D0D745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CDD5A1F4-1430-4441-90B6-DDBE142C891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CDD5A1F4-1430-4441-90B6-DDBE142C891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FA042EA8-FF51-419C-975B-924886D2CB1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FA042EA8-FF51-419C-975B-924886D2CB1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25F0A788-EEBC-4045-8DEB-2BA0D3F983E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CCD30115-59E7-4D38-B926-FCB4FC70B38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CCD30115-59E7-4D38-B926-FCB4FC70B38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787FE0C8-5B6B-498C-AEF2-AD4B2BC151B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787FE0C8-5B6B-498C-AEF2-AD4B2BC151B4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7D00EF2D-4EB3-48E2-9325-4DF017A135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7D00EF2D-4EB3-48E2-9325-4DF017A13546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D1BA0EC4-902F-4A63-899E-06183E47B5C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D1BA0EC4-902F-4A63-899E-06183E47B5C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74AB15DC-819B-46EB-AC26-6AE1234AD167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B691A9A6-FFD4-41F3-BA68-1183D6CD35D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B691A9A6-FFD4-41F3-BA68-1183D6CD35D7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B5C7E2F3-6DEC-41C0-8B06-5BDF18CF8E2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B5C7E2F3-6DEC-41C0-8B06-5BDF18CF8E26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26DD526B-CCD0-4806-BD8A-81FD4763EB5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26DD526B-CCD0-4806-BD8A-81FD4763EB50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C258F701-2794-4E35-A479-08AFE6A3CC2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C258F701-2794-4E35-A479-08AFE6A3CC2D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9C6BE5C9-5FBD-43CD-9788-7B3B086B86FA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2087770B-7B7C-4409-A5E3-C3486D571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488156</xdr:colOff>
      <xdr:row>0</xdr:row>
      <xdr:rowOff>166687</xdr:rowOff>
    </xdr:from>
    <xdr:to>
      <xdr:col>1</xdr:col>
      <xdr:colOff>859677</xdr:colOff>
      <xdr:row>0</xdr:row>
      <xdr:rowOff>922657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CB32D1B-51C6-D2AA-CFAA-44FAF092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156" y="166687"/>
          <a:ext cx="1621677" cy="7559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400-000003000000}"/>
                </a:ext>
              </a:extLst>
            </xdr:cNvPr>
            <xdr:cNvSpPr txBox="1"/>
          </xdr:nvSpPr>
          <xdr:spPr>
            <a:xfrm>
              <a:off x="1317810" y="15036455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SpPr txBox="1"/>
          </xdr:nvSpPr>
          <xdr:spPr>
            <a:xfrm>
              <a:off x="1317810" y="15036455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4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1479BAF6-9947-4C44-98E6-823CCD30E2F6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4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6D6DC945-2F43-4C74-90AD-2D0682EF5E4B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4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A192896D-F52C-4915-9F85-74ED01497C0D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4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9122DC05-BE7B-425D-B8F9-A2AFA99A95E5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4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59941DED-D280-4E24-A4E2-5D2E50D6A64C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4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A48FB748-424B-46EB-B668-D2EF064D16BF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4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56E4329D-01AD-4FC7-BFE2-6DBFD65D8516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4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23D2CECA-BD1C-4E56-A735-DE0D8F0B2554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4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3A50BDC5-074A-4483-8B17-A7BB5886F26D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4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168C660E-2C65-4BD1-9689-D6E9DAB9450B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4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16B603B-1210-4B33-856D-4B1E1F0876C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4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C1025E0D-B240-4F5C-97D2-DA925C573C27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4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B4F37F8-25D1-4438-A3B6-AFBDBDED4F7C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4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4224B383-C7A7-4FD1-870E-D0A427D5A6F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4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D6572AEC-C995-463D-AD38-F5FFF56A055B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4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589E5DFF-2F59-4216-AC0D-CFC6C5F35B9D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4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DE3D3908-CBA2-4293-BB90-5542C5807633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4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51F611D3-6538-4E0B-8A33-9A6FA1C1489E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4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F0227D38-00A8-43BC-8D84-941DF2D6FF2F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4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69C2C67C-B6EA-4F09-834F-383536D58037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4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26261045-614D-479B-B606-2AA5F27542A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4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A2087E93-2720-4722-9B81-861112D23135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4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D5054BCE-CD1F-4978-B2D7-5E4C62B422A1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4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78718B5A-6CC1-4AC9-8B19-30AA12761576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4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57E3442B-66F0-4C55-B301-4FBF697E6E9A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4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A11C0E73-EEF5-4F15-8511-027C983638C6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4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CB619838-5A4A-4A7D-87CD-6F08D33C8497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4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ED37E183-47C0-4FA9-BD96-B38468371B32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4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766D56D8-E621-4888-B5EB-6B023AF06A04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35717</xdr:colOff>
      <xdr:row>73</xdr:row>
      <xdr:rowOff>95251</xdr:rowOff>
    </xdr:from>
    <xdr:ext cx="972345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400-000028000000}"/>
                </a:ext>
              </a:extLst>
            </xdr:cNvPr>
            <xdr:cNvSpPr txBox="1"/>
          </xdr:nvSpPr>
          <xdr:spPr>
            <a:xfrm>
              <a:off x="1067592" y="29908501"/>
              <a:ext cx="97234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0EC4B579-39C3-4E33-AFCE-A81256F87519}"/>
                </a:ext>
              </a:extLst>
            </xdr:cNvPr>
            <xdr:cNvSpPr txBox="1"/>
          </xdr:nvSpPr>
          <xdr:spPr>
            <a:xfrm>
              <a:off x="1067592" y="29908501"/>
              <a:ext cx="972345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</a:t>
              </a:r>
              <a:r>
                <a:rPr lang="es-CO" sz="1400" b="1" i="0">
                  <a:latin typeface="Cambria Math"/>
                  <a:ea typeface="Cambria Math" panose="02040503050406030204" pitchFamily="18" charset="0"/>
                </a:rPr>
                <a:t>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4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3CBC44EB-EF52-4651-93D7-AED70CE63EF5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4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DF47491A-B5EE-4CC4-A318-292725AB04E7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4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6EC3100C-38DF-4D24-BB9B-62EEE857D0B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4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D44AB906-F68C-472F-8814-EF181FDECE81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150811</xdr:colOff>
      <xdr:row>62</xdr:row>
      <xdr:rowOff>357187</xdr:rowOff>
    </xdr:from>
    <xdr:to>
      <xdr:col>12</xdr:col>
      <xdr:colOff>447144</xdr:colOff>
      <xdr:row>64</xdr:row>
      <xdr:rowOff>627062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 txBox="1"/>
      </xdr:nvSpPr>
      <xdr:spPr>
        <a:xfrm>
          <a:off x="4365763" y="138601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00000000-0008-0000-0400-000036000000}"/>
                </a:ext>
              </a:extLst>
            </xdr:cNvPr>
            <xdr:cNvSpPr txBox="1"/>
          </xdr:nvSpPr>
          <xdr:spPr>
            <a:xfrm>
              <a:off x="1360004" y="138866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C78D697C-C3F2-428E-9C1F-C04F59698E72}"/>
                </a:ext>
              </a:extLst>
            </xdr:cNvPr>
            <xdr:cNvSpPr txBox="1"/>
          </xdr:nvSpPr>
          <xdr:spPr>
            <a:xfrm>
              <a:off x="1360004" y="138866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00000000-0008-0000-0400-000037000000}"/>
                </a:ext>
              </a:extLst>
            </xdr:cNvPr>
            <xdr:cNvSpPr txBox="1"/>
          </xdr:nvSpPr>
          <xdr:spPr>
            <a:xfrm>
              <a:off x="1335157" y="142949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7C2E8059-3E56-4910-8AC8-33B79E46E4BB}"/>
                </a:ext>
              </a:extLst>
            </xdr:cNvPr>
            <xdr:cNvSpPr txBox="1"/>
          </xdr:nvSpPr>
          <xdr:spPr>
            <a:xfrm>
              <a:off x="1335157" y="142949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xmlns="" id="{00000000-0008-0000-0400-000038000000}"/>
                </a:ext>
              </a:extLst>
            </xdr:cNvPr>
            <xdr:cNvSpPr txBox="1"/>
          </xdr:nvSpPr>
          <xdr:spPr>
            <a:xfrm>
              <a:off x="1434548" y="146950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6" name="CuadroTexto 55">
              <a:extLst>
                <a:ext uri="{FF2B5EF4-FFF2-40B4-BE49-F238E27FC236}">
                  <a16:creationId xmlns:a16="http://schemas.microsoft.com/office/drawing/2014/main" id="{0D1E07D5-570D-4C9F-BB47-509C30991E46}"/>
                </a:ext>
              </a:extLst>
            </xdr:cNvPr>
            <xdr:cNvSpPr txBox="1"/>
          </xdr:nvSpPr>
          <xdr:spPr>
            <a:xfrm>
              <a:off x="1434548" y="146950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00000000-0008-0000-0400-000039000000}"/>
                </a:ext>
              </a:extLst>
            </xdr:cNvPr>
            <xdr:cNvSpPr txBox="1"/>
          </xdr:nvSpPr>
          <xdr:spPr>
            <a:xfrm>
              <a:off x="1227482" y="146867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7FDE39A0-951E-4D70-A16D-A703FC051A32}"/>
                </a:ext>
              </a:extLst>
            </xdr:cNvPr>
            <xdr:cNvSpPr txBox="1"/>
          </xdr:nvSpPr>
          <xdr:spPr>
            <a:xfrm>
              <a:off x="1227482" y="146867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 txBox="1"/>
      </xdr:nvSpPr>
      <xdr:spPr>
        <a:xfrm>
          <a:off x="1376572" y="146867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 txBox="1"/>
      </xdr:nvSpPr>
      <xdr:spPr>
        <a:xfrm>
          <a:off x="4365763" y="138601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00000000-0008-0000-0400-00003C000000}"/>
                </a:ext>
              </a:extLst>
            </xdr:cNvPr>
            <xdr:cNvSpPr txBox="1"/>
          </xdr:nvSpPr>
          <xdr:spPr>
            <a:xfrm>
              <a:off x="1360004" y="138866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8C85B0D1-05D8-4B02-9716-7A9DABFE0EF5}"/>
                </a:ext>
              </a:extLst>
            </xdr:cNvPr>
            <xdr:cNvSpPr txBox="1"/>
          </xdr:nvSpPr>
          <xdr:spPr>
            <a:xfrm>
              <a:off x="1360004" y="138866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00000000-0008-0000-0400-00003E000000}"/>
                </a:ext>
              </a:extLst>
            </xdr:cNvPr>
            <xdr:cNvSpPr txBox="1"/>
          </xdr:nvSpPr>
          <xdr:spPr>
            <a:xfrm>
              <a:off x="1434548" y="146950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3BFB8E1C-2429-487A-A0A7-967A5F97CDE3}"/>
                </a:ext>
              </a:extLst>
            </xdr:cNvPr>
            <xdr:cNvSpPr txBox="1"/>
          </xdr:nvSpPr>
          <xdr:spPr>
            <a:xfrm>
              <a:off x="1434548" y="146950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00000000-0008-0000-0400-00003F000000}"/>
                </a:ext>
              </a:extLst>
            </xdr:cNvPr>
            <xdr:cNvSpPr txBox="1"/>
          </xdr:nvSpPr>
          <xdr:spPr>
            <a:xfrm>
              <a:off x="1227482" y="146867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07E71843-DED0-411A-A0D8-AC4D444C6D29}"/>
                </a:ext>
              </a:extLst>
            </xdr:cNvPr>
            <xdr:cNvSpPr txBox="1"/>
          </xdr:nvSpPr>
          <xdr:spPr>
            <a:xfrm>
              <a:off x="1227482" y="146867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/>
      </xdr:nvSpPr>
      <xdr:spPr>
        <a:xfrm>
          <a:off x="1376572" y="146867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 txBox="1"/>
      </xdr:nvSpPr>
      <xdr:spPr>
        <a:xfrm>
          <a:off x="4365763" y="138601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 txBox="1"/>
      </xdr:nvSpPr>
      <xdr:spPr>
        <a:xfrm>
          <a:off x="1379747" y="14602584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xmlns="" id="{098E4F24-5A43-4034-ABE6-263221D46A2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098E4F24-5A43-4034-ABE6-263221D46A2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xmlns="" id="{A42E25B6-3950-4222-9C22-2C1D184F1F9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A42E25B6-3950-4222-9C22-2C1D184F1F9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xmlns="" id="{23D32620-7A0A-4744-AF3A-6403FB56CDF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8" name="CuadroTexto 67">
              <a:extLst>
                <a:ext uri="{FF2B5EF4-FFF2-40B4-BE49-F238E27FC236}">
                  <a16:creationId xmlns:a16="http://schemas.microsoft.com/office/drawing/2014/main" id="{23D32620-7A0A-4744-AF3A-6403FB56CDF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xmlns="" id="{A9D3119E-E476-4AAF-9A4A-695C152B53E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9" name="CuadroTexto 68">
              <a:extLst>
                <a:ext uri="{FF2B5EF4-FFF2-40B4-BE49-F238E27FC236}">
                  <a16:creationId xmlns:a16="http://schemas.microsoft.com/office/drawing/2014/main" id="{A9D3119E-E476-4AAF-9A4A-695C152B53E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xmlns="" id="{83C2FFFB-10B6-47F5-8BD3-435BAD97D3D3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xmlns="" id="{06261EF3-AD4F-461A-B29A-5EE90DD1126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2" name="CuadroTexto 71">
              <a:extLst>
                <a:ext uri="{FF2B5EF4-FFF2-40B4-BE49-F238E27FC236}">
                  <a16:creationId xmlns:a16="http://schemas.microsoft.com/office/drawing/2014/main" id="{06261EF3-AD4F-461A-B29A-5EE90DD11264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xmlns="" id="{FD3274CC-3925-40AA-A551-2F9828334FB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3" name="CuadroTexto 72">
              <a:extLst>
                <a:ext uri="{FF2B5EF4-FFF2-40B4-BE49-F238E27FC236}">
                  <a16:creationId xmlns:a16="http://schemas.microsoft.com/office/drawing/2014/main" id="{FD3274CC-3925-40AA-A551-2F9828334FB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xmlns="" id="{1DFD148B-DF48-459C-B518-220AF9A1DCF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4" name="CuadroTexto 73">
              <a:extLst>
                <a:ext uri="{FF2B5EF4-FFF2-40B4-BE49-F238E27FC236}">
                  <a16:creationId xmlns:a16="http://schemas.microsoft.com/office/drawing/2014/main" id="{1DFD148B-DF48-459C-B518-220AF9A1DCF5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xmlns="" id="{CCA22A3C-5695-498B-BC47-536F7B980A0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5" name="CuadroTexto 74">
              <a:extLst>
                <a:ext uri="{FF2B5EF4-FFF2-40B4-BE49-F238E27FC236}">
                  <a16:creationId xmlns:a16="http://schemas.microsoft.com/office/drawing/2014/main" id="{CCA22A3C-5695-498B-BC47-536F7B980A06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76" name="CuadroTexto 75">
          <a:extLst>
            <a:ext uri="{FF2B5EF4-FFF2-40B4-BE49-F238E27FC236}">
              <a16:creationId xmlns:a16="http://schemas.microsoft.com/office/drawing/2014/main" xmlns="" id="{6E7BD0E1-69DC-405F-BAD8-FB03568B697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xmlns="" id="{9AE4DA91-C6EC-4BF0-BC01-20DB30D218D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7" name="CuadroTexto 76">
              <a:extLst>
                <a:ext uri="{FF2B5EF4-FFF2-40B4-BE49-F238E27FC236}">
                  <a16:creationId xmlns:a16="http://schemas.microsoft.com/office/drawing/2014/main" id="{9AE4DA91-C6EC-4BF0-BC01-20DB30D218DE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xmlns="" id="{EC971516-4660-4501-8E7E-12139426A47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8" name="CuadroTexto 77">
              <a:extLst>
                <a:ext uri="{FF2B5EF4-FFF2-40B4-BE49-F238E27FC236}">
                  <a16:creationId xmlns:a16="http://schemas.microsoft.com/office/drawing/2014/main" id="{EC971516-4660-4501-8E7E-12139426A47D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xmlns="" id="{8B151956-1EC0-48A1-86CC-4C7C281BC5F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79" name="CuadroTexto 78">
              <a:extLst>
                <a:ext uri="{FF2B5EF4-FFF2-40B4-BE49-F238E27FC236}">
                  <a16:creationId xmlns:a16="http://schemas.microsoft.com/office/drawing/2014/main" id="{8B151956-1EC0-48A1-86CC-4C7C281BC5F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xmlns="" id="{111A948A-F0A2-46BB-833E-9A4389C9F9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0" name="CuadroTexto 79">
              <a:extLst>
                <a:ext uri="{FF2B5EF4-FFF2-40B4-BE49-F238E27FC236}">
                  <a16:creationId xmlns:a16="http://schemas.microsoft.com/office/drawing/2014/main" id="{111A948A-F0A2-46BB-833E-9A4389C9F9B0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xmlns="" id="{D119FF73-9334-4CE0-BAAD-3388BCB97E1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xmlns="" id="{8A35EEF5-A603-4A22-8523-B2E82A039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631031</xdr:colOff>
      <xdr:row>0</xdr:row>
      <xdr:rowOff>178594</xdr:rowOff>
    </xdr:from>
    <xdr:to>
      <xdr:col>1</xdr:col>
      <xdr:colOff>1002030</xdr:colOff>
      <xdr:row>0</xdr:row>
      <xdr:rowOff>932339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5B2C1E92-02C8-A169-95DC-5B791C4F1A5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" y="178594"/>
          <a:ext cx="1621155" cy="753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5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A1322FC5-865E-4746-A284-04BBE60E8E3A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5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68BF250-DEF7-4B18-8035-9E05AC7C7DD6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5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AFE39919-2397-4A24-B65E-748413696F15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5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E15C34A5-8E2F-4D66-8E53-896D868170E2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5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7CB71CCB-B177-4293-B32E-4A5B25C39862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5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AFACB4EE-0D4B-40BD-A227-E8E1CDBB61F7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5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FF13CB0-D644-49A5-A872-9939FF7CC489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5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ECE70493-929F-443B-91C7-DDFE96577C0D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5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1E134E33-23F7-4370-84D3-BB16C7E1D87F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5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F02CCE08-D3BF-49AF-B981-F3D4B95154B8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5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AAC0DEA5-B920-472D-A661-C2AAF9EC33AA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5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814DC7EB-2CEA-4BF2-905F-0ECF119EBE31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5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7E4AEC2B-0874-48CC-A7BB-5C0942C8BFB7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5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747C0722-9ADA-4721-8E66-4A8ED5BA43A8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5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1DF7F500-B711-478F-9AA8-6A9006CCC4AB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5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BFC76F9E-C8AB-4BBC-961B-3538578553B7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5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5DDDF8FA-F632-45CB-8E52-23470C6EBFEC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5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5B0DEA18-EEA3-4426-9311-BE4CF35A1FF9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5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A5932A48-3B40-4E35-ACA8-8033EBAC03FD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5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DAB733B2-8E02-48FF-8E20-E447303CB33B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5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B73618EF-F59E-4C70-92A2-29D8F0D215F9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5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5BD55F6C-9A42-450E-B096-CFBB8BE46A43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5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80D3D01E-15E1-415B-8B2B-013B325ABF2A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5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FF41DAEA-1A47-43EA-A4D8-8DF845819B44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5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DDD089CD-090B-40F0-AAC3-BCF89A2AAE2F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5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FFE80B88-0E97-48EB-866E-1EC832CC5B3B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5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24076CA7-796D-4B30-9594-9AA6C5FA6818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5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042160BB-C888-44E3-927A-A1462C61AF4D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1031873</xdr:colOff>
      <xdr:row>73</xdr:row>
      <xdr:rowOff>107157</xdr:rowOff>
    </xdr:from>
    <xdr:ext cx="928689" cy="2103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500-000028000000}"/>
                </a:ext>
              </a:extLst>
            </xdr:cNvPr>
            <xdr:cNvSpPr txBox="1"/>
          </xdr:nvSpPr>
          <xdr:spPr>
            <a:xfrm>
              <a:off x="1031873" y="29920407"/>
              <a:ext cx="928689" cy="2103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97115B97-DE68-4B61-9BC9-C60F3762D222}"/>
                </a:ext>
              </a:extLst>
            </xdr:cNvPr>
            <xdr:cNvSpPr txBox="1"/>
          </xdr:nvSpPr>
          <xdr:spPr>
            <a:xfrm>
              <a:off x="1031873" y="29920407"/>
              <a:ext cx="928689" cy="2103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5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F3166CF5-75AD-4353-A8F8-D77168A32D67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5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20E08CD0-BB0E-427F-A361-C1DC67C948D6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5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7F5496A7-5592-4B50-896C-65823B6C5089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5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4AA33C3F-55F6-4E82-8158-2E49906C2F3F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603249</xdr:colOff>
      <xdr:row>62</xdr:row>
      <xdr:rowOff>587374</xdr:rowOff>
    </xdr:from>
    <xdr:to>
      <xdr:col>13</xdr:col>
      <xdr:colOff>95248</xdr:colOff>
      <xdr:row>65</xdr:row>
      <xdr:rowOff>116416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0AEFFE34-FD07-455C-9744-393EB1BEB25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0AEFFE34-FD07-455C-9744-393EB1BEB25D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B16AE8A8-A4A4-4A3E-ACD7-6040AB87CAD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B16AE8A8-A4A4-4A3E-ACD7-6040AB87CADC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AF54239F-C363-482F-8A89-E3ADC218060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AF54239F-C363-482F-8A89-E3ADC218060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2A336CB5-A221-481F-9948-0AEC322BB95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2A336CB5-A221-481F-9948-0AEC322BB95C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AB5DE368-0461-41DF-B27F-D9852FE0489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0A8C36F6-B90B-46B3-A336-A87C4B45C30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0A8C36F6-B90B-46B3-A336-A87C4B45C308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AF995FFE-4C04-451E-9541-D8F1CD38F53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AF995FFE-4C04-451E-9541-D8F1CD38F538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CA54D0B6-651A-42F0-93CA-235283B0F7E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CA54D0B6-651A-42F0-93CA-235283B0F7E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57112F8C-0010-4B6B-B014-AC24F6B1419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57112F8C-0010-4B6B-B014-AC24F6B14191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840D991D-B900-4841-9AC7-65073CF72C85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34E3FA70-AD42-4F49-9F1D-A89E2C6F0C0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34E3FA70-AD42-4F49-9F1D-A89E2C6F0C01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B53F19B7-D6D9-4E7A-B3BD-B6AAE8862E5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B53F19B7-D6D9-4E7A-B3BD-B6AAE8862E5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A3172F36-00E6-45DC-AE24-95E715FC2DF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A3172F36-00E6-45DC-AE24-95E715FC2DF9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BB0DBD86-5E4C-4311-90BE-DBFE578F467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BB0DBD86-5E4C-4311-90BE-DBFE578F467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F688C146-389C-405E-9C80-69DCF0988110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3AF10D34-B511-4CC0-8C3B-041CBF568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404812</xdr:colOff>
      <xdr:row>0</xdr:row>
      <xdr:rowOff>142875</xdr:rowOff>
    </xdr:from>
    <xdr:to>
      <xdr:col>1</xdr:col>
      <xdr:colOff>776333</xdr:colOff>
      <xdr:row>0</xdr:row>
      <xdr:rowOff>898845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569AB92-9D18-1022-260B-27D0A8A7E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812" y="142875"/>
          <a:ext cx="1621677" cy="7559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E96DC1D6-E530-4EA6-8244-63350EEE59CE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6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726D4279-E370-41ED-86F3-D67362A487A9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6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9C1465C6-1D46-4E08-909B-3002F4478019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6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4B738D55-3F7E-4F2F-82FF-3B18196A9952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6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2DE2EE2E-6A5B-4ED3-B705-D2E93033768A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6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33F03540-C081-4946-B073-AEB00736FF1B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6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143E4DE8-453C-4313-A813-A0B400A6A55B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6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C644ECA9-A5DE-4FF4-A559-EB0418925B5F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6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C3972A7B-AD6C-43D8-8F9B-5743925680E7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6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88282CDF-36E3-46A8-B328-41B0078141E5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6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67FBE46F-4C4E-4602-9D8B-A2468AEB784F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6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1C1B3EBB-D5CA-4560-8F0E-EED134545042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6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5117B275-A1BF-4BD7-8FD2-1594894FDA5B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6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8E8EF8EB-B93C-4C5D-869E-2B709BE7D344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6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CB144173-BFBE-4B94-874B-05E7B7FEF11A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6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7110B64F-40AA-43A4-80EA-94AEDFF3A42C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6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3F2479A2-BE19-4C71-98EE-5FE4670241FA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6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EFF7CF12-668D-4F67-BA88-F4EA522229C1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6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8121A526-E4CE-4B04-AC1A-5990BAB94A91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6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DA599F91-50B4-43B1-95DF-DCEB6BC20D6E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6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8473DE09-5C4C-485D-B3A3-1727A490A44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6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02E2B7D8-A516-40AC-BCAC-7861B0A20379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6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E7E8E122-D248-4701-8730-9920462E8D62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6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5A8B90C6-2746-4430-A2A0-D7E97C037433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6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549BB44C-835A-4A33-A22E-3D8507C2D15D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6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8535077C-B72F-46A4-A247-507B9206F42C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6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9E94E07C-43C3-466B-A4BC-31FDF7D483EE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6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F72E885C-433F-4035-9CC4-1D34CD580AC3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6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87E93EF3-CF4D-4C67-8AEC-287C254BC2E8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6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69D79D6D-4888-4D2F-9F7E-7E8490117E1B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35717</xdr:colOff>
      <xdr:row>73</xdr:row>
      <xdr:rowOff>95251</xdr:rowOff>
    </xdr:from>
    <xdr:ext cx="837407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600-000028000000}"/>
                </a:ext>
              </a:extLst>
            </xdr:cNvPr>
            <xdr:cNvSpPr txBox="1"/>
          </xdr:nvSpPr>
          <xdr:spPr>
            <a:xfrm>
              <a:off x="1067592" y="29908501"/>
              <a:ext cx="83740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4FA3C6A4-A622-4F0A-B475-0ED6ACDFFE7F}"/>
                </a:ext>
              </a:extLst>
            </xdr:cNvPr>
            <xdr:cNvSpPr txBox="1"/>
          </xdr:nvSpPr>
          <xdr:spPr>
            <a:xfrm>
              <a:off x="1067592" y="29908501"/>
              <a:ext cx="837407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6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9A9D9D86-0714-42E6-9F62-F4A932BBA48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6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138D9B4A-EE74-4FB1-AAEC-79A3CB6FAA0C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6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FBEAE200-6131-443B-A20E-EAFD50DD2A15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6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6882ECD1-8CA7-4A5C-9E8E-7BE3DF710476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370416</xdr:colOff>
      <xdr:row>62</xdr:row>
      <xdr:rowOff>502708</xdr:rowOff>
    </xdr:from>
    <xdr:to>
      <xdr:col>12</xdr:col>
      <xdr:colOff>669395</xdr:colOff>
      <xdr:row>65</xdr:row>
      <xdr:rowOff>31750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B0A72F85-F910-49FE-99CE-3B36F402647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B0A72F85-F910-49FE-99CE-3B36F402647A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CCD44E8D-1E08-4276-9CED-255DFEF02E1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CCD44E8D-1E08-4276-9CED-255DFEF02E12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AB96C970-140C-421E-A783-D5BE0147F55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AB96C970-140C-421E-A783-D5BE0147F554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513EE1C3-8812-4E07-BFE2-F2DFB84227C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513EE1C3-8812-4E07-BFE2-F2DFB84227CF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CF6F62EF-E5EB-453C-9CF0-59D4AA93017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E48A829C-20A2-4737-957F-331697F4F3A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E48A829C-20A2-4737-957F-331697F4F3A5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C730BB5C-1DE7-482A-8DEB-8536DC98489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C730BB5C-1DE7-482A-8DEB-8536DC98489A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46A69A3D-BC0B-425A-9696-A23ECD5E10C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46A69A3D-BC0B-425A-9696-A23ECD5E10CA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B4DE880C-FB5D-441C-9482-4DA80E600F1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B4DE880C-FB5D-441C-9482-4DA80E600F1A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C2EB2A49-AA3A-464A-8D66-647F90ECA696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722F8787-C57C-40DD-B8F7-B4B1542244A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722F8787-C57C-40DD-B8F7-B4B1542244A6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8C822321-F35C-41BA-9798-486699756CE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8C822321-F35C-41BA-9798-486699756CEB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15AD90B1-DC15-49BD-9D96-20DF4DBB64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15AD90B1-DC15-49BD-9D96-20DF4DBB64AE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80482850-EA16-4DE5-91E1-5DDAB73A600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80482850-EA16-4DE5-91E1-5DDAB73A600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D29CF84B-6A8A-46B5-BFC3-57174BFAAAE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73976D8A-EF24-4FC5-AC35-5940B450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464344</xdr:colOff>
      <xdr:row>0</xdr:row>
      <xdr:rowOff>166688</xdr:rowOff>
    </xdr:from>
    <xdr:to>
      <xdr:col>1</xdr:col>
      <xdr:colOff>835865</xdr:colOff>
      <xdr:row>0</xdr:row>
      <xdr:rowOff>922658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0FF8A96-92C7-795D-1A8A-B2874466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4344" y="166688"/>
          <a:ext cx="1621677" cy="7559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285935</xdr:colOff>
      <xdr:row>42</xdr:row>
      <xdr:rowOff>169517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xmlns="" id="{00000000-0008-0000-0700-000003000000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bg1"/>
                </a:solidFill>
              </a:endParaRPr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8F8AEF0B-9B8C-483A-8F30-39DEB1D10F12}"/>
                </a:ext>
              </a:extLst>
            </xdr:cNvPr>
            <xdr:cNvSpPr txBox="1"/>
          </xdr:nvSpPr>
          <xdr:spPr>
            <a:xfrm>
              <a:off x="1314635" y="14958667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bg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bg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136732</xdr:colOff>
      <xdr:row>58</xdr:row>
      <xdr:rowOff>253032</xdr:rowOff>
    </xdr:from>
    <xdr:ext cx="5997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xmlns="" id="{00000000-0008-0000-0700-000004000000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𝒘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5226361F-D084-4947-8B5F-340C4E49273F}"/>
                </a:ext>
              </a:extLst>
            </xdr:cNvPr>
            <xdr:cNvSpPr txBox="1"/>
          </xdr:nvSpPr>
          <xdr:spPr>
            <a:xfrm>
              <a:off x="1165432" y="20750832"/>
              <a:ext cx="5997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𝒖_𝒘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202651</xdr:colOff>
      <xdr:row>61</xdr:row>
      <xdr:rowOff>265287</xdr:rowOff>
    </xdr:from>
    <xdr:ext cx="48391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xmlns="" id="{00000000-0008-0000-0700-00000500000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8381F184-5C24-4077-A22C-39B0D98750F0}"/>
                </a:ext>
              </a:extLst>
            </xdr:cNvPr>
            <xdr:cNvSpPr txBox="1"/>
          </xdr:nvSpPr>
          <xdr:spPr>
            <a:xfrm>
              <a:off x="1231351" y="22972887"/>
              <a:ext cx="48391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𝒖(𝒎_𝒄𝒓)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34166</xdr:colOff>
      <xdr:row>60</xdr:row>
      <xdr:rowOff>250203</xdr:rowOff>
    </xdr:from>
    <xdr:ext cx="68948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xmlns="" id="{00000000-0008-0000-0700-000006000000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𝒊𝒏𝒔𝒕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𝒄𝒓</m:t>
                        </m:r>
                      </m:sub>
                    </m:sSub>
                    <m:r>
                      <a:rPr lang="es-CO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15A93F7A-AF40-4858-B225-D84592D22E33}"/>
                </a:ext>
              </a:extLst>
            </xdr:cNvPr>
            <xdr:cNvSpPr txBox="1"/>
          </xdr:nvSpPr>
          <xdr:spPr>
            <a:xfrm>
              <a:off x="1062866" y="22221203"/>
              <a:ext cx="68948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𝒖_𝒊𝒏𝒔𝒕 (𝒎_𝒄𝒓</a:t>
              </a:r>
              <a:r>
                <a:rPr lang="es-CO" sz="1100" b="0" i="0">
                  <a:latin typeface="Cambria Math" panose="02040503050406030204" pitchFamily="18" charset="0"/>
                </a:rPr>
                <a:t>)</a:t>
              </a:r>
              <a:endParaRPr lang="es-CO" sz="1100"/>
            </a:p>
          </xdr:txBody>
        </xdr:sp>
      </mc:Fallback>
    </mc:AlternateContent>
    <xdr:clientData/>
  </xdr:oneCellAnchor>
  <xdr:oneCellAnchor>
    <xdr:from>
      <xdr:col>1</xdr:col>
      <xdr:colOff>183870</xdr:colOff>
      <xdr:row>62</xdr:row>
      <xdr:rowOff>264645</xdr:rowOff>
    </xdr:from>
    <xdr:ext cx="3973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xmlns="" id="{00000000-0008-0000-0700-000007000000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𝒂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D7DC3947-8B71-4F92-A8CC-A52EAC4B6617}"/>
                </a:ext>
              </a:extLst>
            </xdr:cNvPr>
            <xdr:cNvSpPr txBox="1"/>
          </xdr:nvSpPr>
          <xdr:spPr>
            <a:xfrm>
              <a:off x="1212570" y="23708845"/>
              <a:ext cx="3973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𝒂)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63</xdr:row>
      <xdr:rowOff>266606</xdr:rowOff>
    </xdr:from>
    <xdr:ext cx="3766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xmlns="" id="{00000000-0008-0000-0700-000008000000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DC19C8CE-F69E-400C-819C-E408F81F5FB5}"/>
                </a:ext>
              </a:extLst>
            </xdr:cNvPr>
            <xdr:cNvSpPr txBox="1"/>
          </xdr:nvSpPr>
          <xdr:spPr>
            <a:xfrm>
              <a:off x="1214998" y="24447406"/>
              <a:ext cx="3766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186298</xdr:colOff>
      <xdr:row>64</xdr:row>
      <xdr:rowOff>222250</xdr:rowOff>
    </xdr:from>
    <xdr:ext cx="38869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xmlns="" id="{00000000-0008-0000-0700-000009000000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</a:rPr>
                      <m:t>𝒖</m:t>
                    </m:r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𝝆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𝒓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CF66F76F-7219-4285-BFFA-94D3DF8D188A}"/>
                </a:ext>
              </a:extLst>
            </xdr:cNvPr>
            <xdr:cNvSpPr txBox="1"/>
          </xdr:nvSpPr>
          <xdr:spPr>
            <a:xfrm>
              <a:off x="1214998" y="25139650"/>
              <a:ext cx="38869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𝝆_</a:t>
              </a:r>
              <a:r>
                <a:rPr lang="es-CO" sz="1100" b="1" i="0">
                  <a:latin typeface="Cambria Math" panose="02040503050406030204" pitchFamily="18" charset="0"/>
                </a:rPr>
                <a:t>𝒓)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265579</xdr:colOff>
      <xdr:row>65</xdr:row>
      <xdr:rowOff>288458</xdr:rowOff>
    </xdr:from>
    <xdr:ext cx="1912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xmlns="" id="{00000000-0008-0000-0700-00000A000000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𝒃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9A22FA5-512D-4179-8197-63379C1F2DF9}"/>
                </a:ext>
              </a:extLst>
            </xdr:cNvPr>
            <xdr:cNvSpPr txBox="1"/>
          </xdr:nvSpPr>
          <xdr:spPr>
            <a:xfrm>
              <a:off x="1294279" y="25942458"/>
              <a:ext cx="1912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𝒖_𝒃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261391</xdr:colOff>
      <xdr:row>66</xdr:row>
      <xdr:rowOff>294234</xdr:rowOff>
    </xdr:from>
    <xdr:ext cx="19505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xmlns="" id="{00000000-0008-0000-0700-00000B000000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𝒅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B93A2F9C-DF42-4B84-BB4D-2F29499CDFAE}"/>
                </a:ext>
              </a:extLst>
            </xdr:cNvPr>
            <xdr:cNvSpPr txBox="1"/>
          </xdr:nvSpPr>
          <xdr:spPr>
            <a:xfrm>
              <a:off x="1290091" y="26684834"/>
              <a:ext cx="19505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𝒖_𝒅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393571</xdr:colOff>
      <xdr:row>69</xdr:row>
      <xdr:rowOff>265119</xdr:rowOff>
    </xdr:from>
    <xdr:ext cx="52969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xmlns="" id="{00000000-0008-0000-0700-00000C000000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𝒄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</a:rPr>
                      <m:t>(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</m:sub>
                    </m:sSub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8A7DF78D-25FE-4732-840F-F235CA8FCA69}"/>
                </a:ext>
              </a:extLst>
            </xdr:cNvPr>
            <xdr:cNvSpPr txBox="1"/>
          </xdr:nvSpPr>
          <xdr:spPr>
            <a:xfrm>
              <a:off x="5632321" y="28217819"/>
              <a:ext cx="52969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𝒖_𝒄 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5</xdr:col>
      <xdr:colOff>243965</xdr:colOff>
      <xdr:row>70</xdr:row>
      <xdr:rowOff>130277</xdr:rowOff>
    </xdr:from>
    <xdr:ext cx="78059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xmlns="" id="{00000000-0008-0000-0700-00000D000000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100" b="1" i="1">
                      <a:latin typeface="Cambria Math" panose="02040503050406030204" pitchFamily="18" charset="0"/>
                    </a:rPr>
                    <m:t>𝑼</m:t>
                  </m:r>
                  <m:r>
                    <a:rPr lang="es-CO" sz="1100" b="1" i="1">
                      <a:latin typeface="Cambria Math" panose="02040503050406030204" pitchFamily="18" charset="0"/>
                    </a:rPr>
                    <m:t>(</m:t>
                  </m:r>
                  <m:sSub>
                    <m:sSubPr>
                      <m:ctrlP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1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</m:sub>
                  </m:sSub>
                  <m:r>
                    <a:rPr lang="es-CO" sz="11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)</m:t>
                  </m:r>
                </m:oMath>
              </a14:m>
              <a:r>
                <a:rPr lang="es-CO" sz="1100" b="1"/>
                <a:t> (k=2)</a:t>
              </a:r>
            </a:p>
          </xdr:txBody>
        </xdr:sp>
      </mc:Choice>
      <mc:Fallback xmlns=""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398AC936-AFB4-4C14-8339-AB30E71C7BB8}"/>
                </a:ext>
              </a:extLst>
            </xdr:cNvPr>
            <xdr:cNvSpPr txBox="1"/>
          </xdr:nvSpPr>
          <xdr:spPr>
            <a:xfrm>
              <a:off x="5482715" y="28737027"/>
              <a:ext cx="78059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100" b="1" i="0">
                  <a:latin typeface="Cambria Math" panose="02040503050406030204" pitchFamily="18" charset="0"/>
                </a:rPr>
                <a:t>𝑼(</a:t>
              </a:r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𝒎_𝒄𝒕)</a:t>
              </a:r>
              <a:r>
                <a:rPr lang="es-CO" sz="1100" b="1"/>
                <a:t> (k=2)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xmlns="" id="{00000000-0008-0000-0700-00000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4CD7CD32-82E9-43B5-B6D7-4AC6B87C0332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8</xdr:col>
      <xdr:colOff>541269</xdr:colOff>
      <xdr:row>52</xdr:row>
      <xdr:rowOff>78683</xdr:rowOff>
    </xdr:from>
    <xdr:ext cx="3045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xmlns="" id="{00000000-0008-0000-0700-00000F000000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</m:e>
                      <m:sub>
                        <m:r>
                          <a:rPr lang="es-CO" sz="11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FFF16703-952A-407B-9E08-FFF515B31B5F}"/>
                </a:ext>
              </a:extLst>
            </xdr:cNvPr>
            <xdr:cNvSpPr txBox="1"/>
          </xdr:nvSpPr>
          <xdr:spPr>
            <a:xfrm>
              <a:off x="9882119" y="18595283"/>
              <a:ext cx="3045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xmlns="" id="{00000000-0008-0000-0700-000011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8F8FCF1C-DFF3-47F1-B7AB-813F73E6BA41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xmlns="" id="{00000000-0008-0000-0700-000012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B5B8A8D2-BFC9-465C-B778-3CA2632FE863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xmlns="" id="{00000000-0008-0000-0700-000013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F0A2A69-D893-420E-960C-582318521671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xmlns="" id="{00000000-0008-0000-0700-000014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0" name="CuadroTexto 19">
              <a:extLst>
                <a:ext uri="{FF2B5EF4-FFF2-40B4-BE49-F238E27FC236}">
                  <a16:creationId xmlns:a16="http://schemas.microsoft.com/office/drawing/2014/main" id="{944E767A-B254-432A-B404-D377C1E0B79B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236456</xdr:colOff>
      <xdr:row>73</xdr:row>
      <xdr:rowOff>141002</xdr:rowOff>
    </xdr:from>
    <xdr:ext cx="730521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xmlns="" id="{00000000-0008-0000-0700-000016000000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∆</m:t>
                  </m:r>
                  <m:sSub>
                    <m:sSub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sSub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</m:e>
                    <m:sub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</m:t>
                      </m:r>
                    </m:sub>
                  </m:sSub>
                </m:oMath>
              </a14:m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29FC3807-E9A2-49AD-B5E3-81BD2B0F7587}"/>
                </a:ext>
              </a:extLst>
            </xdr:cNvPr>
            <xdr:cNvSpPr txBox="1"/>
          </xdr:nvSpPr>
          <xdr:spPr>
            <a:xfrm>
              <a:off x="3201906" y="30062202"/>
              <a:ext cx="730521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∆𝒎_𝒄</a:t>
              </a:r>
              <a:r>
                <a:rPr lang="es-CO" sz="1400" b="1" i="1"/>
                <a:t> (mg</a:t>
              </a:r>
              <a:r>
                <a:rPr lang="es-CO" sz="1200" b="1" i="0"/>
                <a:t>)</a:t>
              </a:r>
            </a:p>
          </xdr:txBody>
        </xdr:sp>
      </mc:Fallback>
    </mc:AlternateContent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xmlns="" id="{00000000-0008-0000-0700-000017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AFC0990B-F26D-4BFF-B069-FA60A74D3478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xmlns="" id="{00000000-0008-0000-0700-000019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CF99763B-25C6-4C17-8BBF-F55297774898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xmlns="" id="{00000000-0008-0000-0700-00001A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3AFA4FAC-B2E1-4A8C-B205-435204143999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xmlns="" id="{00000000-0008-0000-0700-00001B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107FAC86-110F-4776-9891-DE55E32E07E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xmlns="" id="{00000000-0008-0000-0700-00001C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19EE0673-319E-4377-BF7A-CDFD6E5E30DE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2</xdr:col>
      <xdr:colOff>273327</xdr:colOff>
      <xdr:row>52</xdr:row>
      <xdr:rowOff>140804</xdr:rowOff>
    </xdr:from>
    <xdr:ext cx="177356" cy="176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xmlns="" id="{00000000-0008-0000-0700-00001E000000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∆</m:t>
                        </m:r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𝑰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0" name="CuadroTexto 29">
              <a:extLst>
                <a:ext uri="{FF2B5EF4-FFF2-40B4-BE49-F238E27FC236}">
                  <a16:creationId xmlns:a16="http://schemas.microsoft.com/office/drawing/2014/main" id="{04AACD63-517F-482F-89E3-45C5D9D0A058}"/>
                </a:ext>
              </a:extLst>
            </xdr:cNvPr>
            <xdr:cNvSpPr txBox="1"/>
          </xdr:nvSpPr>
          <xdr:spPr>
            <a:xfrm>
              <a:off x="2140227" y="18657404"/>
              <a:ext cx="177356" cy="176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∆𝑰)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4</xdr:col>
      <xdr:colOff>155713</xdr:colOff>
      <xdr:row>39</xdr:row>
      <xdr:rowOff>106017</xdr:rowOff>
    </xdr:from>
    <xdr:ext cx="65" cy="172227"/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/>
      </xdr:nvSpPr>
      <xdr:spPr>
        <a:xfrm>
          <a:off x="4308613" y="1369501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xmlns="" id="{00000000-0008-0000-0700-000020000000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67895240-B5DF-4259-87E5-90059E16DB61}"/>
                </a:ext>
              </a:extLst>
            </xdr:cNvPr>
            <xdr:cNvSpPr txBox="1"/>
          </xdr:nvSpPr>
          <xdr:spPr>
            <a:xfrm>
              <a:off x="1360004" y="1372152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xmlns="" id="{00000000-0008-0000-0700-000021000000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3" name="CuadroTexto 32">
              <a:extLst>
                <a:ext uri="{FF2B5EF4-FFF2-40B4-BE49-F238E27FC236}">
                  <a16:creationId xmlns:a16="http://schemas.microsoft.com/office/drawing/2014/main" id="{D7D24AFC-F189-408E-9BCF-AB926B452149}"/>
                </a:ext>
              </a:extLst>
            </xdr:cNvPr>
            <xdr:cNvSpPr txBox="1"/>
          </xdr:nvSpPr>
          <xdr:spPr>
            <a:xfrm>
              <a:off x="1335157" y="1412985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xmlns="" id="{00000000-0008-0000-0700-000022000000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4" name="CuadroTexto 33">
              <a:extLst>
                <a:ext uri="{FF2B5EF4-FFF2-40B4-BE49-F238E27FC236}">
                  <a16:creationId xmlns:a16="http://schemas.microsoft.com/office/drawing/2014/main" id="{0DECF0C2-E920-4BBE-9737-C5017E397021}"/>
                </a:ext>
              </a:extLst>
            </xdr:cNvPr>
            <xdr:cNvSpPr txBox="1"/>
          </xdr:nvSpPr>
          <xdr:spPr>
            <a:xfrm>
              <a:off x="1434548" y="1452990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xmlns="" id="{00000000-0008-0000-0700-000023000000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35" name="CuadroTexto 34">
              <a:extLst>
                <a:ext uri="{FF2B5EF4-FFF2-40B4-BE49-F238E27FC236}">
                  <a16:creationId xmlns:a16="http://schemas.microsoft.com/office/drawing/2014/main" id="{5725B29D-AAE8-4790-BE1C-1E80D71A6AA6}"/>
                </a:ext>
              </a:extLst>
            </xdr:cNvPr>
            <xdr:cNvSpPr txBox="1"/>
          </xdr:nvSpPr>
          <xdr:spPr>
            <a:xfrm>
              <a:off x="1227482" y="1452162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/>
      </xdr:nvSpPr>
      <xdr:spPr>
        <a:xfrm>
          <a:off x="1376572" y="1452162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12</xdr:col>
      <xdr:colOff>628650</xdr:colOff>
      <xdr:row>61</xdr:row>
      <xdr:rowOff>0</xdr:rowOff>
    </xdr:from>
    <xdr:ext cx="65" cy="172227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/>
      </xdr:nvSpPr>
      <xdr:spPr>
        <a:xfrm>
          <a:off x="12693650" y="2270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5</xdr:col>
      <xdr:colOff>539750</xdr:colOff>
      <xdr:row>73</xdr:row>
      <xdr:rowOff>158749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xmlns="" id="{00000000-0008-0000-0700-000026000000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𝒆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8" name="CuadroTexto 37">
              <a:extLst>
                <a:ext uri="{FF2B5EF4-FFF2-40B4-BE49-F238E27FC236}">
                  <a16:creationId xmlns:a16="http://schemas.microsoft.com/office/drawing/2014/main" id="{1066849C-BA75-4BAA-A2D7-BED5ED307534}"/>
                </a:ext>
              </a:extLst>
            </xdr:cNvPr>
            <xdr:cNvSpPr txBox="1"/>
          </xdr:nvSpPr>
          <xdr:spPr>
            <a:xfrm>
              <a:off x="5778500" y="30079949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𝒆 𝒄𝒕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52917</xdr:colOff>
      <xdr:row>73</xdr:row>
      <xdr:rowOff>148167</xdr:rowOff>
    </xdr:from>
    <xdr:ext cx="98425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xmlns="" id="{00000000-0008-0000-0700-000027000000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𝒄𝒕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39" name="CuadroTexto 38">
              <a:extLst>
                <a:ext uri="{FF2B5EF4-FFF2-40B4-BE49-F238E27FC236}">
                  <a16:creationId xmlns:a16="http://schemas.microsoft.com/office/drawing/2014/main" id="{384E22B9-6322-497E-9FFD-3FFF22AB48B7}"/>
                </a:ext>
              </a:extLst>
            </xdr:cNvPr>
            <xdr:cNvSpPr txBox="1"/>
          </xdr:nvSpPr>
          <xdr:spPr>
            <a:xfrm>
              <a:off x="4205817" y="30069367"/>
              <a:ext cx="98425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𝒄𝒕 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1</xdr:col>
      <xdr:colOff>47625</xdr:colOff>
      <xdr:row>73</xdr:row>
      <xdr:rowOff>166688</xdr:rowOff>
    </xdr:from>
    <xdr:ext cx="833438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xmlns="" id="{00000000-0008-0000-0700-000028000000}"/>
                </a:ext>
              </a:extLst>
            </xdr:cNvPr>
            <xdr:cNvSpPr txBox="1"/>
          </xdr:nvSpPr>
          <xdr:spPr>
            <a:xfrm>
              <a:off x="1079500" y="29979938"/>
              <a:ext cx="83343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𝒎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𝑵𝒓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(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𝒈</m:t>
                    </m:r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0" name="CuadroTexto 39">
              <a:extLst>
                <a:ext uri="{FF2B5EF4-FFF2-40B4-BE49-F238E27FC236}">
                  <a16:creationId xmlns:a16="http://schemas.microsoft.com/office/drawing/2014/main" id="{4AB026A0-5A79-47D3-9E87-06A2D404DC6B}"/>
                </a:ext>
              </a:extLst>
            </xdr:cNvPr>
            <xdr:cNvSpPr txBox="1"/>
          </xdr:nvSpPr>
          <xdr:spPr>
            <a:xfrm>
              <a:off x="1079500" y="29979938"/>
              <a:ext cx="833438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𝒎 𝑵𝒓 (𝒈)</a:t>
              </a:r>
              <a:endParaRPr lang="es-CO" sz="1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624417</xdr:colOff>
      <xdr:row>73</xdr:row>
      <xdr:rowOff>285751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xmlns="" id="{00000000-0008-0000-0700-000029000000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𝑼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</m:t>
                  </m:r>
                  <m:d>
                    <m:dPr>
                      <m:ctrlP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𝒎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𝒄𝒕</m:t>
                      </m:r>
                      <m:r>
                        <a:rPr lang="es-CO" sz="1400" b="1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 </m:t>
                      </m:r>
                    </m:e>
                  </m:d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 ( 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𝒌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r>
                    <a:rPr lang="es-CO" sz="1400" b="1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𝟐</m:t>
                  </m:r>
                </m:oMath>
              </a14:m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Choice>
      <mc:Fallback xmlns="">
        <xdr:sp macro="" textlink="">
          <xdr:nvSpPr>
            <xdr:cNvPr id="41" name="CuadroTexto 40">
              <a:extLst>
                <a:ext uri="{FF2B5EF4-FFF2-40B4-BE49-F238E27FC236}">
                  <a16:creationId xmlns:a16="http://schemas.microsoft.com/office/drawing/2014/main" id="{284015EE-DAD7-4CA2-8458-F9EF73F331ED}"/>
                </a:ext>
              </a:extLst>
            </xdr:cNvPr>
            <xdr:cNvSpPr txBox="1"/>
          </xdr:nvSpPr>
          <xdr:spPr>
            <a:xfrm>
              <a:off x="9965267" y="30206951"/>
              <a:ext cx="1524000" cy="210507"/>
            </a:xfrm>
            <a:prstGeom prst="rect">
              <a:avLst/>
            </a:prstGeom>
            <a:solidFill>
              <a:srgbClr val="9BC2E6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𝑼 ( 𝒎 𝒄𝒕 )  ( 𝒌=𝟐</a:t>
              </a:r>
              <a:r>
                <a:rPr lang="es-CO" sz="1400" b="1" i="1">
                  <a:latin typeface="Arial" panose="020B0604020202020204" pitchFamily="34" charset="0"/>
                  <a:cs typeface="Arial" panose="020B0604020202020204" pitchFamily="34" charset="0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9</xdr:col>
      <xdr:colOff>603252</xdr:colOff>
      <xdr:row>74</xdr:row>
      <xdr:rowOff>84667</xdr:rowOff>
    </xdr:from>
    <xdr:ext cx="465666" cy="219163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 txBox="1"/>
      </xdr:nvSpPr>
      <xdr:spPr>
        <a:xfrm>
          <a:off x="10909302" y="30520217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9</xdr:col>
      <xdr:colOff>571499</xdr:colOff>
      <xdr:row>75</xdr:row>
      <xdr:rowOff>116416</xdr:rowOff>
    </xdr:from>
    <xdr:ext cx="359835" cy="219163"/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 txBox="1"/>
      </xdr:nvSpPr>
      <xdr:spPr>
        <a:xfrm>
          <a:off x="10877549" y="30996466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6</xdr:col>
      <xdr:colOff>275167</xdr:colOff>
      <xdr:row>74</xdr:row>
      <xdr:rowOff>148166</xdr:rowOff>
    </xdr:from>
    <xdr:ext cx="465666" cy="219163"/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 txBox="1"/>
      </xdr:nvSpPr>
      <xdr:spPr>
        <a:xfrm>
          <a:off x="6809317" y="30583716"/>
          <a:ext cx="465666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(mg)</a:t>
          </a:r>
          <a:endParaRPr lang="es-CO" sz="1200" b="1" i="0"/>
        </a:p>
      </xdr:txBody>
    </xdr:sp>
    <xdr:clientData/>
  </xdr:oneCellAnchor>
  <xdr:oneCellAnchor>
    <xdr:from>
      <xdr:col>6</xdr:col>
      <xdr:colOff>328083</xdr:colOff>
      <xdr:row>75</xdr:row>
      <xdr:rowOff>84667</xdr:rowOff>
    </xdr:from>
    <xdr:ext cx="359835" cy="219163"/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SpPr txBox="1"/>
      </xdr:nvSpPr>
      <xdr:spPr>
        <a:xfrm>
          <a:off x="6862233" y="30964717"/>
          <a:ext cx="359835" cy="219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400" b="1" i="1"/>
            <a:t>(g)</a:t>
          </a:r>
          <a:endParaRPr lang="es-CO" sz="1200" b="1" i="0"/>
        </a:p>
      </xdr:txBody>
    </xdr:sp>
    <xdr:clientData/>
  </xdr:oneCellAnchor>
  <xdr:oneCellAnchor>
    <xdr:from>
      <xdr:col>3</xdr:col>
      <xdr:colOff>560916</xdr:colOff>
      <xdr:row>72</xdr:row>
      <xdr:rowOff>74084</xdr:rowOff>
    </xdr:from>
    <xdr:ext cx="1524000" cy="2105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xmlns="" id="{00000000-0008-0000-0700-00002E000000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𝒎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𝒄𝒕</m:t>
                        </m:r>
                        <m:r>
                          <a:rPr lang="es-CO" sz="1400" b="1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 </m:t>
                        </m:r>
                      </m:e>
                    </m:d>
                    <m:r>
                      <a:rPr lang="es-CO" sz="1400" b="1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6" name="CuadroTexto 45">
              <a:extLst>
                <a:ext uri="{FF2B5EF4-FFF2-40B4-BE49-F238E27FC236}">
                  <a16:creationId xmlns:a16="http://schemas.microsoft.com/office/drawing/2014/main" id="{B0115895-1786-48DA-95C2-2298C108B52B}"/>
                </a:ext>
              </a:extLst>
            </xdr:cNvPr>
            <xdr:cNvSpPr txBox="1"/>
          </xdr:nvSpPr>
          <xdr:spPr>
            <a:xfrm>
              <a:off x="3526366" y="29550784"/>
              <a:ext cx="1524000" cy="2105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CO" sz="1400" b="1" i="0">
                  <a:latin typeface="Cambria Math" panose="02040503050406030204" pitchFamily="18" charset="0"/>
                  <a:ea typeface="Cambria Math" panose="02040503050406030204" pitchFamily="18" charset="0"/>
                </a:rPr>
                <a:t>( 𝒎 𝒄𝒕 )   </a:t>
              </a:r>
              <a:endParaRPr lang="es-CO" sz="1400" b="1" i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411956</xdr:colOff>
      <xdr:row>71</xdr:row>
      <xdr:rowOff>406003</xdr:rowOff>
    </xdr:from>
    <xdr:ext cx="65" cy="172227"/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SpPr txBox="1"/>
      </xdr:nvSpPr>
      <xdr:spPr>
        <a:xfrm>
          <a:off x="8044656" y="2945725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xmlns="" id="{00000000-0008-0000-0700-000031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49" name="CuadroTexto 48">
              <a:extLst>
                <a:ext uri="{FF2B5EF4-FFF2-40B4-BE49-F238E27FC236}">
                  <a16:creationId xmlns:a16="http://schemas.microsoft.com/office/drawing/2014/main" id="{D88EFB20-EFD2-4DDC-9356-EB30DD8779CD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oneCellAnchor>
    <xdr:from>
      <xdr:col>1</xdr:col>
      <xdr:colOff>150812</xdr:colOff>
      <xdr:row>67</xdr:row>
      <xdr:rowOff>301625</xdr:rowOff>
    </xdr:from>
    <xdr:ext cx="420688" cy="3333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xmlns="" id="{00000000-0008-0000-0700-000032000000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CO" sz="1100" b="1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CO" sz="1100" b="1" i="1">
                            <a:latin typeface="Cambria Math" panose="02040503050406030204" pitchFamily="18" charset="0"/>
                          </a:rPr>
                          <m:t>𝒖</m:t>
                        </m:r>
                      </m:e>
                      <m:sub>
                        <m:r>
                          <a:rPr lang="es-MX" sz="1100" b="1" i="1">
                            <a:latin typeface="Cambria Math" panose="02040503050406030204" pitchFamily="18" charset="0"/>
                          </a:rPr>
                          <m:t>𝒎𝒓</m:t>
                        </m:r>
                      </m:sub>
                    </m:sSub>
                  </m:oMath>
                </m:oMathPara>
              </a14:m>
              <a:endParaRPr lang="es-CO" sz="1100" b="1"/>
            </a:p>
          </xdr:txBody>
        </xdr:sp>
      </mc:Choice>
      <mc:Fallback xmlns="">
        <xdr:sp macro="" textlink="">
          <xdr:nvSpPr>
            <xdr:cNvPr id="50" name="CuadroTexto 49">
              <a:extLst>
                <a:ext uri="{FF2B5EF4-FFF2-40B4-BE49-F238E27FC236}">
                  <a16:creationId xmlns:a16="http://schemas.microsoft.com/office/drawing/2014/main" id="{142CC3D4-CAB8-48C2-BE43-7085D7DE3EA3}"/>
                </a:ext>
              </a:extLst>
            </xdr:cNvPr>
            <xdr:cNvSpPr txBox="1"/>
          </xdr:nvSpPr>
          <xdr:spPr>
            <a:xfrm>
              <a:off x="1179512" y="27428825"/>
              <a:ext cx="420688" cy="3333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CO" sz="1100" b="1" i="0">
                  <a:latin typeface="Cambria Math" panose="02040503050406030204" pitchFamily="18" charset="0"/>
                </a:rPr>
                <a:t>𝒖_</a:t>
              </a:r>
              <a:r>
                <a:rPr lang="es-MX" sz="1100" b="1" i="0">
                  <a:latin typeface="Cambria Math" panose="02040503050406030204" pitchFamily="18" charset="0"/>
                </a:rPr>
                <a:t>𝒎𝒓</a:t>
              </a:r>
              <a:endParaRPr lang="es-CO" sz="1100" b="1"/>
            </a:p>
          </xdr:txBody>
        </xdr:sp>
      </mc:Fallback>
    </mc:AlternateContent>
    <xdr:clientData/>
  </xdr:oneCellAnchor>
  <xdr:twoCellAnchor>
    <xdr:from>
      <xdr:col>8</xdr:col>
      <xdr:colOff>336019</xdr:colOff>
      <xdr:row>62</xdr:row>
      <xdr:rowOff>552979</xdr:rowOff>
    </xdr:from>
    <xdr:to>
      <xdr:col>12</xdr:col>
      <xdr:colOff>632352</xdr:colOff>
      <xdr:row>65</xdr:row>
      <xdr:rowOff>82021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xmlns="" id="{E8414AEB-62EC-4A38-B426-57E24205A63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1" name="CuadroTexto 50">
              <a:extLst>
                <a:ext uri="{FF2B5EF4-FFF2-40B4-BE49-F238E27FC236}">
                  <a16:creationId xmlns:a16="http://schemas.microsoft.com/office/drawing/2014/main" id="{E8414AEB-62EC-4A38-B426-57E24205A63F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xmlns="" id="{979CD795-BDA0-45F2-8DA6-54212AB4E7C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3" name="CuadroTexto 52">
              <a:extLst>
                <a:ext uri="{FF2B5EF4-FFF2-40B4-BE49-F238E27FC236}">
                  <a16:creationId xmlns:a16="http://schemas.microsoft.com/office/drawing/2014/main" id="{979CD795-BDA0-45F2-8DA6-54212AB4E7C0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xmlns="" id="{1F69D529-17C8-4B70-A6CE-C8753ECEA7C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4" name="CuadroTexto 53">
              <a:extLst>
                <a:ext uri="{FF2B5EF4-FFF2-40B4-BE49-F238E27FC236}">
                  <a16:creationId xmlns:a16="http://schemas.microsoft.com/office/drawing/2014/main" id="{1F69D529-17C8-4B70-A6CE-C8753ECEA7CB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xmlns="" id="{E6FCBE4C-C309-4D91-A5A2-026BD91222C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5" name="CuadroTexto 54">
              <a:extLst>
                <a:ext uri="{FF2B5EF4-FFF2-40B4-BE49-F238E27FC236}">
                  <a16:creationId xmlns:a16="http://schemas.microsoft.com/office/drawing/2014/main" id="{E6FCBE4C-C309-4D91-A5A2-026BD91222C9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xmlns="" id="{DCEEE5F0-9113-47C6-AE48-045557BABFAE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xmlns="" id="{E30A96AD-2DCF-4DC4-9130-32A607A3444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7" name="CuadroTexto 56">
              <a:extLst>
                <a:ext uri="{FF2B5EF4-FFF2-40B4-BE49-F238E27FC236}">
                  <a16:creationId xmlns:a16="http://schemas.microsoft.com/office/drawing/2014/main" id="{E30A96AD-2DCF-4DC4-9130-32A607A3444C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xmlns="" id="{0B48446C-F73E-4C58-81FB-9807A7BB3CA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8" name="CuadroTexto 57">
              <a:extLst>
                <a:ext uri="{FF2B5EF4-FFF2-40B4-BE49-F238E27FC236}">
                  <a16:creationId xmlns:a16="http://schemas.microsoft.com/office/drawing/2014/main" id="{0B48446C-F73E-4C58-81FB-9807A7BB3CA9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xmlns="" id="{DD9A3C12-B311-4ED3-BA14-BAEEDE39DFE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DD9A3C12-B311-4ED3-BA14-BAEEDE39DFEF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xmlns="" id="{14DE40D9-50A7-46CC-A214-9229CFD5A9A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14DE40D9-50A7-46CC-A214-9229CFD5A9A4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xmlns="" id="{50FA8D0C-063D-495F-A97D-49EBB927502D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oneCellAnchor>
    <xdr:from>
      <xdr:col>1</xdr:col>
      <xdr:colOff>331304</xdr:colOff>
      <xdr:row>39</xdr:row>
      <xdr:rowOff>132521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xmlns="" id="{5B6866B9-0B55-4A3D-898A-EDAEE8EE182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2" name="CuadroTexto 61">
              <a:extLst>
                <a:ext uri="{FF2B5EF4-FFF2-40B4-BE49-F238E27FC236}">
                  <a16:creationId xmlns:a16="http://schemas.microsoft.com/office/drawing/2014/main" id="{5B6866B9-0B55-4A3D-898A-EDAEE8EE1829}"/>
                </a:ext>
              </a:extLst>
            </xdr:cNvPr>
            <xdr:cNvSpPr txBox="1"/>
          </xdr:nvSpPr>
          <xdr:spPr>
            <a:xfrm>
              <a:off x="1312379" y="13905671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306457</xdr:colOff>
      <xdr:row>40</xdr:row>
      <xdr:rowOff>140804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xmlns="" id="{0B2975D6-1933-4D4C-88E3-B7C238D1606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3" name="CuadroTexto 62">
              <a:extLst>
                <a:ext uri="{FF2B5EF4-FFF2-40B4-BE49-F238E27FC236}">
                  <a16:creationId xmlns:a16="http://schemas.microsoft.com/office/drawing/2014/main" id="{0B2975D6-1933-4D4C-88E3-B7C238D16067}"/>
                </a:ext>
              </a:extLst>
            </xdr:cNvPr>
            <xdr:cNvSpPr txBox="1"/>
          </xdr:nvSpPr>
          <xdr:spPr>
            <a:xfrm>
              <a:off x="1287532" y="14314004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405848</xdr:colOff>
      <xdr:row>41</xdr:row>
      <xdr:rowOff>140805</xdr:rowOff>
    </xdr:from>
    <xdr:ext cx="125227" cy="1756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xmlns="" id="{41966D4A-A4FB-4331-96DF-AE6A4513CA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𝑨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4" name="CuadroTexto 63">
              <a:extLst>
                <a:ext uri="{FF2B5EF4-FFF2-40B4-BE49-F238E27FC236}">
                  <a16:creationId xmlns:a16="http://schemas.microsoft.com/office/drawing/2014/main" id="{41966D4A-A4FB-4331-96DF-AE6A4513CA6C}"/>
                </a:ext>
              </a:extLst>
            </xdr:cNvPr>
            <xdr:cNvSpPr txBox="1"/>
          </xdr:nvSpPr>
          <xdr:spPr>
            <a:xfrm>
              <a:off x="1386923" y="14714055"/>
              <a:ext cx="125227" cy="1756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𝑨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198782</xdr:colOff>
      <xdr:row>41</xdr:row>
      <xdr:rowOff>132522</xdr:rowOff>
    </xdr:from>
    <xdr:ext cx="133883" cy="1751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xmlns="" id="{3890280C-F826-432B-B556-35CD50C46D1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lang="es-CO" sz="11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𝑩</m:t>
                        </m:r>
                      </m:e>
                    </m:acc>
                  </m:oMath>
                </m:oMathPara>
              </a14:m>
              <a:endParaRPr lang="es-CO" sz="1100" b="1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3890280C-F826-432B-B556-35CD50C46D1B}"/>
                </a:ext>
              </a:extLst>
            </xdr:cNvPr>
            <xdr:cNvSpPr txBox="1"/>
          </xdr:nvSpPr>
          <xdr:spPr>
            <a:xfrm>
              <a:off x="1179857" y="14705772"/>
              <a:ext cx="133883" cy="1751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𝑩 ̅</a:t>
              </a:r>
              <a:endParaRPr lang="es-CO" sz="1100" b="1">
                <a:solidFill>
                  <a:schemeClr val="tx1"/>
                </a:solidFill>
              </a:endParaRPr>
            </a:p>
          </xdr:txBody>
        </xdr:sp>
      </mc:Fallback>
    </mc:AlternateContent>
    <xdr:clientData/>
  </xdr:oneCellAnchor>
  <xdr:oneCellAnchor>
    <xdr:from>
      <xdr:col>1</xdr:col>
      <xdr:colOff>347872</xdr:colOff>
      <xdr:row>41</xdr:row>
      <xdr:rowOff>132521</xdr:rowOff>
    </xdr:from>
    <xdr:ext cx="66260" cy="172227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xmlns="" id="{019C8730-2C21-46DD-B4FD-004228C85198}"/>
            </a:ext>
          </a:extLst>
        </xdr:cNvPr>
        <xdr:cNvSpPr txBox="1"/>
      </xdr:nvSpPr>
      <xdr:spPr>
        <a:xfrm>
          <a:off x="1328947" y="14705771"/>
          <a:ext cx="6626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r>
            <a:rPr lang="es-CO" sz="1100" b="1">
              <a:solidFill>
                <a:schemeClr val="tx1"/>
              </a:solidFill>
            </a:rPr>
            <a:t>-</a:t>
          </a:r>
          <a:r>
            <a:rPr lang="es-CO" sz="1100" b="1" baseline="0">
              <a:solidFill>
                <a:schemeClr val="tx1"/>
              </a:solidFill>
            </a:rPr>
            <a:t> </a:t>
          </a:r>
          <a:endParaRPr lang="es-CO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0</xdr:col>
      <xdr:colOff>83343</xdr:colOff>
      <xdr:row>78</xdr:row>
      <xdr:rowOff>202407</xdr:rowOff>
    </xdr:from>
    <xdr:to>
      <xdr:col>4</xdr:col>
      <xdr:colOff>1022013</xdr:colOff>
      <xdr:row>83</xdr:row>
      <xdr:rowOff>195142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xmlns="" id="{84846F47-4F51-4605-9B82-791BC9215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464344</xdr:colOff>
      <xdr:row>0</xdr:row>
      <xdr:rowOff>154781</xdr:rowOff>
    </xdr:from>
    <xdr:to>
      <xdr:col>1</xdr:col>
      <xdr:colOff>835343</xdr:colOff>
      <xdr:row>0</xdr:row>
      <xdr:rowOff>908526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D92E0DF3-0B14-D3F6-E925-BE1CCB94386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154781"/>
          <a:ext cx="1621155" cy="7537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C20736\Users\Users\eaguirre\Documents\Laboratorios%20de%20masas%20y%20volumen%20(RT03)\Calibraciones%20Balanzas\CERTIFICADO%200000%202016Abril19%20HCB%20MAX%202200%20g%20PEDRO%20VARG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RUEBAS DE CALIBRACION"/>
      <sheetName val="COMPONENTES DE INCERTI"/>
      <sheetName val="APROXIMACION LINEL"/>
      <sheetName val="RESULTADOS"/>
      <sheetName val="Certificado 0,000"/>
    </sheetNames>
    <sheetDataSet>
      <sheetData sheetId="0">
        <row r="7">
          <cell r="C7" t="str">
            <v>Bogotá. D.C.</v>
          </cell>
        </row>
        <row r="13">
          <cell r="E13">
            <v>0.1</v>
          </cell>
        </row>
      </sheetData>
      <sheetData sheetId="1">
        <row r="6">
          <cell r="E6">
            <v>20.549999999999997</v>
          </cell>
        </row>
        <row r="11">
          <cell r="H11">
            <v>100</v>
          </cell>
        </row>
        <row r="18">
          <cell r="G18">
            <v>0.10000000000331966</v>
          </cell>
        </row>
      </sheetData>
      <sheetData sheetId="2"/>
      <sheetData sheetId="3"/>
      <sheetData sheetId="4">
        <row r="6">
          <cell r="C6" t="str">
            <v>ERROR (mg)</v>
          </cell>
        </row>
      </sheetData>
      <sheetData sheetId="5">
        <row r="114">
          <cell r="A114">
            <v>10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uis Henry Barreto Rojas" id="{3158BA57-9FEC-4E58-B7F7-7571081DBE60}" userId="Luis Henry Barreto Rojas" providerId="None"/>
  <person displayName="Elvis Aguirre Romero" id="{9D17B2A7-7058-4669-AB42-D03FCE3F4352}" userId="S::eaguirre@sic.gov.co::374a4117-b831-4a3d-8ba0-a79639956d31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45" dT="2020-10-21T16:24:30.52" personId="{9D17B2A7-7058-4669-AB42-D03FCE3F4352}" id="{B16603F9-1199-4E9B-8D9A-6CDDA89A56E2}">
    <text>Tener en cuenta: valor nominal, unidad, clase,marcación del fabricante y marcación adicional. ejemplo: (5 kg * M LVF TR)</text>
  </threadedComment>
  <threadedComment ref="H140" dT="2020-08-24T21:24:22.16" personId="{3158BA57-9FEC-4E58-B7F7-7571081DBE60}" id="{72CAB778-1D1B-495D-B56A-2C449DE085AD}">
    <text>Valor agregado algebraicamente al resultado no corregido de una medición para compensar un error sistemático. Nota: la corrección es igual al error sistemático, con signo negativo.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FF0000"/>
  </sheetPr>
  <dimension ref="A1:BL265"/>
  <sheetViews>
    <sheetView showGridLines="0" view="pageBreakPreview" zoomScale="80" zoomScaleNormal="50" zoomScaleSheetLayoutView="80" zoomScalePageLayoutView="10" workbookViewId="0">
      <selection activeCell="F1" sqref="F1:AA1"/>
    </sheetView>
  </sheetViews>
  <sheetFormatPr baseColWidth="10" defaultColWidth="15.7109375" defaultRowHeight="15" x14ac:dyDescent="0.25"/>
  <cols>
    <col min="1" max="1" width="20.7109375" style="28" customWidth="1"/>
    <col min="2" max="2" width="20.140625" style="28" customWidth="1"/>
    <col min="3" max="3" width="19" style="28" customWidth="1"/>
    <col min="4" max="4" width="20.7109375" style="28" customWidth="1"/>
    <col min="5" max="5" width="25.7109375" style="28" customWidth="1"/>
    <col min="6" max="7" width="20.7109375" style="28" customWidth="1"/>
    <col min="8" max="8" width="24" style="28" customWidth="1"/>
    <col min="9" max="9" width="22.85546875" style="28" customWidth="1"/>
    <col min="10" max="10" width="20.7109375" style="28" customWidth="1"/>
    <col min="11" max="11" width="22" style="28" customWidth="1"/>
    <col min="12" max="12" width="30.140625" style="28" customWidth="1"/>
    <col min="13" max="20" width="20.7109375" style="28" customWidth="1"/>
    <col min="21" max="21" width="23.5703125" style="28" customWidth="1"/>
    <col min="22" max="30" width="20.7109375" style="28" customWidth="1"/>
    <col min="31" max="31" width="19.85546875" style="28" bestFit="1" customWidth="1"/>
    <col min="32" max="35" width="15.85546875" style="28" bestFit="1" customWidth="1"/>
    <col min="36" max="40" width="16" style="28" customWidth="1"/>
    <col min="41" max="44" width="10.7109375" style="28" customWidth="1"/>
    <col min="45" max="45" width="16" style="28" bestFit="1" customWidth="1"/>
    <col min="46" max="46" width="15.85546875" style="28" bestFit="1" customWidth="1"/>
    <col min="47" max="47" width="20.7109375" style="28" bestFit="1" customWidth="1"/>
    <col min="48" max="48" width="15.85546875" style="28" bestFit="1" customWidth="1"/>
    <col min="49" max="49" width="15.7109375" style="28"/>
    <col min="50" max="50" width="20" style="28" customWidth="1"/>
    <col min="51" max="52" width="10.7109375" style="28" customWidth="1"/>
    <col min="53" max="16384" width="15.7109375" style="28"/>
  </cols>
  <sheetData>
    <row r="1" spans="1:29" ht="120.75" customHeight="1" thickBot="1" x14ac:dyDescent="0.3">
      <c r="A1" s="858"/>
      <c r="B1" s="858"/>
      <c r="C1" s="858"/>
      <c r="D1" s="858"/>
      <c r="E1" s="858"/>
      <c r="F1" s="859" t="s">
        <v>404</v>
      </c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</row>
    <row r="2" spans="1:29" ht="30" customHeight="1" thickBot="1" x14ac:dyDescent="0.3"/>
    <row r="3" spans="1:29" ht="30" customHeight="1" x14ac:dyDescent="0.25">
      <c r="B3" s="733" t="s">
        <v>410</v>
      </c>
      <c r="C3" s="734"/>
      <c r="D3" s="734"/>
      <c r="E3" s="734"/>
      <c r="F3" s="734"/>
      <c r="G3" s="734"/>
      <c r="H3" s="735"/>
      <c r="N3" s="733" t="s">
        <v>160</v>
      </c>
      <c r="O3" s="734"/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5"/>
    </row>
    <row r="4" spans="1:29" ht="30" customHeight="1" thickBot="1" x14ac:dyDescent="0.3">
      <c r="B4" s="736"/>
      <c r="C4" s="737"/>
      <c r="D4" s="737"/>
      <c r="E4" s="737"/>
      <c r="F4" s="737"/>
      <c r="G4" s="737"/>
      <c r="H4" s="738"/>
      <c r="N4" s="736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8"/>
    </row>
    <row r="5" spans="1:29" ht="35.1" customHeight="1" x14ac:dyDescent="0.25">
      <c r="B5" s="770" t="s">
        <v>161</v>
      </c>
      <c r="C5" s="772" t="s">
        <v>162</v>
      </c>
      <c r="D5" s="772" t="s">
        <v>409</v>
      </c>
      <c r="E5" s="772" t="s">
        <v>1</v>
      </c>
      <c r="F5" s="772" t="s">
        <v>406</v>
      </c>
      <c r="G5" s="772" t="s">
        <v>407</v>
      </c>
      <c r="H5" s="774" t="s">
        <v>420</v>
      </c>
      <c r="N5" s="758" t="s">
        <v>163</v>
      </c>
      <c r="O5" s="739" t="s">
        <v>7</v>
      </c>
      <c r="P5" s="739" t="s">
        <v>8</v>
      </c>
      <c r="Q5" s="739" t="s">
        <v>9</v>
      </c>
      <c r="R5" s="739" t="s">
        <v>10</v>
      </c>
      <c r="S5" s="739" t="s">
        <v>164</v>
      </c>
      <c r="T5" s="739" t="s">
        <v>403</v>
      </c>
      <c r="U5" s="739" t="s">
        <v>165</v>
      </c>
      <c r="V5" s="739" t="s">
        <v>166</v>
      </c>
      <c r="W5" s="739" t="s">
        <v>167</v>
      </c>
      <c r="X5" s="739" t="s">
        <v>168</v>
      </c>
      <c r="Y5" s="739" t="s">
        <v>169</v>
      </c>
      <c r="Z5" s="739" t="s">
        <v>170</v>
      </c>
      <c r="AA5" s="739" t="s">
        <v>171</v>
      </c>
      <c r="AB5" s="739" t="s">
        <v>172</v>
      </c>
      <c r="AC5" s="747" t="s">
        <v>27</v>
      </c>
    </row>
    <row r="6" spans="1:29" ht="35.1" customHeight="1" thickBot="1" x14ac:dyDescent="0.3">
      <c r="B6" s="771"/>
      <c r="C6" s="773"/>
      <c r="D6" s="773"/>
      <c r="E6" s="773"/>
      <c r="F6" s="773"/>
      <c r="G6" s="773"/>
      <c r="H6" s="775"/>
      <c r="N6" s="759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8"/>
    </row>
    <row r="7" spans="1:29" ht="30" customHeight="1" thickBot="1" x14ac:dyDescent="0.3">
      <c r="B7" s="581"/>
      <c r="C7" s="582"/>
      <c r="D7" s="582"/>
      <c r="E7" s="582"/>
      <c r="F7" s="582"/>
      <c r="G7" s="582"/>
      <c r="H7" s="583"/>
      <c r="N7" s="74"/>
      <c r="O7" s="75"/>
      <c r="P7" s="75"/>
      <c r="Q7" s="75"/>
      <c r="R7" s="75"/>
      <c r="S7" s="75"/>
      <c r="T7" s="75"/>
      <c r="U7" s="75"/>
      <c r="V7" s="75"/>
    </row>
    <row r="8" spans="1:29" s="43" customFormat="1" ht="39.950000000000003" customHeight="1" x14ac:dyDescent="0.25">
      <c r="B8" s="117" t="s">
        <v>3</v>
      </c>
      <c r="C8" s="119"/>
      <c r="D8" s="120"/>
      <c r="E8" s="121"/>
      <c r="F8" s="121"/>
      <c r="G8" s="584"/>
      <c r="H8" s="577"/>
      <c r="I8" s="28"/>
      <c r="J8" s="28"/>
      <c r="M8" s="744"/>
      <c r="N8" s="186" t="s">
        <v>173</v>
      </c>
      <c r="O8" s="189" t="s">
        <v>174</v>
      </c>
      <c r="P8" s="189" t="s">
        <v>175</v>
      </c>
      <c r="Q8" s="189">
        <v>27129360</v>
      </c>
      <c r="R8" s="189" t="s">
        <v>176</v>
      </c>
      <c r="S8" s="84">
        <v>4786</v>
      </c>
      <c r="T8" s="83">
        <v>44483</v>
      </c>
      <c r="U8" s="189">
        <v>1</v>
      </c>
      <c r="V8" s="84">
        <v>8.9999999999999993E-3</v>
      </c>
      <c r="W8" s="84">
        <v>8.0000000000000002E-3</v>
      </c>
      <c r="X8" s="541">
        <f>ABS((W8-V8))/SQRT(3)</f>
        <v>5.7735026918962536E-4</v>
      </c>
      <c r="Y8" s="86">
        <v>0.01</v>
      </c>
      <c r="Z8" s="98">
        <v>8000</v>
      </c>
      <c r="AA8" s="84">
        <v>30</v>
      </c>
      <c r="AB8" s="523">
        <f>(0.34848*((750.4+754.1)/2)-0.009*((48.6+58.4)/2)*EXP(0.0612*((20.9+21.8)/2)))/(273.15+((20.9+21.8)/2))</f>
        <v>0.88409364639058408</v>
      </c>
      <c r="AC8" s="190" t="s">
        <v>177</v>
      </c>
    </row>
    <row r="9" spans="1:29" s="43" customFormat="1" ht="30" customHeight="1" x14ac:dyDescent="0.25">
      <c r="B9" s="118" t="s">
        <v>103</v>
      </c>
      <c r="C9" s="122">
        <f>$C$8</f>
        <v>0</v>
      </c>
      <c r="D9" s="123">
        <f>$D$8</f>
        <v>0</v>
      </c>
      <c r="E9" s="116">
        <f>$E$8</f>
        <v>0</v>
      </c>
      <c r="F9" s="116">
        <f>$F$8</f>
        <v>0</v>
      </c>
      <c r="G9" s="124">
        <f>$G$8</f>
        <v>0</v>
      </c>
      <c r="H9" s="578">
        <f>$H$8</f>
        <v>0</v>
      </c>
      <c r="I9" s="28"/>
      <c r="J9" s="28"/>
      <c r="M9" s="745"/>
      <c r="N9" s="187" t="s">
        <v>178</v>
      </c>
      <c r="O9" s="251" t="s">
        <v>174</v>
      </c>
      <c r="P9" s="251" t="s">
        <v>175</v>
      </c>
      <c r="Q9" s="251">
        <v>27129360</v>
      </c>
      <c r="R9" s="251" t="s">
        <v>179</v>
      </c>
      <c r="S9" s="91">
        <v>4786</v>
      </c>
      <c r="T9" s="90">
        <v>44483</v>
      </c>
      <c r="U9" s="251">
        <v>2</v>
      </c>
      <c r="V9" s="94">
        <v>0.01</v>
      </c>
      <c r="W9" s="91">
        <v>1.0999999999999999E-2</v>
      </c>
      <c r="X9" s="540">
        <f t="shared" ref="X9:X72" si="0">ABS((W9-V9))/SQRT(3)</f>
        <v>5.7735026918962536E-4</v>
      </c>
      <c r="Y9" s="91">
        <v>1.2E-2</v>
      </c>
      <c r="Z9" s="100">
        <v>8000</v>
      </c>
      <c r="AA9" s="91">
        <v>30</v>
      </c>
      <c r="AB9" s="101">
        <f>(0.34848*((750.4+754.1)/2)-0.009*((48.6+58.4)/2)*EXP(0.0612*((20.9+21.8)/2)))/(273.15+((20.9+21.8)/2))</f>
        <v>0.88409364639058408</v>
      </c>
      <c r="AC9" s="257" t="s">
        <v>177</v>
      </c>
    </row>
    <row r="10" spans="1:29" s="43" customFormat="1" ht="30" customHeight="1" x14ac:dyDescent="0.25">
      <c r="B10" s="118" t="s">
        <v>105</v>
      </c>
      <c r="C10" s="122">
        <f t="shared" ref="C10:C39" si="1">$C$8</f>
        <v>0</v>
      </c>
      <c r="D10" s="123">
        <f t="shared" ref="D10:D39" si="2">$D$8</f>
        <v>0</v>
      </c>
      <c r="E10" s="116">
        <f t="shared" ref="E10:E39" si="3">$E$8</f>
        <v>0</v>
      </c>
      <c r="F10" s="116">
        <f t="shared" ref="F10:F39" si="4">$F$8</f>
        <v>0</v>
      </c>
      <c r="G10" s="124">
        <f t="shared" ref="G10:G39" si="5">$G$8</f>
        <v>0</v>
      </c>
      <c r="H10" s="578">
        <f t="shared" ref="H10:H39" si="6">$H$8</f>
        <v>0</v>
      </c>
      <c r="I10" s="28"/>
      <c r="J10" s="28"/>
      <c r="M10" s="745"/>
      <c r="N10" s="187" t="s">
        <v>180</v>
      </c>
      <c r="O10" s="251" t="s">
        <v>174</v>
      </c>
      <c r="P10" s="251" t="s">
        <v>175</v>
      </c>
      <c r="Q10" s="251">
        <v>27129360</v>
      </c>
      <c r="R10" s="251" t="s">
        <v>181</v>
      </c>
      <c r="S10" s="91">
        <v>4786</v>
      </c>
      <c r="T10" s="90">
        <v>44483</v>
      </c>
      <c r="U10" s="251">
        <v>2</v>
      </c>
      <c r="V10" s="91">
        <v>1.7000000000000001E-2</v>
      </c>
      <c r="W10" s="91">
        <v>1.6E-2</v>
      </c>
      <c r="X10" s="540">
        <f t="shared" si="0"/>
        <v>5.7735026918962634E-4</v>
      </c>
      <c r="Y10" s="91">
        <v>1.2E-2</v>
      </c>
      <c r="Z10" s="100">
        <v>8000</v>
      </c>
      <c r="AA10" s="91">
        <v>30</v>
      </c>
      <c r="AB10" s="101">
        <f t="shared" ref="AB10:AB24" si="7">(0.34848*((750.4+754.1)/2)-0.009*((48.6+58.4)/2)*EXP(0.0612*((20.9+21.8)/2)))/(273.15+((20.9+21.8)/2))</f>
        <v>0.88409364639058408</v>
      </c>
      <c r="AC10" s="257" t="s">
        <v>177</v>
      </c>
    </row>
    <row r="11" spans="1:29" s="43" customFormat="1" ht="30" customHeight="1" x14ac:dyDescent="0.25">
      <c r="B11" s="118" t="s">
        <v>107</v>
      </c>
      <c r="C11" s="122">
        <f t="shared" si="1"/>
        <v>0</v>
      </c>
      <c r="D11" s="123">
        <f t="shared" si="2"/>
        <v>0</v>
      </c>
      <c r="E11" s="116">
        <f t="shared" si="3"/>
        <v>0</v>
      </c>
      <c r="F11" s="116">
        <f t="shared" si="4"/>
        <v>0</v>
      </c>
      <c r="G11" s="124">
        <f t="shared" si="5"/>
        <v>0</v>
      </c>
      <c r="H11" s="578">
        <f t="shared" si="6"/>
        <v>0</v>
      </c>
      <c r="I11" s="28"/>
      <c r="J11" s="28"/>
      <c r="M11" s="745"/>
      <c r="N11" s="187" t="s">
        <v>182</v>
      </c>
      <c r="O11" s="251" t="s">
        <v>174</v>
      </c>
      <c r="P11" s="251" t="s">
        <v>175</v>
      </c>
      <c r="Q11" s="251">
        <v>27129360</v>
      </c>
      <c r="R11" s="251" t="s">
        <v>183</v>
      </c>
      <c r="S11" s="91">
        <v>4786</v>
      </c>
      <c r="T11" s="90">
        <v>44483</v>
      </c>
      <c r="U11" s="251">
        <v>5</v>
      </c>
      <c r="V11" s="94">
        <v>2E-3</v>
      </c>
      <c r="W11" s="91">
        <v>2E-3</v>
      </c>
      <c r="X11" s="540">
        <f t="shared" si="0"/>
        <v>0</v>
      </c>
      <c r="Y11" s="91">
        <v>1.6E-2</v>
      </c>
      <c r="Z11" s="100">
        <v>8000</v>
      </c>
      <c r="AA11" s="91">
        <v>30</v>
      </c>
      <c r="AB11" s="101">
        <f t="shared" si="7"/>
        <v>0.88409364639058408</v>
      </c>
      <c r="AC11" s="257" t="s">
        <v>177</v>
      </c>
    </row>
    <row r="12" spans="1:29" s="43" customFormat="1" ht="30" customHeight="1" x14ac:dyDescent="0.25">
      <c r="B12" s="118" t="s">
        <v>109</v>
      </c>
      <c r="C12" s="122">
        <f t="shared" si="1"/>
        <v>0</v>
      </c>
      <c r="D12" s="123">
        <f t="shared" si="2"/>
        <v>0</v>
      </c>
      <c r="E12" s="116">
        <f t="shared" si="3"/>
        <v>0</v>
      </c>
      <c r="F12" s="116">
        <f t="shared" si="4"/>
        <v>0</v>
      </c>
      <c r="G12" s="124">
        <f t="shared" si="5"/>
        <v>0</v>
      </c>
      <c r="H12" s="578">
        <f t="shared" si="6"/>
        <v>0</v>
      </c>
      <c r="I12" s="28"/>
      <c r="J12" s="28"/>
      <c r="M12" s="745"/>
      <c r="N12" s="187" t="s">
        <v>184</v>
      </c>
      <c r="O12" s="251" t="s">
        <v>174</v>
      </c>
      <c r="P12" s="251" t="s">
        <v>175</v>
      </c>
      <c r="Q12" s="251">
        <v>27129360</v>
      </c>
      <c r="R12" s="251" t="s">
        <v>185</v>
      </c>
      <c r="S12" s="91">
        <v>4786</v>
      </c>
      <c r="T12" s="90">
        <v>44483</v>
      </c>
      <c r="U12" s="251">
        <v>10</v>
      </c>
      <c r="V12" s="91">
        <v>1.9E-2</v>
      </c>
      <c r="W12" s="91">
        <v>1.9E-2</v>
      </c>
      <c r="X12" s="540">
        <f t="shared" si="0"/>
        <v>0</v>
      </c>
      <c r="Y12" s="94">
        <v>0.02</v>
      </c>
      <c r="Z12" s="100">
        <v>8000</v>
      </c>
      <c r="AA12" s="91">
        <v>30</v>
      </c>
      <c r="AB12" s="101">
        <f t="shared" si="7"/>
        <v>0.88409364639058408</v>
      </c>
      <c r="AC12" s="257" t="s">
        <v>177</v>
      </c>
    </row>
    <row r="13" spans="1:29" s="43" customFormat="1" ht="30" customHeight="1" x14ac:dyDescent="0.25">
      <c r="B13" s="118" t="s">
        <v>112</v>
      </c>
      <c r="C13" s="122">
        <f t="shared" si="1"/>
        <v>0</v>
      </c>
      <c r="D13" s="123">
        <f t="shared" si="2"/>
        <v>0</v>
      </c>
      <c r="E13" s="116">
        <f t="shared" si="3"/>
        <v>0</v>
      </c>
      <c r="F13" s="116">
        <f t="shared" si="4"/>
        <v>0</v>
      </c>
      <c r="G13" s="124">
        <f t="shared" si="5"/>
        <v>0</v>
      </c>
      <c r="H13" s="578">
        <f t="shared" si="6"/>
        <v>0</v>
      </c>
      <c r="I13" s="28"/>
      <c r="J13" s="28"/>
      <c r="M13" s="745"/>
      <c r="N13" s="187" t="s">
        <v>186</v>
      </c>
      <c r="O13" s="251" t="s">
        <v>174</v>
      </c>
      <c r="P13" s="251" t="s">
        <v>175</v>
      </c>
      <c r="Q13" s="251">
        <v>27129360</v>
      </c>
      <c r="R13" s="251" t="s">
        <v>187</v>
      </c>
      <c r="S13" s="91">
        <v>4786</v>
      </c>
      <c r="T13" s="90">
        <v>44483</v>
      </c>
      <c r="U13" s="251">
        <v>20</v>
      </c>
      <c r="V13" s="91">
        <v>2.5999999999999999E-2</v>
      </c>
      <c r="W13" s="91">
        <v>1E-3</v>
      </c>
      <c r="X13" s="540">
        <f t="shared" si="0"/>
        <v>1.4433756729740644E-2</v>
      </c>
      <c r="Y13" s="91">
        <v>2.5000000000000001E-2</v>
      </c>
      <c r="Z13" s="100">
        <v>8000</v>
      </c>
      <c r="AA13" s="91">
        <v>30</v>
      </c>
      <c r="AB13" s="101">
        <f t="shared" si="7"/>
        <v>0.88409364639058408</v>
      </c>
      <c r="AC13" s="257" t="s">
        <v>177</v>
      </c>
    </row>
    <row r="14" spans="1:29" s="43" customFormat="1" ht="30" customHeight="1" x14ac:dyDescent="0.25">
      <c r="B14" s="118" t="s">
        <v>114</v>
      </c>
      <c r="C14" s="122">
        <f t="shared" si="1"/>
        <v>0</v>
      </c>
      <c r="D14" s="123">
        <f t="shared" si="2"/>
        <v>0</v>
      </c>
      <c r="E14" s="116">
        <f t="shared" si="3"/>
        <v>0</v>
      </c>
      <c r="F14" s="116">
        <f t="shared" si="4"/>
        <v>0</v>
      </c>
      <c r="G14" s="124">
        <f t="shared" si="5"/>
        <v>0</v>
      </c>
      <c r="H14" s="578">
        <f t="shared" si="6"/>
        <v>0</v>
      </c>
      <c r="I14" s="28"/>
      <c r="J14" s="28"/>
      <c r="M14" s="745"/>
      <c r="N14" s="187" t="s">
        <v>188</v>
      </c>
      <c r="O14" s="251" t="s">
        <v>174</v>
      </c>
      <c r="P14" s="251" t="s">
        <v>175</v>
      </c>
      <c r="Q14" s="251">
        <v>27129360</v>
      </c>
      <c r="R14" s="251" t="s">
        <v>189</v>
      </c>
      <c r="S14" s="91">
        <v>4786</v>
      </c>
      <c r="T14" s="90">
        <v>44483</v>
      </c>
      <c r="U14" s="251">
        <v>20</v>
      </c>
      <c r="V14" s="91">
        <v>7.0000000000000001E-3</v>
      </c>
      <c r="W14" s="91">
        <v>1.0999999999999999E-2</v>
      </c>
      <c r="X14" s="540">
        <f t="shared" si="0"/>
        <v>2.3094010767585028E-3</v>
      </c>
      <c r="Y14" s="91">
        <v>2.5000000000000001E-2</v>
      </c>
      <c r="Z14" s="100">
        <v>8000</v>
      </c>
      <c r="AA14" s="91">
        <v>30</v>
      </c>
      <c r="AB14" s="101">
        <f t="shared" si="7"/>
        <v>0.88409364639058408</v>
      </c>
      <c r="AC14" s="257" t="s">
        <v>177</v>
      </c>
    </row>
    <row r="15" spans="1:29" s="43" customFormat="1" ht="30" customHeight="1" x14ac:dyDescent="0.25">
      <c r="B15" s="118" t="s">
        <v>116</v>
      </c>
      <c r="C15" s="122">
        <f t="shared" si="1"/>
        <v>0</v>
      </c>
      <c r="D15" s="123">
        <f t="shared" si="2"/>
        <v>0</v>
      </c>
      <c r="E15" s="116">
        <f t="shared" si="3"/>
        <v>0</v>
      </c>
      <c r="F15" s="116">
        <f t="shared" si="4"/>
        <v>0</v>
      </c>
      <c r="G15" s="124">
        <f t="shared" si="5"/>
        <v>0</v>
      </c>
      <c r="H15" s="578">
        <f t="shared" si="6"/>
        <v>0</v>
      </c>
      <c r="I15" s="28"/>
      <c r="J15" s="28"/>
      <c r="M15" s="745"/>
      <c r="N15" s="187" t="s">
        <v>190</v>
      </c>
      <c r="O15" s="251" t="s">
        <v>174</v>
      </c>
      <c r="P15" s="251" t="s">
        <v>175</v>
      </c>
      <c r="Q15" s="251">
        <v>27129360</v>
      </c>
      <c r="R15" s="251" t="s">
        <v>191</v>
      </c>
      <c r="S15" s="91">
        <v>4786</v>
      </c>
      <c r="T15" s="90">
        <v>44483</v>
      </c>
      <c r="U15" s="251">
        <v>50</v>
      </c>
      <c r="V15" s="91">
        <v>0.03</v>
      </c>
      <c r="W15" s="91">
        <v>0.03</v>
      </c>
      <c r="X15" s="540">
        <f t="shared" si="0"/>
        <v>0</v>
      </c>
      <c r="Y15" s="91">
        <v>0.03</v>
      </c>
      <c r="Z15" s="100">
        <v>8000</v>
      </c>
      <c r="AA15" s="91">
        <v>30</v>
      </c>
      <c r="AB15" s="101">
        <f t="shared" si="7"/>
        <v>0.88409364639058408</v>
      </c>
      <c r="AC15" s="257" t="s">
        <v>177</v>
      </c>
    </row>
    <row r="16" spans="1:29" s="43" customFormat="1" ht="30" customHeight="1" x14ac:dyDescent="0.25">
      <c r="B16" s="118" t="s">
        <v>118</v>
      </c>
      <c r="C16" s="122">
        <f t="shared" si="1"/>
        <v>0</v>
      </c>
      <c r="D16" s="123">
        <f t="shared" si="2"/>
        <v>0</v>
      </c>
      <c r="E16" s="116">
        <f t="shared" si="3"/>
        <v>0</v>
      </c>
      <c r="F16" s="116">
        <f t="shared" si="4"/>
        <v>0</v>
      </c>
      <c r="G16" s="124">
        <f t="shared" si="5"/>
        <v>0</v>
      </c>
      <c r="H16" s="578">
        <f t="shared" si="6"/>
        <v>0</v>
      </c>
      <c r="I16" s="28"/>
      <c r="J16" s="28"/>
      <c r="M16" s="745"/>
      <c r="N16" s="187" t="s">
        <v>192</v>
      </c>
      <c r="O16" s="251" t="s">
        <v>174</v>
      </c>
      <c r="P16" s="251" t="s">
        <v>175</v>
      </c>
      <c r="Q16" s="251">
        <v>27129360</v>
      </c>
      <c r="R16" s="251" t="s">
        <v>193</v>
      </c>
      <c r="S16" s="91">
        <v>4786</v>
      </c>
      <c r="T16" s="90">
        <v>44483</v>
      </c>
      <c r="U16" s="251">
        <v>100</v>
      </c>
      <c r="V16" s="91">
        <v>0.06</v>
      </c>
      <c r="W16" s="91">
        <v>0.06</v>
      </c>
      <c r="X16" s="540">
        <f t="shared" si="0"/>
        <v>0</v>
      </c>
      <c r="Y16" s="91">
        <v>0.05</v>
      </c>
      <c r="Z16" s="100">
        <v>8000</v>
      </c>
      <c r="AA16" s="91">
        <v>30</v>
      </c>
      <c r="AB16" s="101">
        <f t="shared" si="7"/>
        <v>0.88409364639058408</v>
      </c>
      <c r="AC16" s="257" t="s">
        <v>177</v>
      </c>
    </row>
    <row r="17" spans="1:29" s="43" customFormat="1" ht="30" customHeight="1" x14ac:dyDescent="0.25">
      <c r="B17" s="118" t="s">
        <v>120</v>
      </c>
      <c r="C17" s="122">
        <f t="shared" si="1"/>
        <v>0</v>
      </c>
      <c r="D17" s="123">
        <f t="shared" si="2"/>
        <v>0</v>
      </c>
      <c r="E17" s="116">
        <f t="shared" si="3"/>
        <v>0</v>
      </c>
      <c r="F17" s="116">
        <f t="shared" si="4"/>
        <v>0</v>
      </c>
      <c r="G17" s="124">
        <f t="shared" si="5"/>
        <v>0</v>
      </c>
      <c r="H17" s="578">
        <f t="shared" si="6"/>
        <v>0</v>
      </c>
      <c r="I17" s="28"/>
      <c r="J17" s="28"/>
      <c r="M17" s="745"/>
      <c r="N17" s="187" t="s">
        <v>194</v>
      </c>
      <c r="O17" s="251" t="s">
        <v>174</v>
      </c>
      <c r="P17" s="251" t="s">
        <v>175</v>
      </c>
      <c r="Q17" s="251">
        <v>27129360</v>
      </c>
      <c r="R17" s="251" t="s">
        <v>195</v>
      </c>
      <c r="S17" s="91">
        <v>4786</v>
      </c>
      <c r="T17" s="90">
        <v>44483</v>
      </c>
      <c r="U17" s="251">
        <v>200</v>
      </c>
      <c r="V17" s="91">
        <v>-7.0000000000000007E-2</v>
      </c>
      <c r="W17" s="91">
        <v>-0.05</v>
      </c>
      <c r="X17" s="540">
        <f t="shared" si="0"/>
        <v>1.1547005383792518E-2</v>
      </c>
      <c r="Y17" s="102">
        <v>0.1</v>
      </c>
      <c r="Z17" s="100">
        <v>8000</v>
      </c>
      <c r="AA17" s="91">
        <v>30</v>
      </c>
      <c r="AB17" s="101">
        <f t="shared" si="7"/>
        <v>0.88409364639058408</v>
      </c>
      <c r="AC17" s="257" t="s">
        <v>177</v>
      </c>
    </row>
    <row r="18" spans="1:29" s="43" customFormat="1" ht="30" customHeight="1" x14ac:dyDescent="0.25">
      <c r="B18" s="118" t="s">
        <v>122</v>
      </c>
      <c r="C18" s="122">
        <f t="shared" si="1"/>
        <v>0</v>
      </c>
      <c r="D18" s="123">
        <f t="shared" si="2"/>
        <v>0</v>
      </c>
      <c r="E18" s="116">
        <f t="shared" si="3"/>
        <v>0</v>
      </c>
      <c r="F18" s="116">
        <f t="shared" si="4"/>
        <v>0</v>
      </c>
      <c r="G18" s="124">
        <f t="shared" si="5"/>
        <v>0</v>
      </c>
      <c r="H18" s="578">
        <f t="shared" si="6"/>
        <v>0</v>
      </c>
      <c r="I18" s="28"/>
      <c r="J18" s="28"/>
      <c r="M18" s="745"/>
      <c r="N18" s="187" t="s">
        <v>196</v>
      </c>
      <c r="O18" s="251" t="s">
        <v>174</v>
      </c>
      <c r="P18" s="251" t="s">
        <v>175</v>
      </c>
      <c r="Q18" s="251">
        <v>27129360</v>
      </c>
      <c r="R18" s="251" t="s">
        <v>197</v>
      </c>
      <c r="S18" s="91">
        <v>4786</v>
      </c>
      <c r="T18" s="90">
        <v>44483</v>
      </c>
      <c r="U18" s="251">
        <v>200</v>
      </c>
      <c r="V18" s="91">
        <v>0.15</v>
      </c>
      <c r="W18" s="91">
        <v>0.16</v>
      </c>
      <c r="X18" s="540">
        <f t="shared" si="0"/>
        <v>5.7735026918962632E-3</v>
      </c>
      <c r="Y18" s="102">
        <v>0.1</v>
      </c>
      <c r="Z18" s="100">
        <v>8000</v>
      </c>
      <c r="AA18" s="91">
        <v>30</v>
      </c>
      <c r="AB18" s="101">
        <f t="shared" si="7"/>
        <v>0.88409364639058408</v>
      </c>
      <c r="AC18" s="257" t="s">
        <v>177</v>
      </c>
    </row>
    <row r="19" spans="1:29" s="43" customFormat="1" ht="30" customHeight="1" x14ac:dyDescent="0.25">
      <c r="B19" s="118" t="s">
        <v>123</v>
      </c>
      <c r="C19" s="122">
        <f t="shared" si="1"/>
        <v>0</v>
      </c>
      <c r="D19" s="123">
        <f t="shared" si="2"/>
        <v>0</v>
      </c>
      <c r="E19" s="116">
        <f t="shared" si="3"/>
        <v>0</v>
      </c>
      <c r="F19" s="116">
        <f t="shared" si="4"/>
        <v>0</v>
      </c>
      <c r="G19" s="124">
        <f t="shared" si="5"/>
        <v>0</v>
      </c>
      <c r="H19" s="578">
        <f t="shared" si="6"/>
        <v>0</v>
      </c>
      <c r="I19" s="28"/>
      <c r="J19" s="28"/>
      <c r="M19" s="745"/>
      <c r="N19" s="187" t="s">
        <v>198</v>
      </c>
      <c r="O19" s="251" t="s">
        <v>174</v>
      </c>
      <c r="P19" s="251" t="s">
        <v>175</v>
      </c>
      <c r="Q19" s="251">
        <v>27129360</v>
      </c>
      <c r="R19" s="251" t="s">
        <v>199</v>
      </c>
      <c r="S19" s="91">
        <v>4786</v>
      </c>
      <c r="T19" s="90">
        <v>44483</v>
      </c>
      <c r="U19" s="251">
        <v>500</v>
      </c>
      <c r="V19" s="91">
        <v>0.33</v>
      </c>
      <c r="W19" s="91">
        <v>0.34</v>
      </c>
      <c r="X19" s="540">
        <f t="shared" si="0"/>
        <v>5.7735026918962632E-3</v>
      </c>
      <c r="Y19" s="91">
        <v>0.25</v>
      </c>
      <c r="Z19" s="100">
        <v>8000</v>
      </c>
      <c r="AA19" s="91">
        <v>30</v>
      </c>
      <c r="AB19" s="101">
        <f t="shared" si="7"/>
        <v>0.88409364639058408</v>
      </c>
      <c r="AC19" s="257" t="s">
        <v>177</v>
      </c>
    </row>
    <row r="20" spans="1:29" s="43" customFormat="1" ht="30" customHeight="1" x14ac:dyDescent="0.25">
      <c r="A20" s="208"/>
      <c r="B20" s="529" t="s">
        <v>127</v>
      </c>
      <c r="C20" s="122">
        <f>$C$8</f>
        <v>0</v>
      </c>
      <c r="D20" s="123">
        <f t="shared" si="2"/>
        <v>0</v>
      </c>
      <c r="E20" s="116">
        <f t="shared" si="3"/>
        <v>0</v>
      </c>
      <c r="F20" s="116">
        <f t="shared" si="4"/>
        <v>0</v>
      </c>
      <c r="G20" s="124">
        <f t="shared" si="5"/>
        <v>0</v>
      </c>
      <c r="H20" s="578">
        <f t="shared" si="6"/>
        <v>0</v>
      </c>
      <c r="I20" s="28"/>
      <c r="J20" s="28"/>
      <c r="M20" s="745"/>
      <c r="N20" s="187" t="s">
        <v>200</v>
      </c>
      <c r="O20" s="251" t="s">
        <v>174</v>
      </c>
      <c r="P20" s="251" t="s">
        <v>175</v>
      </c>
      <c r="Q20" s="251">
        <v>27129360</v>
      </c>
      <c r="R20" s="251" t="s">
        <v>201</v>
      </c>
      <c r="S20" s="91">
        <v>4786</v>
      </c>
      <c r="T20" s="90">
        <v>44483</v>
      </c>
      <c r="U20" s="251">
        <v>1000</v>
      </c>
      <c r="V20" s="91">
        <v>0.7</v>
      </c>
      <c r="W20" s="91">
        <v>0.7</v>
      </c>
      <c r="X20" s="540">
        <f t="shared" si="0"/>
        <v>0</v>
      </c>
      <c r="Y20" s="91">
        <v>0.5</v>
      </c>
      <c r="Z20" s="100">
        <v>8000</v>
      </c>
      <c r="AA20" s="91">
        <v>30</v>
      </c>
      <c r="AB20" s="101">
        <f t="shared" si="7"/>
        <v>0.88409364639058408</v>
      </c>
      <c r="AC20" s="257" t="s">
        <v>177</v>
      </c>
    </row>
    <row r="21" spans="1:29" s="43" customFormat="1" ht="30" customHeight="1" x14ac:dyDescent="0.25">
      <c r="B21" s="118" t="s">
        <v>130</v>
      </c>
      <c r="C21" s="122">
        <f t="shared" si="1"/>
        <v>0</v>
      </c>
      <c r="D21" s="123">
        <f t="shared" si="2"/>
        <v>0</v>
      </c>
      <c r="E21" s="116">
        <f t="shared" si="3"/>
        <v>0</v>
      </c>
      <c r="F21" s="116">
        <f t="shared" si="4"/>
        <v>0</v>
      </c>
      <c r="G21" s="124">
        <f t="shared" si="5"/>
        <v>0</v>
      </c>
      <c r="H21" s="578">
        <f t="shared" si="6"/>
        <v>0</v>
      </c>
      <c r="I21" s="28"/>
      <c r="J21" s="28"/>
      <c r="M21" s="745"/>
      <c r="N21" s="187" t="s">
        <v>202</v>
      </c>
      <c r="O21" s="251" t="s">
        <v>174</v>
      </c>
      <c r="P21" s="251" t="s">
        <v>175</v>
      </c>
      <c r="Q21" s="251">
        <v>27129360</v>
      </c>
      <c r="R21" s="251" t="s">
        <v>203</v>
      </c>
      <c r="S21" s="91">
        <v>4786</v>
      </c>
      <c r="T21" s="90">
        <v>44483</v>
      </c>
      <c r="U21" s="251">
        <v>2000</v>
      </c>
      <c r="V21" s="91">
        <v>1.1000000000000001</v>
      </c>
      <c r="W21" s="91">
        <v>1.1000000000000001</v>
      </c>
      <c r="X21" s="540">
        <f t="shared" si="0"/>
        <v>0</v>
      </c>
      <c r="Y21" s="103">
        <v>1</v>
      </c>
      <c r="Z21" s="100">
        <v>8000</v>
      </c>
      <c r="AA21" s="91">
        <v>30</v>
      </c>
      <c r="AB21" s="101">
        <f t="shared" si="7"/>
        <v>0.88409364639058408</v>
      </c>
      <c r="AC21" s="257" t="s">
        <v>177</v>
      </c>
    </row>
    <row r="22" spans="1:29" s="43" customFormat="1" ht="30" customHeight="1" x14ac:dyDescent="0.25">
      <c r="B22" s="118" t="s">
        <v>132</v>
      </c>
      <c r="C22" s="122">
        <f t="shared" si="1"/>
        <v>0</v>
      </c>
      <c r="D22" s="123">
        <f t="shared" si="2"/>
        <v>0</v>
      </c>
      <c r="E22" s="116">
        <f t="shared" si="3"/>
        <v>0</v>
      </c>
      <c r="F22" s="116">
        <f t="shared" si="4"/>
        <v>0</v>
      </c>
      <c r="G22" s="124">
        <f t="shared" si="5"/>
        <v>0</v>
      </c>
      <c r="H22" s="578">
        <f t="shared" si="6"/>
        <v>0</v>
      </c>
      <c r="I22" s="28"/>
      <c r="J22" s="28"/>
      <c r="M22" s="745"/>
      <c r="N22" s="187" t="s">
        <v>204</v>
      </c>
      <c r="O22" s="251" t="s">
        <v>174</v>
      </c>
      <c r="P22" s="251" t="s">
        <v>175</v>
      </c>
      <c r="Q22" s="251">
        <v>27129360</v>
      </c>
      <c r="R22" s="251" t="s">
        <v>205</v>
      </c>
      <c r="S22" s="91">
        <v>4786</v>
      </c>
      <c r="T22" s="90">
        <v>44483</v>
      </c>
      <c r="U22" s="251">
        <v>2000</v>
      </c>
      <c r="V22" s="103">
        <v>1</v>
      </c>
      <c r="W22" s="103">
        <v>1</v>
      </c>
      <c r="X22" s="540">
        <f t="shared" si="0"/>
        <v>0</v>
      </c>
      <c r="Y22" s="103">
        <v>1</v>
      </c>
      <c r="Z22" s="100">
        <v>8000</v>
      </c>
      <c r="AA22" s="91">
        <v>30</v>
      </c>
      <c r="AB22" s="101">
        <f t="shared" si="7"/>
        <v>0.88409364639058408</v>
      </c>
      <c r="AC22" s="257" t="s">
        <v>177</v>
      </c>
    </row>
    <row r="23" spans="1:29" s="43" customFormat="1" ht="30" customHeight="1" x14ac:dyDescent="0.25">
      <c r="B23" s="118" t="s">
        <v>134</v>
      </c>
      <c r="C23" s="122">
        <f t="shared" si="1"/>
        <v>0</v>
      </c>
      <c r="D23" s="123">
        <f t="shared" si="2"/>
        <v>0</v>
      </c>
      <c r="E23" s="116">
        <f t="shared" si="3"/>
        <v>0</v>
      </c>
      <c r="F23" s="116">
        <f t="shared" si="4"/>
        <v>0</v>
      </c>
      <c r="G23" s="124">
        <f t="shared" si="5"/>
        <v>0</v>
      </c>
      <c r="H23" s="578">
        <f t="shared" si="6"/>
        <v>0</v>
      </c>
      <c r="I23" s="28"/>
      <c r="J23" s="28"/>
      <c r="M23" s="745"/>
      <c r="N23" s="187" t="s">
        <v>206</v>
      </c>
      <c r="O23" s="251" t="s">
        <v>174</v>
      </c>
      <c r="P23" s="251" t="s">
        <v>175</v>
      </c>
      <c r="Q23" s="251">
        <v>27129360</v>
      </c>
      <c r="R23" s="251" t="s">
        <v>207</v>
      </c>
      <c r="S23" s="91">
        <v>4786</v>
      </c>
      <c r="T23" s="90">
        <v>44483</v>
      </c>
      <c r="U23" s="251">
        <v>5000</v>
      </c>
      <c r="V23" s="91">
        <v>3.5</v>
      </c>
      <c r="W23" s="91">
        <v>3.5</v>
      </c>
      <c r="X23" s="540">
        <f t="shared" si="0"/>
        <v>0</v>
      </c>
      <c r="Y23" s="91">
        <v>2.5</v>
      </c>
      <c r="Z23" s="100">
        <v>8000</v>
      </c>
      <c r="AA23" s="91">
        <v>30</v>
      </c>
      <c r="AB23" s="101">
        <f t="shared" si="7"/>
        <v>0.88409364639058408</v>
      </c>
      <c r="AC23" s="257" t="s">
        <v>177</v>
      </c>
    </row>
    <row r="24" spans="1:29" s="43" customFormat="1" ht="30" customHeight="1" thickBot="1" x14ac:dyDescent="0.3">
      <c r="B24" s="118" t="s">
        <v>136</v>
      </c>
      <c r="C24" s="122">
        <f t="shared" si="1"/>
        <v>0</v>
      </c>
      <c r="D24" s="123">
        <f t="shared" si="2"/>
        <v>0</v>
      </c>
      <c r="E24" s="116">
        <f t="shared" si="3"/>
        <v>0</v>
      </c>
      <c r="F24" s="116">
        <f t="shared" si="4"/>
        <v>0</v>
      </c>
      <c r="G24" s="124">
        <f t="shared" si="5"/>
        <v>0</v>
      </c>
      <c r="H24" s="578">
        <f t="shared" si="6"/>
        <v>0</v>
      </c>
      <c r="I24" s="28"/>
      <c r="J24" s="28"/>
      <c r="M24" s="746"/>
      <c r="N24" s="191" t="s">
        <v>208</v>
      </c>
      <c r="O24" s="519" t="s">
        <v>174</v>
      </c>
      <c r="P24" s="519" t="s">
        <v>175</v>
      </c>
      <c r="Q24" s="519">
        <v>27129360</v>
      </c>
      <c r="R24" s="519" t="s">
        <v>209</v>
      </c>
      <c r="S24" s="272">
        <v>4786</v>
      </c>
      <c r="T24" s="293">
        <v>44483</v>
      </c>
      <c r="U24" s="519">
        <v>10000</v>
      </c>
      <c r="V24" s="272">
        <v>8.1999999999999993</v>
      </c>
      <c r="W24" s="272">
        <v>8.4</v>
      </c>
      <c r="X24" s="542">
        <f t="shared" si="0"/>
        <v>0.11547005383792577</v>
      </c>
      <c r="Y24" s="520">
        <v>5</v>
      </c>
      <c r="Z24" s="521">
        <v>8000</v>
      </c>
      <c r="AA24" s="272">
        <v>30</v>
      </c>
      <c r="AB24" s="543">
        <f t="shared" si="7"/>
        <v>0.88409364639058408</v>
      </c>
      <c r="AC24" s="522" t="s">
        <v>177</v>
      </c>
    </row>
    <row r="25" spans="1:29" s="43" customFormat="1" ht="30" customHeight="1" thickBot="1" x14ac:dyDescent="0.3">
      <c r="B25" s="125" t="s">
        <v>138</v>
      </c>
      <c r="C25" s="530">
        <f t="shared" si="1"/>
        <v>0</v>
      </c>
      <c r="D25" s="531">
        <f t="shared" si="2"/>
        <v>0</v>
      </c>
      <c r="E25" s="532">
        <f t="shared" si="3"/>
        <v>0</v>
      </c>
      <c r="F25" s="532">
        <f t="shared" si="4"/>
        <v>0</v>
      </c>
      <c r="G25" s="533">
        <f t="shared" si="5"/>
        <v>0</v>
      </c>
      <c r="H25" s="578">
        <f t="shared" si="6"/>
        <v>0</v>
      </c>
      <c r="I25" s="28"/>
      <c r="J25" s="28"/>
      <c r="M25" s="524"/>
      <c r="N25" s="186" t="s">
        <v>158</v>
      </c>
      <c r="O25" s="189" t="s">
        <v>210</v>
      </c>
      <c r="P25" s="189" t="s">
        <v>211</v>
      </c>
      <c r="Q25" s="189">
        <v>11119467</v>
      </c>
      <c r="R25" s="189">
        <v>10</v>
      </c>
      <c r="S25" s="84">
        <v>5259</v>
      </c>
      <c r="T25" s="83">
        <v>44347</v>
      </c>
      <c r="U25" s="188">
        <v>10000</v>
      </c>
      <c r="V25" s="84">
        <v>7</v>
      </c>
      <c r="W25" s="84">
        <v>7</v>
      </c>
      <c r="X25" s="544">
        <f t="shared" si="0"/>
        <v>0</v>
      </c>
      <c r="Y25" s="84">
        <v>16</v>
      </c>
      <c r="Z25" s="98">
        <v>7950</v>
      </c>
      <c r="AA25" s="84">
        <v>140</v>
      </c>
      <c r="AB25" s="99">
        <f>(0.34848*((753.6+754.6)/2)-0.009*((54.8+55)/2)*EXP(0.0612*((21.6+21.7)/2)))/(273.15+((21.6+21.7)/2))</f>
        <v>0.88510824081966932</v>
      </c>
      <c r="AC25" s="190" t="s">
        <v>212</v>
      </c>
    </row>
    <row r="26" spans="1:29" s="43" customFormat="1" ht="30" customHeight="1" thickBot="1" x14ac:dyDescent="0.3">
      <c r="B26" s="126" t="s">
        <v>140</v>
      </c>
      <c r="C26" s="530">
        <f t="shared" si="1"/>
        <v>0</v>
      </c>
      <c r="D26" s="531">
        <f t="shared" si="2"/>
        <v>0</v>
      </c>
      <c r="E26" s="532">
        <f t="shared" si="3"/>
        <v>0</v>
      </c>
      <c r="F26" s="532">
        <f t="shared" si="4"/>
        <v>0</v>
      </c>
      <c r="G26" s="533">
        <f t="shared" si="5"/>
        <v>0</v>
      </c>
      <c r="H26" s="578">
        <f t="shared" si="6"/>
        <v>0</v>
      </c>
      <c r="I26" s="28"/>
      <c r="J26" s="28"/>
      <c r="M26" s="518"/>
      <c r="N26" s="553" t="s">
        <v>213</v>
      </c>
      <c r="O26" s="554" t="s">
        <v>210</v>
      </c>
      <c r="P26" s="554" t="s">
        <v>211</v>
      </c>
      <c r="Q26" s="554">
        <v>11119468</v>
      </c>
      <c r="R26" s="554">
        <v>20</v>
      </c>
      <c r="S26" s="555">
        <v>5488</v>
      </c>
      <c r="T26" s="556">
        <v>44476</v>
      </c>
      <c r="U26" s="554">
        <v>20000</v>
      </c>
      <c r="V26" s="555">
        <v>-4</v>
      </c>
      <c r="W26" s="557">
        <v>-6</v>
      </c>
      <c r="X26" s="558">
        <f t="shared" si="0"/>
        <v>1.1547005383792517</v>
      </c>
      <c r="Y26" s="555">
        <v>30</v>
      </c>
      <c r="Z26" s="559">
        <v>7950</v>
      </c>
      <c r="AA26" s="555">
        <v>140</v>
      </c>
      <c r="AB26" s="560">
        <f>(0.34848*((749.2+749.3)/2)-0.009*((48.9+49.3)/2)*EXP(0.0612*((21.1+21.2)/2)))/(273.15+((21.1+21.2)/2))</f>
        <v>0.88170664241106156</v>
      </c>
      <c r="AC26" s="561" t="s">
        <v>214</v>
      </c>
    </row>
    <row r="27" spans="1:29" s="43" customFormat="1" ht="30" customHeight="1" x14ac:dyDescent="0.25">
      <c r="B27" s="125" t="s">
        <v>141</v>
      </c>
      <c r="C27" s="530">
        <f t="shared" si="1"/>
        <v>0</v>
      </c>
      <c r="D27" s="531">
        <f t="shared" si="2"/>
        <v>0</v>
      </c>
      <c r="E27" s="532">
        <f t="shared" si="3"/>
        <v>0</v>
      </c>
      <c r="F27" s="532">
        <f t="shared" si="4"/>
        <v>0</v>
      </c>
      <c r="G27" s="533">
        <f t="shared" si="5"/>
        <v>0</v>
      </c>
      <c r="H27" s="578">
        <f t="shared" si="6"/>
        <v>0</v>
      </c>
      <c r="I27" s="28"/>
      <c r="J27" s="28"/>
      <c r="M27" s="752"/>
      <c r="N27" s="186" t="s">
        <v>128</v>
      </c>
      <c r="O27" s="188" t="s">
        <v>210</v>
      </c>
      <c r="P27" s="188" t="s">
        <v>211</v>
      </c>
      <c r="Q27" s="188">
        <v>11119515</v>
      </c>
      <c r="R27" s="188">
        <v>1</v>
      </c>
      <c r="S27" s="82">
        <v>5701</v>
      </c>
      <c r="T27" s="104">
        <v>44559</v>
      </c>
      <c r="U27" s="188">
        <v>1</v>
      </c>
      <c r="V27" s="82">
        <v>0.04</v>
      </c>
      <c r="W27" s="552">
        <v>0.04</v>
      </c>
      <c r="X27" s="544">
        <f t="shared" si="0"/>
        <v>0</v>
      </c>
      <c r="Y27" s="82">
        <v>0.03</v>
      </c>
      <c r="Z27" s="105">
        <v>7950</v>
      </c>
      <c r="AA27" s="82">
        <v>140</v>
      </c>
      <c r="AB27" s="106">
        <f>(0.34848*((750.7+753.7)/2)-0.009*((50.2+54.2)/2)*EXP(0.0612*((21.9+23.1)/2)))/(273.15+((21.9+23.1)/2))</f>
        <v>0.88031402349675059</v>
      </c>
      <c r="AC27" s="194" t="s">
        <v>215</v>
      </c>
    </row>
    <row r="28" spans="1:29" s="43" customFormat="1" ht="30" customHeight="1" x14ac:dyDescent="0.25">
      <c r="B28" s="125" t="s">
        <v>143</v>
      </c>
      <c r="C28" s="530">
        <f t="shared" si="1"/>
        <v>0</v>
      </c>
      <c r="D28" s="531">
        <f t="shared" si="2"/>
        <v>0</v>
      </c>
      <c r="E28" s="532">
        <f t="shared" si="3"/>
        <v>0</v>
      </c>
      <c r="F28" s="532">
        <f t="shared" si="4"/>
        <v>0</v>
      </c>
      <c r="G28" s="533">
        <f t="shared" si="5"/>
        <v>0</v>
      </c>
      <c r="H28" s="578">
        <f t="shared" si="6"/>
        <v>0</v>
      </c>
      <c r="I28" s="28"/>
      <c r="J28" s="28"/>
      <c r="M28" s="753"/>
      <c r="N28" s="187" t="s">
        <v>131</v>
      </c>
      <c r="O28" s="185" t="s">
        <v>210</v>
      </c>
      <c r="P28" s="185" t="s">
        <v>211</v>
      </c>
      <c r="Q28" s="185">
        <v>11119515</v>
      </c>
      <c r="R28" s="185">
        <v>2</v>
      </c>
      <c r="S28" s="89">
        <v>5701</v>
      </c>
      <c r="T28" s="107">
        <v>44559</v>
      </c>
      <c r="U28" s="185">
        <v>2</v>
      </c>
      <c r="V28" s="89">
        <v>0.04</v>
      </c>
      <c r="W28" s="102">
        <v>0.05</v>
      </c>
      <c r="X28" s="545">
        <f t="shared" si="0"/>
        <v>5.7735026918962588E-3</v>
      </c>
      <c r="Y28" s="89">
        <v>0.04</v>
      </c>
      <c r="Z28" s="108">
        <v>7950</v>
      </c>
      <c r="AA28" s="89">
        <v>140</v>
      </c>
      <c r="AB28" s="109">
        <f t="shared" ref="AB28:AB42" si="8">(0.34848*((750.7+753.7)/2)-0.009*((50.2+54.2)/2)*EXP(0.0612*((21.9+23.1)/2)))/(273.15+((21.9+23.1)/2))</f>
        <v>0.88031402349675059</v>
      </c>
      <c r="AC28" s="198" t="s">
        <v>215</v>
      </c>
    </row>
    <row r="29" spans="1:29" s="43" customFormat="1" ht="30" customHeight="1" x14ac:dyDescent="0.25">
      <c r="B29" s="125" t="s">
        <v>145</v>
      </c>
      <c r="C29" s="530">
        <f t="shared" si="1"/>
        <v>0</v>
      </c>
      <c r="D29" s="531">
        <f t="shared" si="2"/>
        <v>0</v>
      </c>
      <c r="E29" s="532">
        <f t="shared" si="3"/>
        <v>0</v>
      </c>
      <c r="F29" s="532">
        <f t="shared" si="4"/>
        <v>0</v>
      </c>
      <c r="G29" s="533">
        <f t="shared" si="5"/>
        <v>0</v>
      </c>
      <c r="H29" s="578">
        <f t="shared" si="6"/>
        <v>0</v>
      </c>
      <c r="I29" s="28"/>
      <c r="J29" s="28"/>
      <c r="M29" s="753"/>
      <c r="N29" s="187" t="s">
        <v>216</v>
      </c>
      <c r="O29" s="185" t="s">
        <v>210</v>
      </c>
      <c r="P29" s="185" t="s">
        <v>211</v>
      </c>
      <c r="Q29" s="185">
        <v>11119515</v>
      </c>
      <c r="R29" s="185" t="s">
        <v>217</v>
      </c>
      <c r="S29" s="89">
        <v>5701</v>
      </c>
      <c r="T29" s="107">
        <v>44559</v>
      </c>
      <c r="U29" s="185">
        <v>2</v>
      </c>
      <c r="V29" s="89">
        <v>0.06</v>
      </c>
      <c r="W29" s="102">
        <v>0.06</v>
      </c>
      <c r="X29" s="545">
        <f t="shared" si="0"/>
        <v>0</v>
      </c>
      <c r="Y29" s="89">
        <v>0.04</v>
      </c>
      <c r="Z29" s="108">
        <v>7950</v>
      </c>
      <c r="AA29" s="89">
        <v>140</v>
      </c>
      <c r="AB29" s="109">
        <f t="shared" si="8"/>
        <v>0.88031402349675059</v>
      </c>
      <c r="AC29" s="198" t="str">
        <f>AC28</f>
        <v>M-002</v>
      </c>
    </row>
    <row r="30" spans="1:29" ht="30" customHeight="1" x14ac:dyDescent="0.25">
      <c r="A30" s="29"/>
      <c r="B30" s="126" t="s">
        <v>147</v>
      </c>
      <c r="C30" s="530">
        <f t="shared" si="1"/>
        <v>0</v>
      </c>
      <c r="D30" s="531">
        <f t="shared" si="2"/>
        <v>0</v>
      </c>
      <c r="E30" s="532">
        <f t="shared" si="3"/>
        <v>0</v>
      </c>
      <c r="F30" s="532">
        <f t="shared" si="4"/>
        <v>0</v>
      </c>
      <c r="G30" s="533">
        <f t="shared" si="5"/>
        <v>0</v>
      </c>
      <c r="H30" s="578">
        <f t="shared" si="6"/>
        <v>0</v>
      </c>
      <c r="K30" s="127"/>
      <c r="L30" s="127"/>
      <c r="M30" s="753"/>
      <c r="N30" s="187" t="s">
        <v>135</v>
      </c>
      <c r="O30" s="185" t="s">
        <v>210</v>
      </c>
      <c r="P30" s="185" t="s">
        <v>211</v>
      </c>
      <c r="Q30" s="185">
        <v>11119515</v>
      </c>
      <c r="R30" s="185">
        <v>5</v>
      </c>
      <c r="S30" s="89">
        <v>5701</v>
      </c>
      <c r="T30" s="107">
        <v>44559</v>
      </c>
      <c r="U30" s="185">
        <v>5</v>
      </c>
      <c r="V30" s="110">
        <v>0.01</v>
      </c>
      <c r="W30" s="110">
        <v>0</v>
      </c>
      <c r="X30" s="545">
        <f t="shared" si="0"/>
        <v>5.773502691896258E-3</v>
      </c>
      <c r="Y30" s="89">
        <v>0.05</v>
      </c>
      <c r="Z30" s="108">
        <v>7950</v>
      </c>
      <c r="AA30" s="89">
        <v>140</v>
      </c>
      <c r="AB30" s="109">
        <f t="shared" si="8"/>
        <v>0.88031402349675059</v>
      </c>
      <c r="AC30" s="198" t="s">
        <v>215</v>
      </c>
    </row>
    <row r="31" spans="1:29" ht="30" customHeight="1" x14ac:dyDescent="0.25">
      <c r="B31" s="125" t="s">
        <v>148</v>
      </c>
      <c r="C31" s="530">
        <f t="shared" si="1"/>
        <v>0</v>
      </c>
      <c r="D31" s="531">
        <f t="shared" si="2"/>
        <v>0</v>
      </c>
      <c r="E31" s="532">
        <f t="shared" si="3"/>
        <v>0</v>
      </c>
      <c r="F31" s="532">
        <f t="shared" si="4"/>
        <v>0</v>
      </c>
      <c r="G31" s="533">
        <f t="shared" si="5"/>
        <v>0</v>
      </c>
      <c r="H31" s="578">
        <f t="shared" si="6"/>
        <v>0</v>
      </c>
      <c r="K31" s="127"/>
      <c r="M31" s="753"/>
      <c r="N31" s="187" t="s">
        <v>137</v>
      </c>
      <c r="O31" s="185" t="s">
        <v>210</v>
      </c>
      <c r="P31" s="185" t="s">
        <v>211</v>
      </c>
      <c r="Q31" s="185">
        <v>11119515</v>
      </c>
      <c r="R31" s="185">
        <v>10</v>
      </c>
      <c r="S31" s="89">
        <v>5701</v>
      </c>
      <c r="T31" s="107">
        <v>44559</v>
      </c>
      <c r="U31" s="185">
        <v>10</v>
      </c>
      <c r="V31" s="89">
        <v>7.0000000000000007E-2</v>
      </c>
      <c r="W31" s="110">
        <v>7.0000000000000007E-2</v>
      </c>
      <c r="X31" s="545">
        <f t="shared" si="0"/>
        <v>0</v>
      </c>
      <c r="Y31" s="89">
        <v>0.06</v>
      </c>
      <c r="Z31" s="108">
        <v>7950</v>
      </c>
      <c r="AA31" s="89">
        <v>140</v>
      </c>
      <c r="AB31" s="109">
        <f t="shared" si="8"/>
        <v>0.88031402349675059</v>
      </c>
      <c r="AC31" s="198" t="s">
        <v>215</v>
      </c>
    </row>
    <row r="32" spans="1:29" ht="30" customHeight="1" x14ac:dyDescent="0.25">
      <c r="B32" s="128" t="s">
        <v>150</v>
      </c>
      <c r="C32" s="530">
        <f t="shared" si="1"/>
        <v>0</v>
      </c>
      <c r="D32" s="531">
        <f t="shared" si="2"/>
        <v>0</v>
      </c>
      <c r="E32" s="532">
        <f t="shared" si="3"/>
        <v>0</v>
      </c>
      <c r="F32" s="532">
        <f t="shared" si="4"/>
        <v>0</v>
      </c>
      <c r="G32" s="533">
        <f t="shared" si="5"/>
        <v>0</v>
      </c>
      <c r="H32" s="578">
        <f t="shared" si="6"/>
        <v>0</v>
      </c>
      <c r="M32" s="753"/>
      <c r="N32" s="187" t="s">
        <v>139</v>
      </c>
      <c r="O32" s="185" t="s">
        <v>210</v>
      </c>
      <c r="P32" s="185" t="s">
        <v>211</v>
      </c>
      <c r="Q32" s="185">
        <v>11119515</v>
      </c>
      <c r="R32" s="185">
        <v>20</v>
      </c>
      <c r="S32" s="89">
        <v>5701</v>
      </c>
      <c r="T32" s="107">
        <v>44559</v>
      </c>
      <c r="U32" s="185">
        <v>20</v>
      </c>
      <c r="V32" s="89">
        <v>0.08</v>
      </c>
      <c r="W32" s="110">
        <v>0.09</v>
      </c>
      <c r="X32" s="545">
        <f t="shared" si="0"/>
        <v>5.7735026918962554E-3</v>
      </c>
      <c r="Y32" s="89">
        <v>0.08</v>
      </c>
      <c r="Z32" s="108">
        <v>7950</v>
      </c>
      <c r="AA32" s="89">
        <v>140</v>
      </c>
      <c r="AB32" s="109">
        <f t="shared" si="8"/>
        <v>0.88031402349675059</v>
      </c>
      <c r="AC32" s="198" t="str">
        <f>AC31</f>
        <v>M-002</v>
      </c>
    </row>
    <row r="33" spans="1:29" ht="30" customHeight="1" x14ac:dyDescent="0.25">
      <c r="B33" s="129" t="s">
        <v>152</v>
      </c>
      <c r="C33" s="530">
        <f t="shared" si="1"/>
        <v>0</v>
      </c>
      <c r="D33" s="531">
        <f t="shared" si="2"/>
        <v>0</v>
      </c>
      <c r="E33" s="532">
        <f t="shared" si="3"/>
        <v>0</v>
      </c>
      <c r="F33" s="532">
        <f t="shared" si="4"/>
        <v>0</v>
      </c>
      <c r="G33" s="533">
        <f t="shared" si="5"/>
        <v>0</v>
      </c>
      <c r="H33" s="578">
        <f t="shared" si="6"/>
        <v>0</v>
      </c>
      <c r="M33" s="753"/>
      <c r="N33" s="187" t="s">
        <v>218</v>
      </c>
      <c r="O33" s="185" t="s">
        <v>210</v>
      </c>
      <c r="P33" s="185" t="s">
        <v>211</v>
      </c>
      <c r="Q33" s="185">
        <v>11119515</v>
      </c>
      <c r="R33" s="185" t="s">
        <v>219</v>
      </c>
      <c r="S33" s="89">
        <v>5701</v>
      </c>
      <c r="T33" s="107">
        <v>44559</v>
      </c>
      <c r="U33" s="185">
        <v>20</v>
      </c>
      <c r="V33" s="89">
        <v>7.0000000000000007E-2</v>
      </c>
      <c r="W33" s="110">
        <v>7.0000000000000007E-2</v>
      </c>
      <c r="X33" s="545">
        <f t="shared" si="0"/>
        <v>0</v>
      </c>
      <c r="Y33" s="89">
        <v>0.08</v>
      </c>
      <c r="Z33" s="108">
        <v>7950</v>
      </c>
      <c r="AA33" s="89">
        <v>140</v>
      </c>
      <c r="AB33" s="109">
        <f t="shared" si="8"/>
        <v>0.88031402349675059</v>
      </c>
      <c r="AC33" s="198" t="s">
        <v>215</v>
      </c>
    </row>
    <row r="34" spans="1:29" ht="30" customHeight="1" x14ac:dyDescent="0.25">
      <c r="B34" s="130" t="s">
        <v>154</v>
      </c>
      <c r="C34" s="530">
        <f t="shared" si="1"/>
        <v>0</v>
      </c>
      <c r="D34" s="531">
        <f t="shared" si="2"/>
        <v>0</v>
      </c>
      <c r="E34" s="532">
        <f t="shared" si="3"/>
        <v>0</v>
      </c>
      <c r="F34" s="532">
        <f t="shared" si="4"/>
        <v>0</v>
      </c>
      <c r="G34" s="533">
        <f t="shared" si="5"/>
        <v>0</v>
      </c>
      <c r="H34" s="578">
        <f t="shared" si="6"/>
        <v>0</v>
      </c>
      <c r="M34" s="753"/>
      <c r="N34" s="187" t="s">
        <v>142</v>
      </c>
      <c r="O34" s="185" t="s">
        <v>210</v>
      </c>
      <c r="P34" s="185" t="s">
        <v>211</v>
      </c>
      <c r="Q34" s="185">
        <v>11119515</v>
      </c>
      <c r="R34" s="185">
        <v>50</v>
      </c>
      <c r="S34" s="89">
        <v>5701</v>
      </c>
      <c r="T34" s="107">
        <v>44559</v>
      </c>
      <c r="U34" s="185">
        <v>50</v>
      </c>
      <c r="V34" s="89">
        <v>0.13</v>
      </c>
      <c r="W34" s="89">
        <v>0.13</v>
      </c>
      <c r="X34" s="545">
        <f t="shared" si="0"/>
        <v>0</v>
      </c>
      <c r="Y34" s="110">
        <v>0.1</v>
      </c>
      <c r="Z34" s="108">
        <v>7950</v>
      </c>
      <c r="AA34" s="89">
        <v>140</v>
      </c>
      <c r="AB34" s="109">
        <f t="shared" si="8"/>
        <v>0.88031402349675059</v>
      </c>
      <c r="AC34" s="198" t="s">
        <v>215</v>
      </c>
    </row>
    <row r="35" spans="1:29" ht="30" customHeight="1" x14ac:dyDescent="0.25">
      <c r="B35" s="131" t="s">
        <v>155</v>
      </c>
      <c r="C35" s="530">
        <f t="shared" si="1"/>
        <v>0</v>
      </c>
      <c r="D35" s="531">
        <f t="shared" si="2"/>
        <v>0</v>
      </c>
      <c r="E35" s="532">
        <f t="shared" si="3"/>
        <v>0</v>
      </c>
      <c r="F35" s="532">
        <f t="shared" si="4"/>
        <v>0</v>
      </c>
      <c r="G35" s="533">
        <f t="shared" si="5"/>
        <v>0</v>
      </c>
      <c r="H35" s="578">
        <f t="shared" si="6"/>
        <v>0</v>
      </c>
      <c r="K35" s="776"/>
      <c r="M35" s="753"/>
      <c r="N35" s="187" t="s">
        <v>144</v>
      </c>
      <c r="O35" s="185" t="s">
        <v>210</v>
      </c>
      <c r="P35" s="185" t="s">
        <v>211</v>
      </c>
      <c r="Q35" s="185">
        <v>11119515</v>
      </c>
      <c r="R35" s="185">
        <v>100</v>
      </c>
      <c r="S35" s="89">
        <v>5701</v>
      </c>
      <c r="T35" s="107">
        <v>44559</v>
      </c>
      <c r="U35" s="185">
        <v>100</v>
      </c>
      <c r="V35" s="89">
        <v>0.14000000000000001</v>
      </c>
      <c r="W35" s="89">
        <v>0.14000000000000001</v>
      </c>
      <c r="X35" s="545">
        <f t="shared" si="0"/>
        <v>0</v>
      </c>
      <c r="Y35" s="89">
        <v>0.16</v>
      </c>
      <c r="Z35" s="108">
        <v>7950</v>
      </c>
      <c r="AA35" s="89">
        <v>140</v>
      </c>
      <c r="AB35" s="109">
        <f t="shared" si="8"/>
        <v>0.88031402349675059</v>
      </c>
      <c r="AC35" s="198" t="str">
        <f>AC34</f>
        <v>M-002</v>
      </c>
    </row>
    <row r="36" spans="1:29" ht="30" customHeight="1" x14ac:dyDescent="0.25">
      <c r="B36" s="132" t="s">
        <v>157</v>
      </c>
      <c r="C36" s="530">
        <f t="shared" si="1"/>
        <v>0</v>
      </c>
      <c r="D36" s="531">
        <f t="shared" si="2"/>
        <v>0</v>
      </c>
      <c r="E36" s="532">
        <f t="shared" si="3"/>
        <v>0</v>
      </c>
      <c r="F36" s="532">
        <f t="shared" si="4"/>
        <v>0</v>
      </c>
      <c r="G36" s="533">
        <f t="shared" si="5"/>
        <v>0</v>
      </c>
      <c r="H36" s="578">
        <f t="shared" si="6"/>
        <v>0</v>
      </c>
      <c r="K36" s="776"/>
      <c r="M36" s="753"/>
      <c r="N36" s="187" t="s">
        <v>146</v>
      </c>
      <c r="O36" s="185" t="s">
        <v>210</v>
      </c>
      <c r="P36" s="185" t="s">
        <v>211</v>
      </c>
      <c r="Q36" s="185">
        <v>11119515</v>
      </c>
      <c r="R36" s="185">
        <v>200</v>
      </c>
      <c r="S36" s="89">
        <v>5701</v>
      </c>
      <c r="T36" s="107">
        <v>44559</v>
      </c>
      <c r="U36" s="185">
        <v>200</v>
      </c>
      <c r="V36" s="89">
        <v>0.3</v>
      </c>
      <c r="W36" s="89">
        <v>0.3</v>
      </c>
      <c r="X36" s="545">
        <f t="shared" si="0"/>
        <v>0</v>
      </c>
      <c r="Y36" s="89">
        <v>0.3</v>
      </c>
      <c r="Z36" s="108">
        <v>7950</v>
      </c>
      <c r="AA36" s="89">
        <v>140</v>
      </c>
      <c r="AB36" s="109">
        <f t="shared" si="8"/>
        <v>0.88031402349675059</v>
      </c>
      <c r="AC36" s="198" t="s">
        <v>215</v>
      </c>
    </row>
    <row r="37" spans="1:29" ht="30" customHeight="1" x14ac:dyDescent="0.25">
      <c r="B37" s="534" t="s">
        <v>220</v>
      </c>
      <c r="C37" s="530">
        <f t="shared" si="1"/>
        <v>0</v>
      </c>
      <c r="D37" s="531">
        <f t="shared" si="2"/>
        <v>0</v>
      </c>
      <c r="E37" s="532">
        <f t="shared" si="3"/>
        <v>0</v>
      </c>
      <c r="F37" s="532">
        <f t="shared" si="4"/>
        <v>0</v>
      </c>
      <c r="G37" s="533">
        <f t="shared" si="5"/>
        <v>0</v>
      </c>
      <c r="H37" s="578">
        <f t="shared" si="6"/>
        <v>0</v>
      </c>
      <c r="K37" s="31"/>
      <c r="M37" s="753"/>
      <c r="N37" s="187" t="s">
        <v>221</v>
      </c>
      <c r="O37" s="185" t="s">
        <v>210</v>
      </c>
      <c r="P37" s="185" t="s">
        <v>211</v>
      </c>
      <c r="Q37" s="185">
        <v>11119515</v>
      </c>
      <c r="R37" s="185" t="s">
        <v>222</v>
      </c>
      <c r="S37" s="89">
        <v>5701</v>
      </c>
      <c r="T37" s="107">
        <v>44559</v>
      </c>
      <c r="U37" s="185">
        <v>200</v>
      </c>
      <c r="V37" s="89">
        <v>0.2</v>
      </c>
      <c r="W37" s="89">
        <v>0.2</v>
      </c>
      <c r="X37" s="545">
        <f t="shared" si="0"/>
        <v>0</v>
      </c>
      <c r="Y37" s="89">
        <v>0.3</v>
      </c>
      <c r="Z37" s="108">
        <v>7950</v>
      </c>
      <c r="AA37" s="89">
        <v>140</v>
      </c>
      <c r="AB37" s="109">
        <f t="shared" si="8"/>
        <v>0.88031402349675059</v>
      </c>
      <c r="AC37" s="198" t="s">
        <v>215</v>
      </c>
    </row>
    <row r="38" spans="1:29" ht="30" customHeight="1" x14ac:dyDescent="0.25">
      <c r="B38" s="535" t="s">
        <v>223</v>
      </c>
      <c r="C38" s="530">
        <f t="shared" si="1"/>
        <v>0</v>
      </c>
      <c r="D38" s="531">
        <f t="shared" si="2"/>
        <v>0</v>
      </c>
      <c r="E38" s="532">
        <f t="shared" si="3"/>
        <v>0</v>
      </c>
      <c r="F38" s="532">
        <f t="shared" si="4"/>
        <v>0</v>
      </c>
      <c r="G38" s="533">
        <f t="shared" si="5"/>
        <v>0</v>
      </c>
      <c r="H38" s="578">
        <f t="shared" si="6"/>
        <v>0</v>
      </c>
      <c r="K38" s="133"/>
      <c r="M38" s="753"/>
      <c r="N38" s="187" t="s">
        <v>149</v>
      </c>
      <c r="O38" s="185" t="s">
        <v>210</v>
      </c>
      <c r="P38" s="185" t="s">
        <v>211</v>
      </c>
      <c r="Q38" s="185">
        <v>11119515</v>
      </c>
      <c r="R38" s="185">
        <v>500</v>
      </c>
      <c r="S38" s="89">
        <v>5701</v>
      </c>
      <c r="T38" s="107">
        <v>44559</v>
      </c>
      <c r="U38" s="185">
        <v>500</v>
      </c>
      <c r="V38" s="89">
        <v>0.8</v>
      </c>
      <c r="W38" s="89">
        <v>0.8</v>
      </c>
      <c r="X38" s="545">
        <f t="shared" si="0"/>
        <v>0</v>
      </c>
      <c r="Y38" s="89">
        <v>0.8</v>
      </c>
      <c r="Z38" s="108">
        <v>7950</v>
      </c>
      <c r="AA38" s="89">
        <v>140</v>
      </c>
      <c r="AB38" s="109">
        <f t="shared" si="8"/>
        <v>0.88031402349675059</v>
      </c>
      <c r="AC38" s="198" t="str">
        <f>AC37</f>
        <v>M-002</v>
      </c>
    </row>
    <row r="39" spans="1:29" ht="30" customHeight="1" thickBot="1" x14ac:dyDescent="0.3">
      <c r="B39" s="606" t="s">
        <v>419</v>
      </c>
      <c r="C39" s="536">
        <f t="shared" si="1"/>
        <v>0</v>
      </c>
      <c r="D39" s="537">
        <f t="shared" si="2"/>
        <v>0</v>
      </c>
      <c r="E39" s="579">
        <f t="shared" si="3"/>
        <v>0</v>
      </c>
      <c r="F39" s="579">
        <f t="shared" si="4"/>
        <v>0</v>
      </c>
      <c r="G39" s="538">
        <f t="shared" si="5"/>
        <v>0</v>
      </c>
      <c r="H39" s="580">
        <f t="shared" si="6"/>
        <v>0</v>
      </c>
      <c r="K39" s="31"/>
      <c r="M39" s="753"/>
      <c r="N39" s="187" t="s">
        <v>151</v>
      </c>
      <c r="O39" s="185" t="s">
        <v>210</v>
      </c>
      <c r="P39" s="185" t="s">
        <v>211</v>
      </c>
      <c r="Q39" s="185">
        <v>11119515</v>
      </c>
      <c r="R39" s="185">
        <v>1</v>
      </c>
      <c r="S39" s="89">
        <v>5701</v>
      </c>
      <c r="T39" s="107">
        <v>44559</v>
      </c>
      <c r="U39" s="197">
        <v>1000</v>
      </c>
      <c r="V39" s="89">
        <v>1.9</v>
      </c>
      <c r="W39" s="89">
        <v>1.9</v>
      </c>
      <c r="X39" s="545">
        <f t="shared" si="0"/>
        <v>0</v>
      </c>
      <c r="Y39" s="89">
        <v>1.6</v>
      </c>
      <c r="Z39" s="108">
        <v>7950</v>
      </c>
      <c r="AA39" s="89">
        <v>140</v>
      </c>
      <c r="AB39" s="109">
        <f t="shared" si="8"/>
        <v>0.88031402349675059</v>
      </c>
      <c r="AC39" s="198" t="s">
        <v>215</v>
      </c>
    </row>
    <row r="40" spans="1:29" ht="30" customHeight="1" x14ac:dyDescent="0.25">
      <c r="K40" s="31"/>
      <c r="M40" s="753"/>
      <c r="N40" s="187" t="s">
        <v>153</v>
      </c>
      <c r="O40" s="185" t="s">
        <v>210</v>
      </c>
      <c r="P40" s="185" t="s">
        <v>211</v>
      </c>
      <c r="Q40" s="185">
        <v>11119515</v>
      </c>
      <c r="R40" s="185">
        <v>2</v>
      </c>
      <c r="S40" s="89">
        <v>5701</v>
      </c>
      <c r="T40" s="107">
        <v>44559</v>
      </c>
      <c r="U40" s="197">
        <v>2000</v>
      </c>
      <c r="V40" s="92">
        <v>1.9</v>
      </c>
      <c r="W40" s="89">
        <v>1.9</v>
      </c>
      <c r="X40" s="545">
        <f t="shared" si="0"/>
        <v>0</v>
      </c>
      <c r="Y40" s="92">
        <v>3</v>
      </c>
      <c r="Z40" s="108">
        <v>7950</v>
      </c>
      <c r="AA40" s="89">
        <v>140</v>
      </c>
      <c r="AB40" s="109">
        <f t="shared" si="8"/>
        <v>0.88031402349675059</v>
      </c>
      <c r="AC40" s="198" t="s">
        <v>215</v>
      </c>
    </row>
    <row r="41" spans="1:29" ht="30" customHeight="1" x14ac:dyDescent="0.25">
      <c r="K41" s="31"/>
      <c r="M41" s="753"/>
      <c r="N41" s="187" t="s">
        <v>224</v>
      </c>
      <c r="O41" s="185" t="s">
        <v>210</v>
      </c>
      <c r="P41" s="185" t="s">
        <v>211</v>
      </c>
      <c r="Q41" s="185">
        <v>11119515</v>
      </c>
      <c r="R41" s="185" t="s">
        <v>217</v>
      </c>
      <c r="S41" s="89">
        <v>5701</v>
      </c>
      <c r="T41" s="107">
        <v>44559</v>
      </c>
      <c r="U41" s="197">
        <v>2000</v>
      </c>
      <c r="V41" s="92">
        <v>2.1</v>
      </c>
      <c r="W41" s="89">
        <v>2.1</v>
      </c>
      <c r="X41" s="545">
        <f t="shared" si="0"/>
        <v>0</v>
      </c>
      <c r="Y41" s="92">
        <v>3</v>
      </c>
      <c r="Z41" s="108">
        <v>7950</v>
      </c>
      <c r="AA41" s="89">
        <v>140</v>
      </c>
      <c r="AB41" s="109">
        <f t="shared" si="8"/>
        <v>0.88031402349675059</v>
      </c>
      <c r="AC41" s="198" t="str">
        <f>AC40</f>
        <v>M-002</v>
      </c>
    </row>
    <row r="42" spans="1:29" ht="30" customHeight="1" thickBot="1" x14ac:dyDescent="0.3">
      <c r="A42" s="56"/>
      <c r="K42" s="31"/>
      <c r="M42" s="754"/>
      <c r="N42" s="191" t="s">
        <v>156</v>
      </c>
      <c r="O42" s="192" t="s">
        <v>210</v>
      </c>
      <c r="P42" s="192" t="s">
        <v>211</v>
      </c>
      <c r="Q42" s="192">
        <v>11119515</v>
      </c>
      <c r="R42" s="192">
        <v>5</v>
      </c>
      <c r="S42" s="149">
        <v>5701</v>
      </c>
      <c r="T42" s="258">
        <v>44559</v>
      </c>
      <c r="U42" s="517">
        <v>5000</v>
      </c>
      <c r="V42" s="149">
        <v>5.8</v>
      </c>
      <c r="W42" s="149">
        <v>5.9</v>
      </c>
      <c r="X42" s="546">
        <f t="shared" si="0"/>
        <v>5.7735026918962887E-2</v>
      </c>
      <c r="Y42" s="155">
        <v>8</v>
      </c>
      <c r="Z42" s="259">
        <v>7950</v>
      </c>
      <c r="AA42" s="149">
        <v>140</v>
      </c>
      <c r="AB42" s="260">
        <f t="shared" si="8"/>
        <v>0.88031402349675059</v>
      </c>
      <c r="AC42" s="193" t="s">
        <v>215</v>
      </c>
    </row>
    <row r="43" spans="1:29" ht="30" customHeight="1" x14ac:dyDescent="0.25">
      <c r="A43" s="56"/>
      <c r="B43" s="733" t="s">
        <v>411</v>
      </c>
      <c r="C43" s="734"/>
      <c r="D43" s="734"/>
      <c r="E43" s="734"/>
      <c r="F43" s="734"/>
      <c r="G43" s="734"/>
      <c r="H43" s="734"/>
      <c r="I43" s="734"/>
      <c r="J43" s="735"/>
      <c r="K43" s="31"/>
      <c r="M43" s="749"/>
      <c r="N43" s="253" t="s">
        <v>225</v>
      </c>
      <c r="O43" s="252" t="s">
        <v>226</v>
      </c>
      <c r="P43" s="252" t="s">
        <v>227</v>
      </c>
      <c r="Q43" s="252">
        <v>1913613</v>
      </c>
      <c r="R43" s="252">
        <v>1</v>
      </c>
      <c r="S43" s="112">
        <v>5726</v>
      </c>
      <c r="T43" s="113">
        <v>44594</v>
      </c>
      <c r="U43" s="562">
        <v>1</v>
      </c>
      <c r="V43" s="238">
        <v>3.3000000000000002E-2</v>
      </c>
      <c r="W43" s="238">
        <v>0.04</v>
      </c>
      <c r="X43" s="564">
        <f t="shared" si="0"/>
        <v>4.0414518843273801E-3</v>
      </c>
      <c r="Y43" s="563">
        <v>3.3000000000000002E-2</v>
      </c>
      <c r="Z43" s="199">
        <v>7900</v>
      </c>
      <c r="AA43" s="112">
        <v>140</v>
      </c>
      <c r="AB43" s="200">
        <f>(0.34848*((749.5+753.3)/2)-0.009*((44.2+49.2)/2)*EXP(0.0612*((22.3+23.2)/2)))/(273.15+((22.3+23.2)/2))</f>
        <v>0.8792042748922686</v>
      </c>
      <c r="AC43" s="565" t="s">
        <v>228</v>
      </c>
    </row>
    <row r="44" spans="1:29" ht="30" customHeight="1" thickBot="1" x14ac:dyDescent="0.3">
      <c r="A44" s="56"/>
      <c r="B44" s="736"/>
      <c r="C44" s="737"/>
      <c r="D44" s="737"/>
      <c r="E44" s="737"/>
      <c r="F44" s="737"/>
      <c r="G44" s="737"/>
      <c r="H44" s="737"/>
      <c r="I44" s="737"/>
      <c r="J44" s="738"/>
      <c r="K44" s="31"/>
      <c r="M44" s="750"/>
      <c r="N44" s="187" t="s">
        <v>229</v>
      </c>
      <c r="O44" s="185" t="s">
        <v>226</v>
      </c>
      <c r="P44" s="185" t="s">
        <v>227</v>
      </c>
      <c r="Q44" s="185">
        <v>1913613</v>
      </c>
      <c r="R44" s="185">
        <v>2</v>
      </c>
      <c r="S44" s="89">
        <v>5726</v>
      </c>
      <c r="T44" s="107">
        <v>44594</v>
      </c>
      <c r="U44" s="196">
        <v>2</v>
      </c>
      <c r="V44" s="110">
        <v>2.1000000000000001E-2</v>
      </c>
      <c r="W44" s="110">
        <v>0.02</v>
      </c>
      <c r="X44" s="545">
        <f t="shared" si="0"/>
        <v>5.7735026918962634E-4</v>
      </c>
      <c r="Y44" s="93">
        <v>0.04</v>
      </c>
      <c r="Z44" s="108">
        <v>7900</v>
      </c>
      <c r="AA44" s="89">
        <v>140</v>
      </c>
      <c r="AB44" s="200">
        <f t="shared" ref="AB44:AB58" si="9">(0.34848*((749.5+753.3)/2)-0.009*((44.2+49.2)/2)*EXP(0.0612*((22.3+23.2)/2)))/(273.15+((22.3+23.2)/2))</f>
        <v>0.8792042748922686</v>
      </c>
      <c r="AC44" s="198" t="s">
        <v>228</v>
      </c>
    </row>
    <row r="45" spans="1:29" ht="30" customHeight="1" x14ac:dyDescent="0.25">
      <c r="A45" s="56"/>
      <c r="B45" s="787" t="s">
        <v>161</v>
      </c>
      <c r="C45" s="739" t="s">
        <v>7</v>
      </c>
      <c r="D45" s="739" t="s">
        <v>8</v>
      </c>
      <c r="E45" s="739" t="s">
        <v>9</v>
      </c>
      <c r="F45" s="739" t="s">
        <v>230</v>
      </c>
      <c r="G45" s="739" t="s">
        <v>231</v>
      </c>
      <c r="H45" s="739" t="s">
        <v>232</v>
      </c>
      <c r="I45" s="739" t="s">
        <v>233</v>
      </c>
      <c r="J45" s="774" t="s">
        <v>234</v>
      </c>
      <c r="K45" s="31"/>
      <c r="M45" s="750"/>
      <c r="N45" s="187" t="s">
        <v>235</v>
      </c>
      <c r="O45" s="185" t="s">
        <v>226</v>
      </c>
      <c r="P45" s="185" t="s">
        <v>227</v>
      </c>
      <c r="Q45" s="185">
        <v>1913613</v>
      </c>
      <c r="R45" s="185" t="s">
        <v>236</v>
      </c>
      <c r="S45" s="89">
        <v>5726</v>
      </c>
      <c r="T45" s="107">
        <v>44594</v>
      </c>
      <c r="U45" s="196">
        <v>2</v>
      </c>
      <c r="V45" s="110">
        <v>5.7000000000000002E-2</v>
      </c>
      <c r="W45" s="110">
        <v>0.06</v>
      </c>
      <c r="X45" s="545">
        <f t="shared" si="0"/>
        <v>1.732050807568875E-3</v>
      </c>
      <c r="Y45" s="93">
        <v>0.04</v>
      </c>
      <c r="Z45" s="108">
        <v>7900</v>
      </c>
      <c r="AA45" s="89">
        <v>140</v>
      </c>
      <c r="AB45" s="200">
        <f t="shared" si="9"/>
        <v>0.8792042748922686</v>
      </c>
      <c r="AC45" s="198" t="s">
        <v>228</v>
      </c>
    </row>
    <row r="46" spans="1:29" ht="30" customHeight="1" thickBot="1" x14ac:dyDescent="0.3">
      <c r="A46" s="56"/>
      <c r="B46" s="788"/>
      <c r="C46" s="740"/>
      <c r="D46" s="740"/>
      <c r="E46" s="740"/>
      <c r="F46" s="740"/>
      <c r="G46" s="740"/>
      <c r="H46" s="740"/>
      <c r="I46" s="740"/>
      <c r="J46" s="775"/>
      <c r="K46" s="31"/>
      <c r="M46" s="750"/>
      <c r="N46" s="187" t="s">
        <v>237</v>
      </c>
      <c r="O46" s="185" t="s">
        <v>226</v>
      </c>
      <c r="P46" s="185" t="s">
        <v>227</v>
      </c>
      <c r="Q46" s="185">
        <v>1913613</v>
      </c>
      <c r="R46" s="185">
        <v>5</v>
      </c>
      <c r="S46" s="89">
        <v>5726</v>
      </c>
      <c r="T46" s="107">
        <v>44594</v>
      </c>
      <c r="U46" s="196">
        <v>5</v>
      </c>
      <c r="V46" s="110">
        <v>1.2E-2</v>
      </c>
      <c r="W46" s="110">
        <v>0</v>
      </c>
      <c r="X46" s="545">
        <f t="shared" si="0"/>
        <v>6.9282032302755096E-3</v>
      </c>
      <c r="Y46" s="93">
        <v>5.2999999999999999E-2</v>
      </c>
      <c r="Z46" s="108">
        <v>7900</v>
      </c>
      <c r="AA46" s="89">
        <v>140</v>
      </c>
      <c r="AB46" s="200">
        <f t="shared" si="9"/>
        <v>0.8792042748922686</v>
      </c>
      <c r="AC46" s="198" t="s">
        <v>228</v>
      </c>
    </row>
    <row r="47" spans="1:29" ht="30" customHeight="1" thickBot="1" x14ac:dyDescent="0.3">
      <c r="A47" s="56"/>
      <c r="K47" s="31"/>
      <c r="M47" s="750"/>
      <c r="N47" s="187" t="s">
        <v>238</v>
      </c>
      <c r="O47" s="185" t="s">
        <v>226</v>
      </c>
      <c r="P47" s="185" t="s">
        <v>227</v>
      </c>
      <c r="Q47" s="185">
        <v>1913613</v>
      </c>
      <c r="R47" s="185">
        <v>10</v>
      </c>
      <c r="S47" s="89">
        <v>5726</v>
      </c>
      <c r="T47" s="107">
        <v>44594</v>
      </c>
      <c r="U47" s="196">
        <v>10</v>
      </c>
      <c r="V47" s="110">
        <v>5.6000000000000001E-2</v>
      </c>
      <c r="W47" s="110">
        <v>0.05</v>
      </c>
      <c r="X47" s="545">
        <f t="shared" si="0"/>
        <v>3.4641016151377539E-3</v>
      </c>
      <c r="Y47" s="93">
        <v>6.7000000000000004E-2</v>
      </c>
      <c r="Z47" s="108">
        <v>7900</v>
      </c>
      <c r="AA47" s="89">
        <v>140</v>
      </c>
      <c r="AB47" s="200">
        <f t="shared" si="9"/>
        <v>0.8792042748922686</v>
      </c>
      <c r="AC47" s="198" t="s">
        <v>228</v>
      </c>
    </row>
    <row r="48" spans="1:29" ht="30" customHeight="1" x14ac:dyDescent="0.25">
      <c r="A48" s="56"/>
      <c r="B48" s="117" t="s">
        <v>3</v>
      </c>
      <c r="C48" s="166"/>
      <c r="D48" s="167"/>
      <c r="E48" s="168"/>
      <c r="F48" s="671"/>
      <c r="G48" s="169">
        <v>1</v>
      </c>
      <c r="H48" s="168"/>
      <c r="I48" s="168"/>
      <c r="J48" s="539">
        <f>H8</f>
        <v>0</v>
      </c>
      <c r="K48" s="31"/>
      <c r="M48" s="750"/>
      <c r="N48" s="187" t="s">
        <v>239</v>
      </c>
      <c r="O48" s="185" t="s">
        <v>226</v>
      </c>
      <c r="P48" s="185" t="s">
        <v>227</v>
      </c>
      <c r="Q48" s="185">
        <v>1913613</v>
      </c>
      <c r="R48" s="185">
        <v>20</v>
      </c>
      <c r="S48" s="89">
        <v>5726</v>
      </c>
      <c r="T48" s="107">
        <v>44594</v>
      </c>
      <c r="U48" s="196">
        <v>20</v>
      </c>
      <c r="V48" s="110">
        <v>0</v>
      </c>
      <c r="W48" s="110">
        <v>-0.01</v>
      </c>
      <c r="X48" s="545">
        <f t="shared" si="0"/>
        <v>5.773502691896258E-3</v>
      </c>
      <c r="Y48" s="93">
        <v>8.3000000000000004E-2</v>
      </c>
      <c r="Z48" s="108">
        <v>7900</v>
      </c>
      <c r="AA48" s="89">
        <v>140</v>
      </c>
      <c r="AB48" s="200">
        <f t="shared" si="9"/>
        <v>0.8792042748922686</v>
      </c>
      <c r="AC48" s="198" t="s">
        <v>228</v>
      </c>
    </row>
    <row r="49" spans="1:29" ht="30" customHeight="1" x14ac:dyDescent="0.25">
      <c r="A49" s="760" t="s">
        <v>240</v>
      </c>
      <c r="B49" s="118" t="s">
        <v>103</v>
      </c>
      <c r="C49" s="160">
        <f>$C$48</f>
        <v>0</v>
      </c>
      <c r="D49" s="219">
        <f>$D$48</f>
        <v>0</v>
      </c>
      <c r="E49" s="220">
        <f>$E$48</f>
        <v>0</v>
      </c>
      <c r="F49" s="672"/>
      <c r="G49" s="137">
        <v>2</v>
      </c>
      <c r="H49" s="138">
        <f>$H$48</f>
        <v>0</v>
      </c>
      <c r="I49" s="136">
        <f>$I$48</f>
        <v>0</v>
      </c>
      <c r="J49" s="139">
        <f>J48</f>
        <v>0</v>
      </c>
      <c r="K49" s="31"/>
      <c r="M49" s="750"/>
      <c r="N49" s="187" t="s">
        <v>241</v>
      </c>
      <c r="O49" s="185" t="s">
        <v>226</v>
      </c>
      <c r="P49" s="185" t="s">
        <v>227</v>
      </c>
      <c r="Q49" s="185">
        <v>1913613</v>
      </c>
      <c r="R49" s="185" t="s">
        <v>242</v>
      </c>
      <c r="S49" s="89">
        <v>5726</v>
      </c>
      <c r="T49" s="107">
        <v>44594</v>
      </c>
      <c r="U49" s="196">
        <v>20</v>
      </c>
      <c r="V49" s="110">
        <v>0.108</v>
      </c>
      <c r="W49" s="110">
        <v>0.08</v>
      </c>
      <c r="X49" s="545">
        <f t="shared" si="0"/>
        <v>1.6165807537309521E-2</v>
      </c>
      <c r="Y49" s="93">
        <v>8.3000000000000004E-2</v>
      </c>
      <c r="Z49" s="108">
        <v>7900</v>
      </c>
      <c r="AA49" s="89">
        <v>140</v>
      </c>
      <c r="AB49" s="200">
        <f t="shared" si="9"/>
        <v>0.8792042748922686</v>
      </c>
      <c r="AC49" s="198" t="s">
        <v>228</v>
      </c>
    </row>
    <row r="50" spans="1:29" ht="30" customHeight="1" x14ac:dyDescent="0.25">
      <c r="A50" s="760"/>
      <c r="B50" s="118" t="s">
        <v>105</v>
      </c>
      <c r="C50" s="160">
        <f t="shared" ref="C50:C59" si="10">$C$48</f>
        <v>0</v>
      </c>
      <c r="D50" s="219">
        <f t="shared" ref="D50:D59" si="11">$D$48</f>
        <v>0</v>
      </c>
      <c r="E50" s="220">
        <f t="shared" ref="E50:E59" si="12">$E$48</f>
        <v>0</v>
      </c>
      <c r="F50" s="672"/>
      <c r="G50" s="137">
        <v>2</v>
      </c>
      <c r="H50" s="138">
        <f t="shared" ref="H50:H59" si="13">$H$48</f>
        <v>0</v>
      </c>
      <c r="I50" s="136">
        <f t="shared" ref="I50:I59" si="14">$I$48</f>
        <v>0</v>
      </c>
      <c r="J50" s="139">
        <f t="shared" ref="J50:J59" si="15">J49</f>
        <v>0</v>
      </c>
      <c r="K50" s="31"/>
      <c r="M50" s="750"/>
      <c r="N50" s="187" t="s">
        <v>243</v>
      </c>
      <c r="O50" s="185" t="s">
        <v>226</v>
      </c>
      <c r="P50" s="185" t="s">
        <v>227</v>
      </c>
      <c r="Q50" s="185">
        <v>1913613</v>
      </c>
      <c r="R50" s="185">
        <v>50</v>
      </c>
      <c r="S50" s="89">
        <v>5726</v>
      </c>
      <c r="T50" s="107">
        <v>44594</v>
      </c>
      <c r="U50" s="196">
        <v>50</v>
      </c>
      <c r="V50" s="110">
        <v>0.14000000000000001</v>
      </c>
      <c r="W50" s="110">
        <v>0.01</v>
      </c>
      <c r="X50" s="545">
        <f t="shared" si="0"/>
        <v>7.5055534994651354E-2</v>
      </c>
      <c r="Y50" s="110">
        <v>0.1</v>
      </c>
      <c r="Z50" s="108">
        <v>7900</v>
      </c>
      <c r="AA50" s="89">
        <v>140</v>
      </c>
      <c r="AB50" s="200">
        <f t="shared" si="9"/>
        <v>0.8792042748922686</v>
      </c>
      <c r="AC50" s="198" t="s">
        <v>228</v>
      </c>
    </row>
    <row r="51" spans="1:29" ht="30" customHeight="1" x14ac:dyDescent="0.25">
      <c r="A51" s="760"/>
      <c r="B51" s="118" t="s">
        <v>107</v>
      </c>
      <c r="C51" s="160">
        <f t="shared" si="10"/>
        <v>0</v>
      </c>
      <c r="D51" s="219">
        <f t="shared" si="11"/>
        <v>0</v>
      </c>
      <c r="E51" s="220">
        <f t="shared" si="12"/>
        <v>0</v>
      </c>
      <c r="F51" s="672"/>
      <c r="G51" s="137">
        <v>5</v>
      </c>
      <c r="H51" s="138">
        <f t="shared" si="13"/>
        <v>0</v>
      </c>
      <c r="I51" s="136">
        <f t="shared" si="14"/>
        <v>0</v>
      </c>
      <c r="J51" s="139">
        <f t="shared" si="15"/>
        <v>0</v>
      </c>
      <c r="K51" s="31"/>
      <c r="M51" s="750"/>
      <c r="N51" s="187" t="s">
        <v>244</v>
      </c>
      <c r="O51" s="185" t="s">
        <v>226</v>
      </c>
      <c r="P51" s="185" t="s">
        <v>227</v>
      </c>
      <c r="Q51" s="185">
        <v>1913613</v>
      </c>
      <c r="R51" s="185">
        <v>100</v>
      </c>
      <c r="S51" s="89">
        <v>5726</v>
      </c>
      <c r="T51" s="107">
        <v>44594</v>
      </c>
      <c r="U51" s="196">
        <v>100</v>
      </c>
      <c r="V51" s="110">
        <v>0.23</v>
      </c>
      <c r="W51" s="110">
        <v>0.22</v>
      </c>
      <c r="X51" s="545">
        <f t="shared" si="0"/>
        <v>5.7735026918962632E-3</v>
      </c>
      <c r="Y51" s="110">
        <v>0.17</v>
      </c>
      <c r="Z51" s="108">
        <v>7900</v>
      </c>
      <c r="AA51" s="89">
        <v>140</v>
      </c>
      <c r="AB51" s="200">
        <f t="shared" si="9"/>
        <v>0.8792042748922686</v>
      </c>
      <c r="AC51" s="198" t="s">
        <v>228</v>
      </c>
    </row>
    <row r="52" spans="1:29" ht="30" customHeight="1" x14ac:dyDescent="0.25">
      <c r="A52" s="760"/>
      <c r="B52" s="118" t="s">
        <v>109</v>
      </c>
      <c r="C52" s="160">
        <f t="shared" si="10"/>
        <v>0</v>
      </c>
      <c r="D52" s="219">
        <f t="shared" si="11"/>
        <v>0</v>
      </c>
      <c r="E52" s="220">
        <f t="shared" si="12"/>
        <v>0</v>
      </c>
      <c r="F52" s="672"/>
      <c r="G52" s="137">
        <v>10</v>
      </c>
      <c r="H52" s="138">
        <f t="shared" si="13"/>
        <v>0</v>
      </c>
      <c r="I52" s="136">
        <f t="shared" si="14"/>
        <v>0</v>
      </c>
      <c r="J52" s="139">
        <f t="shared" si="15"/>
        <v>0</v>
      </c>
      <c r="K52" s="31"/>
      <c r="M52" s="750"/>
      <c r="N52" s="187" t="s">
        <v>245</v>
      </c>
      <c r="O52" s="185" t="s">
        <v>226</v>
      </c>
      <c r="P52" s="185" t="s">
        <v>227</v>
      </c>
      <c r="Q52" s="185">
        <v>1913613</v>
      </c>
      <c r="R52" s="185">
        <v>200</v>
      </c>
      <c r="S52" s="89">
        <v>5726</v>
      </c>
      <c r="T52" s="107">
        <v>44594</v>
      </c>
      <c r="U52" s="196">
        <v>200</v>
      </c>
      <c r="V52" s="92">
        <v>0.14000000000000001</v>
      </c>
      <c r="W52" s="92">
        <v>0</v>
      </c>
      <c r="X52" s="545">
        <f t="shared" si="0"/>
        <v>8.0829037686547617E-2</v>
      </c>
      <c r="Y52" s="110">
        <v>0.33</v>
      </c>
      <c r="Z52" s="108">
        <v>7900</v>
      </c>
      <c r="AA52" s="89">
        <v>140</v>
      </c>
      <c r="AB52" s="200">
        <f t="shared" si="9"/>
        <v>0.8792042748922686</v>
      </c>
      <c r="AC52" s="198" t="s">
        <v>228</v>
      </c>
    </row>
    <row r="53" spans="1:29" ht="30" customHeight="1" x14ac:dyDescent="0.25">
      <c r="A53" s="56"/>
      <c r="B53" s="118" t="s">
        <v>112</v>
      </c>
      <c r="C53" s="160">
        <f t="shared" si="10"/>
        <v>0</v>
      </c>
      <c r="D53" s="219">
        <f t="shared" si="11"/>
        <v>0</v>
      </c>
      <c r="E53" s="220">
        <f t="shared" si="12"/>
        <v>0</v>
      </c>
      <c r="F53" s="672"/>
      <c r="G53" s="137">
        <v>20</v>
      </c>
      <c r="H53" s="138">
        <f t="shared" si="13"/>
        <v>0</v>
      </c>
      <c r="I53" s="136">
        <f t="shared" si="14"/>
        <v>0</v>
      </c>
      <c r="J53" s="139">
        <f t="shared" si="15"/>
        <v>0</v>
      </c>
      <c r="K53" s="31"/>
      <c r="M53" s="750"/>
      <c r="N53" s="187" t="s">
        <v>246</v>
      </c>
      <c r="O53" s="185" t="s">
        <v>226</v>
      </c>
      <c r="P53" s="185" t="s">
        <v>227</v>
      </c>
      <c r="Q53" s="185">
        <v>1913613</v>
      </c>
      <c r="R53" s="185" t="s">
        <v>247</v>
      </c>
      <c r="S53" s="89">
        <v>5726</v>
      </c>
      <c r="T53" s="107">
        <v>44594</v>
      </c>
      <c r="U53" s="196">
        <v>200</v>
      </c>
      <c r="V53" s="92">
        <v>0.3</v>
      </c>
      <c r="W53" s="92">
        <v>0.3</v>
      </c>
      <c r="X53" s="545">
        <f t="shared" si="0"/>
        <v>0</v>
      </c>
      <c r="Y53" s="110">
        <v>0.33</v>
      </c>
      <c r="Z53" s="108">
        <v>7900</v>
      </c>
      <c r="AA53" s="89">
        <v>140</v>
      </c>
      <c r="AB53" s="200">
        <f t="shared" si="9"/>
        <v>0.8792042748922686</v>
      </c>
      <c r="AC53" s="198" t="s">
        <v>228</v>
      </c>
    </row>
    <row r="54" spans="1:29" ht="30" customHeight="1" x14ac:dyDescent="0.25">
      <c r="A54" s="56"/>
      <c r="B54" s="118" t="s">
        <v>114</v>
      </c>
      <c r="C54" s="160">
        <f t="shared" si="10"/>
        <v>0</v>
      </c>
      <c r="D54" s="219">
        <f t="shared" si="11"/>
        <v>0</v>
      </c>
      <c r="E54" s="220">
        <f t="shared" si="12"/>
        <v>0</v>
      </c>
      <c r="F54" s="672"/>
      <c r="G54" s="137">
        <v>20</v>
      </c>
      <c r="H54" s="138">
        <f t="shared" si="13"/>
        <v>0</v>
      </c>
      <c r="I54" s="136">
        <f t="shared" si="14"/>
        <v>0</v>
      </c>
      <c r="J54" s="139">
        <f t="shared" si="15"/>
        <v>0</v>
      </c>
      <c r="K54" s="31"/>
      <c r="M54" s="750"/>
      <c r="N54" s="187" t="s">
        <v>248</v>
      </c>
      <c r="O54" s="185" t="s">
        <v>226</v>
      </c>
      <c r="P54" s="185" t="s">
        <v>227</v>
      </c>
      <c r="Q54" s="185">
        <v>1913613</v>
      </c>
      <c r="R54" s="185">
        <v>500</v>
      </c>
      <c r="S54" s="89">
        <v>5726</v>
      </c>
      <c r="T54" s="107">
        <v>44594</v>
      </c>
      <c r="U54" s="196">
        <v>500</v>
      </c>
      <c r="V54" s="92">
        <v>0.68</v>
      </c>
      <c r="W54" s="92">
        <v>0.3</v>
      </c>
      <c r="X54" s="545">
        <f t="shared" si="0"/>
        <v>0.21939310229205783</v>
      </c>
      <c r="Y54" s="110">
        <v>0.83</v>
      </c>
      <c r="Z54" s="108">
        <v>7900</v>
      </c>
      <c r="AA54" s="89">
        <v>140</v>
      </c>
      <c r="AB54" s="200">
        <f t="shared" si="9"/>
        <v>0.8792042748922686</v>
      </c>
      <c r="AC54" s="198" t="s">
        <v>228</v>
      </c>
    </row>
    <row r="55" spans="1:29" ht="30" customHeight="1" x14ac:dyDescent="0.25">
      <c r="A55" s="56"/>
      <c r="B55" s="118" t="s">
        <v>116</v>
      </c>
      <c r="C55" s="160">
        <f t="shared" si="10"/>
        <v>0</v>
      </c>
      <c r="D55" s="219">
        <f t="shared" si="11"/>
        <v>0</v>
      </c>
      <c r="E55" s="220">
        <f t="shared" si="12"/>
        <v>0</v>
      </c>
      <c r="F55" s="672"/>
      <c r="G55" s="137">
        <v>50</v>
      </c>
      <c r="H55" s="138">
        <f t="shared" si="13"/>
        <v>0</v>
      </c>
      <c r="I55" s="136">
        <f t="shared" si="14"/>
        <v>0</v>
      </c>
      <c r="J55" s="139">
        <f t="shared" si="15"/>
        <v>0</v>
      </c>
      <c r="K55" s="31"/>
      <c r="M55" s="750"/>
      <c r="N55" s="187" t="s">
        <v>249</v>
      </c>
      <c r="O55" s="185" t="s">
        <v>226</v>
      </c>
      <c r="P55" s="185" t="s">
        <v>227</v>
      </c>
      <c r="Q55" s="185">
        <v>1913613</v>
      </c>
      <c r="R55" s="185">
        <v>1</v>
      </c>
      <c r="S55" s="89">
        <v>5726</v>
      </c>
      <c r="T55" s="107">
        <v>44594</v>
      </c>
      <c r="U55" s="195">
        <v>1000</v>
      </c>
      <c r="V55" s="92">
        <v>1.6</v>
      </c>
      <c r="W55" s="92">
        <v>1.7</v>
      </c>
      <c r="X55" s="573">
        <f t="shared" si="0"/>
        <v>5.7735026918962505E-2</v>
      </c>
      <c r="Y55" s="92">
        <v>1.7</v>
      </c>
      <c r="Z55" s="108">
        <v>7900</v>
      </c>
      <c r="AA55" s="89">
        <v>140</v>
      </c>
      <c r="AB55" s="200">
        <f t="shared" si="9"/>
        <v>0.8792042748922686</v>
      </c>
      <c r="AC55" s="198" t="s">
        <v>228</v>
      </c>
    </row>
    <row r="56" spans="1:29" ht="30" customHeight="1" x14ac:dyDescent="0.25">
      <c r="A56" s="56"/>
      <c r="B56" s="118" t="s">
        <v>118</v>
      </c>
      <c r="C56" s="160">
        <f t="shared" si="10"/>
        <v>0</v>
      </c>
      <c r="D56" s="219">
        <f t="shared" si="11"/>
        <v>0</v>
      </c>
      <c r="E56" s="220">
        <f t="shared" si="12"/>
        <v>0</v>
      </c>
      <c r="F56" s="672"/>
      <c r="G56" s="137">
        <v>100</v>
      </c>
      <c r="H56" s="138">
        <f t="shared" si="13"/>
        <v>0</v>
      </c>
      <c r="I56" s="136">
        <f t="shared" si="14"/>
        <v>0</v>
      </c>
      <c r="J56" s="139">
        <f t="shared" si="15"/>
        <v>0</v>
      </c>
      <c r="K56" s="31"/>
      <c r="M56" s="750"/>
      <c r="N56" s="187" t="s">
        <v>250</v>
      </c>
      <c r="O56" s="185" t="s">
        <v>226</v>
      </c>
      <c r="P56" s="185" t="s">
        <v>227</v>
      </c>
      <c r="Q56" s="185">
        <v>1913613</v>
      </c>
      <c r="R56" s="185">
        <v>2</v>
      </c>
      <c r="S56" s="89">
        <v>5726</v>
      </c>
      <c r="T56" s="107">
        <v>44594</v>
      </c>
      <c r="U56" s="195">
        <v>2000</v>
      </c>
      <c r="V56" s="92">
        <v>4</v>
      </c>
      <c r="W56" s="92">
        <v>2.9</v>
      </c>
      <c r="X56" s="573">
        <f t="shared" si="0"/>
        <v>0.63508529610858844</v>
      </c>
      <c r="Y56" s="92">
        <v>3.3</v>
      </c>
      <c r="Z56" s="108">
        <v>7900</v>
      </c>
      <c r="AA56" s="89">
        <v>140</v>
      </c>
      <c r="AB56" s="200">
        <f t="shared" si="9"/>
        <v>0.8792042748922686</v>
      </c>
      <c r="AC56" s="198" t="s">
        <v>228</v>
      </c>
    </row>
    <row r="57" spans="1:29" ht="30" customHeight="1" x14ac:dyDescent="0.25">
      <c r="A57" s="56"/>
      <c r="B57" s="118" t="s">
        <v>120</v>
      </c>
      <c r="C57" s="160">
        <f t="shared" si="10"/>
        <v>0</v>
      </c>
      <c r="D57" s="219">
        <f t="shared" si="11"/>
        <v>0</v>
      </c>
      <c r="E57" s="220">
        <f t="shared" si="12"/>
        <v>0</v>
      </c>
      <c r="F57" s="672"/>
      <c r="G57" s="137">
        <v>200</v>
      </c>
      <c r="H57" s="138">
        <f t="shared" si="13"/>
        <v>0</v>
      </c>
      <c r="I57" s="136">
        <f t="shared" si="14"/>
        <v>0</v>
      </c>
      <c r="J57" s="139">
        <f t="shared" si="15"/>
        <v>0</v>
      </c>
      <c r="K57" s="31"/>
      <c r="M57" s="750"/>
      <c r="N57" s="187" t="s">
        <v>251</v>
      </c>
      <c r="O57" s="185" t="s">
        <v>226</v>
      </c>
      <c r="P57" s="185" t="s">
        <v>227</v>
      </c>
      <c r="Q57" s="185">
        <v>1913613</v>
      </c>
      <c r="R57" s="185" t="s">
        <v>236</v>
      </c>
      <c r="S57" s="89">
        <v>5726</v>
      </c>
      <c r="T57" s="107">
        <v>44594</v>
      </c>
      <c r="U57" s="195">
        <v>2000</v>
      </c>
      <c r="V57" s="92">
        <v>1.4</v>
      </c>
      <c r="W57" s="92">
        <v>2.2999999999999998</v>
      </c>
      <c r="X57" s="573">
        <f t="shared" si="0"/>
        <v>0.51961524227066314</v>
      </c>
      <c r="Y57" s="92">
        <v>3.3</v>
      </c>
      <c r="Z57" s="108">
        <v>7900</v>
      </c>
      <c r="AA57" s="89">
        <v>140</v>
      </c>
      <c r="AB57" s="200">
        <f t="shared" si="9"/>
        <v>0.8792042748922686</v>
      </c>
      <c r="AC57" s="198" t="s">
        <v>228</v>
      </c>
    </row>
    <row r="58" spans="1:29" ht="30" customHeight="1" thickBot="1" x14ac:dyDescent="0.3">
      <c r="B58" s="118" t="s">
        <v>122</v>
      </c>
      <c r="C58" s="160">
        <f t="shared" si="10"/>
        <v>0</v>
      </c>
      <c r="D58" s="219">
        <f t="shared" si="11"/>
        <v>0</v>
      </c>
      <c r="E58" s="220">
        <f t="shared" si="12"/>
        <v>0</v>
      </c>
      <c r="F58" s="672"/>
      <c r="G58" s="137">
        <v>200</v>
      </c>
      <c r="H58" s="138">
        <f t="shared" si="13"/>
        <v>0</v>
      </c>
      <c r="I58" s="136">
        <f t="shared" si="14"/>
        <v>0</v>
      </c>
      <c r="J58" s="139">
        <f t="shared" si="15"/>
        <v>0</v>
      </c>
      <c r="K58" s="134"/>
      <c r="M58" s="751"/>
      <c r="N58" s="191" t="s">
        <v>252</v>
      </c>
      <c r="O58" s="192" t="s">
        <v>226</v>
      </c>
      <c r="P58" s="192" t="s">
        <v>227</v>
      </c>
      <c r="Q58" s="192">
        <v>1913613</v>
      </c>
      <c r="R58" s="192">
        <v>5</v>
      </c>
      <c r="S58" s="89">
        <v>5726</v>
      </c>
      <c r="T58" s="107">
        <v>44594</v>
      </c>
      <c r="U58" s="517">
        <v>5000</v>
      </c>
      <c r="V58" s="155">
        <v>-0.9</v>
      </c>
      <c r="W58" s="155">
        <v>16.399999999999999</v>
      </c>
      <c r="X58" s="572">
        <f t="shared" si="0"/>
        <v>9.9881596569805247</v>
      </c>
      <c r="Y58" s="155">
        <v>8.3000000000000007</v>
      </c>
      <c r="Z58" s="108">
        <v>7900</v>
      </c>
      <c r="AA58" s="149">
        <v>140</v>
      </c>
      <c r="AB58" s="200">
        <f t="shared" si="9"/>
        <v>0.8792042748922686</v>
      </c>
      <c r="AC58" s="193" t="s">
        <v>228</v>
      </c>
    </row>
    <row r="59" spans="1:29" ht="30" customHeight="1" x14ac:dyDescent="0.25">
      <c r="B59" s="118" t="s">
        <v>123</v>
      </c>
      <c r="C59" s="160">
        <f t="shared" si="10"/>
        <v>0</v>
      </c>
      <c r="D59" s="219">
        <f t="shared" si="11"/>
        <v>0</v>
      </c>
      <c r="E59" s="220">
        <f t="shared" si="12"/>
        <v>0</v>
      </c>
      <c r="F59" s="672"/>
      <c r="G59" s="137">
        <v>500</v>
      </c>
      <c r="H59" s="138">
        <f t="shared" si="13"/>
        <v>0</v>
      </c>
      <c r="I59" s="136">
        <f t="shared" si="14"/>
        <v>0</v>
      </c>
      <c r="J59" s="139">
        <f t="shared" si="15"/>
        <v>0</v>
      </c>
      <c r="K59" s="31"/>
      <c r="M59" s="744"/>
      <c r="N59" s="186" t="s">
        <v>253</v>
      </c>
      <c r="O59" s="188" t="s">
        <v>254</v>
      </c>
      <c r="P59" s="188" t="s">
        <v>255</v>
      </c>
      <c r="Q59" s="188" t="s">
        <v>256</v>
      </c>
      <c r="R59" s="188" t="s">
        <v>257</v>
      </c>
      <c r="S59" s="82">
        <v>5407</v>
      </c>
      <c r="T59" s="104">
        <v>44441</v>
      </c>
      <c r="U59" s="516">
        <v>20000</v>
      </c>
      <c r="V59" s="111">
        <v>9</v>
      </c>
      <c r="W59" s="82">
        <v>2</v>
      </c>
      <c r="X59" s="544">
        <f t="shared" si="0"/>
        <v>4.0414518843273806</v>
      </c>
      <c r="Y59" s="111">
        <v>10</v>
      </c>
      <c r="Z59" s="105">
        <v>7950</v>
      </c>
      <c r="AA59" s="82">
        <v>140</v>
      </c>
      <c r="AB59" s="106">
        <f>(0.34848*((754.5+754.8)/2)-0.009*((50.9+51.1)/2)*EXP(0.0612*((20.8+20.9)/2)))/(273.15+((20.8+20.9)/2))</f>
        <v>0.88889840721616875</v>
      </c>
      <c r="AC59" s="194" t="s">
        <v>258</v>
      </c>
    </row>
    <row r="60" spans="1:29" ht="30" customHeight="1" x14ac:dyDescent="0.25">
      <c r="A60" s="218"/>
      <c r="B60" s="529" t="s">
        <v>127</v>
      </c>
      <c r="C60" s="160">
        <f t="shared" ref="C60:C79" si="16">$C$48</f>
        <v>0</v>
      </c>
      <c r="D60" s="135">
        <f t="shared" ref="D60:D79" si="17">$D$48</f>
        <v>0</v>
      </c>
      <c r="E60" s="136">
        <f t="shared" ref="E60:E79" si="18">$E$48</f>
        <v>0</v>
      </c>
      <c r="F60" s="672"/>
      <c r="G60" s="137">
        <v>1</v>
      </c>
      <c r="H60" s="138">
        <f t="shared" ref="H60:H79" si="19">$H$48</f>
        <v>0</v>
      </c>
      <c r="I60" s="136">
        <f t="shared" ref="I60:I79" si="20">$I$48</f>
        <v>0</v>
      </c>
      <c r="J60" s="139">
        <f t="shared" ref="J60:J79" si="21">$J$48</f>
        <v>0</v>
      </c>
      <c r="M60" s="745"/>
      <c r="N60" s="187" t="s">
        <v>259</v>
      </c>
      <c r="O60" s="185" t="s">
        <v>226</v>
      </c>
      <c r="P60" s="185" t="s">
        <v>255</v>
      </c>
      <c r="Q60" s="185" t="s">
        <v>260</v>
      </c>
      <c r="R60" s="185">
        <v>20</v>
      </c>
      <c r="S60" s="89">
        <v>5408</v>
      </c>
      <c r="T60" s="107">
        <v>44441</v>
      </c>
      <c r="U60" s="195">
        <v>20000</v>
      </c>
      <c r="V60" s="89">
        <v>31</v>
      </c>
      <c r="W60" s="89">
        <v>39</v>
      </c>
      <c r="X60" s="545">
        <f t="shared" si="0"/>
        <v>4.6188021535170067</v>
      </c>
      <c r="Y60" s="97">
        <v>30</v>
      </c>
      <c r="Z60" s="108">
        <v>7950</v>
      </c>
      <c r="AA60" s="89">
        <v>140</v>
      </c>
      <c r="AB60" s="109">
        <f>(0.34848*((752.8+753.2)/2)-0.009*((50.3+50.4)/2)*EXP(0.0612*((20.9+21)/2)))/(273.15+((20.9+21)/2))</f>
        <v>0.88667844666689899</v>
      </c>
      <c r="AC60" s="198" t="s">
        <v>261</v>
      </c>
    </row>
    <row r="61" spans="1:29" ht="30" customHeight="1" x14ac:dyDescent="0.25">
      <c r="B61" s="44" t="s">
        <v>130</v>
      </c>
      <c r="C61" s="160">
        <f t="shared" si="16"/>
        <v>0</v>
      </c>
      <c r="D61" s="135">
        <f t="shared" si="17"/>
        <v>0</v>
      </c>
      <c r="E61" s="136">
        <f t="shared" si="18"/>
        <v>0</v>
      </c>
      <c r="F61" s="672"/>
      <c r="G61" s="137">
        <v>2</v>
      </c>
      <c r="H61" s="138">
        <f t="shared" si="19"/>
        <v>0</v>
      </c>
      <c r="I61" s="136">
        <f t="shared" si="20"/>
        <v>0</v>
      </c>
      <c r="J61" s="139">
        <f t="shared" si="21"/>
        <v>0</v>
      </c>
      <c r="M61" s="745"/>
      <c r="N61" s="187" t="s">
        <v>262</v>
      </c>
      <c r="O61" s="185" t="s">
        <v>226</v>
      </c>
      <c r="P61" s="185" t="s">
        <v>255</v>
      </c>
      <c r="Q61" s="185" t="s">
        <v>263</v>
      </c>
      <c r="R61" s="185" t="s">
        <v>264</v>
      </c>
      <c r="S61" s="89">
        <v>5410</v>
      </c>
      <c r="T61" s="107">
        <v>44441</v>
      </c>
      <c r="U61" s="195">
        <v>20000</v>
      </c>
      <c r="V61" s="89">
        <v>3</v>
      </c>
      <c r="W61" s="89">
        <v>5</v>
      </c>
      <c r="X61" s="545">
        <f t="shared" si="0"/>
        <v>1.1547005383792517</v>
      </c>
      <c r="Y61" s="97">
        <v>30</v>
      </c>
      <c r="Z61" s="108">
        <v>7950</v>
      </c>
      <c r="AA61" s="89">
        <v>140</v>
      </c>
      <c r="AB61" s="109">
        <f>(0.34848*((753.3+753.8)/2)-0.009*((50.5+50.6)/2)*EXP(0.0612*((20.8+20.9)/2)))/(273.15+((20.8+20.9)/2))</f>
        <v>0.8876439192293275</v>
      </c>
      <c r="AC61" s="198" t="s">
        <v>265</v>
      </c>
    </row>
    <row r="62" spans="1:29" ht="30" customHeight="1" x14ac:dyDescent="0.25">
      <c r="B62" s="44" t="s">
        <v>132</v>
      </c>
      <c r="C62" s="160">
        <f t="shared" si="16"/>
        <v>0</v>
      </c>
      <c r="D62" s="135">
        <f t="shared" si="17"/>
        <v>0</v>
      </c>
      <c r="E62" s="136">
        <f t="shared" si="18"/>
        <v>0</v>
      </c>
      <c r="F62" s="672"/>
      <c r="G62" s="137">
        <v>2</v>
      </c>
      <c r="H62" s="138">
        <f t="shared" si="19"/>
        <v>0</v>
      </c>
      <c r="I62" s="136">
        <f t="shared" si="20"/>
        <v>0</v>
      </c>
      <c r="J62" s="139">
        <f t="shared" si="21"/>
        <v>0</v>
      </c>
      <c r="M62" s="745"/>
      <c r="N62" s="187" t="s">
        <v>266</v>
      </c>
      <c r="O62" s="185" t="s">
        <v>226</v>
      </c>
      <c r="P62" s="185" t="s">
        <v>255</v>
      </c>
      <c r="Q62" s="185" t="s">
        <v>267</v>
      </c>
      <c r="R62" s="185" t="s">
        <v>268</v>
      </c>
      <c r="S62" s="89">
        <v>5411</v>
      </c>
      <c r="T62" s="107">
        <v>44441</v>
      </c>
      <c r="U62" s="195">
        <v>20000</v>
      </c>
      <c r="V62" s="89">
        <v>37</v>
      </c>
      <c r="W62" s="89">
        <v>40</v>
      </c>
      <c r="X62" s="545">
        <f t="shared" si="0"/>
        <v>1.7320508075688774</v>
      </c>
      <c r="Y62" s="97">
        <v>30</v>
      </c>
      <c r="Z62" s="108">
        <v>7950</v>
      </c>
      <c r="AA62" s="89">
        <v>140</v>
      </c>
      <c r="AB62" s="109">
        <f>(0.34848*((753.9+754.3)/2)-0.009*((50.5+50.6)/2)*EXP(0.0612*((20.8+20.9)/2)))/(273.15+((20.8+20.9)/2))</f>
        <v>0.88829583759667441</v>
      </c>
      <c r="AC62" s="198" t="s">
        <v>269</v>
      </c>
    </row>
    <row r="63" spans="1:29" ht="30" customHeight="1" x14ac:dyDescent="0.25">
      <c r="B63" s="44" t="s">
        <v>134</v>
      </c>
      <c r="C63" s="160">
        <f t="shared" si="16"/>
        <v>0</v>
      </c>
      <c r="D63" s="135">
        <f t="shared" si="17"/>
        <v>0</v>
      </c>
      <c r="E63" s="136">
        <f t="shared" si="18"/>
        <v>0</v>
      </c>
      <c r="F63" s="672"/>
      <c r="G63" s="137">
        <v>5</v>
      </c>
      <c r="H63" s="138">
        <f t="shared" si="19"/>
        <v>0</v>
      </c>
      <c r="I63" s="136">
        <f t="shared" si="20"/>
        <v>0</v>
      </c>
      <c r="J63" s="139">
        <f t="shared" si="21"/>
        <v>0</v>
      </c>
      <c r="M63" s="745"/>
      <c r="N63" s="187" t="s">
        <v>270</v>
      </c>
      <c r="O63" s="185" t="s">
        <v>226</v>
      </c>
      <c r="P63" s="185" t="s">
        <v>227</v>
      </c>
      <c r="Q63" s="185">
        <v>1913624</v>
      </c>
      <c r="R63" s="185" t="s">
        <v>271</v>
      </c>
      <c r="S63" s="89">
        <v>5264</v>
      </c>
      <c r="T63" s="107">
        <v>44350</v>
      </c>
      <c r="U63" s="195">
        <v>10000</v>
      </c>
      <c r="V63" s="89">
        <v>13</v>
      </c>
      <c r="W63" s="89">
        <v>-8</v>
      </c>
      <c r="X63" s="545">
        <f t="shared" si="0"/>
        <v>12.124355652982143</v>
      </c>
      <c r="Y63" s="97">
        <v>16</v>
      </c>
      <c r="Z63" s="108">
        <v>7900</v>
      </c>
      <c r="AA63" s="89">
        <v>140</v>
      </c>
      <c r="AB63" s="109">
        <f>(0.34848*((752.5+753.7)/2)-0.009*((53.8+54.6)/2)*EXP(0.0612*((21.6+21.7)/2)))/(273.15+((21.6+21.7)/2))</f>
        <v>0.88400654914295929</v>
      </c>
      <c r="AC63" s="198" t="s">
        <v>272</v>
      </c>
    </row>
    <row r="64" spans="1:29" ht="30" customHeight="1" x14ac:dyDescent="0.25">
      <c r="B64" s="44" t="s">
        <v>136</v>
      </c>
      <c r="C64" s="160">
        <f t="shared" si="16"/>
        <v>0</v>
      </c>
      <c r="D64" s="135">
        <f t="shared" si="17"/>
        <v>0</v>
      </c>
      <c r="E64" s="136">
        <f t="shared" si="18"/>
        <v>0</v>
      </c>
      <c r="F64" s="672"/>
      <c r="G64" s="137">
        <v>10</v>
      </c>
      <c r="H64" s="138">
        <f t="shared" si="19"/>
        <v>0</v>
      </c>
      <c r="I64" s="136">
        <f t="shared" si="20"/>
        <v>0</v>
      </c>
      <c r="J64" s="139">
        <f t="shared" si="21"/>
        <v>0</v>
      </c>
      <c r="M64" s="745"/>
      <c r="N64" s="187" t="s">
        <v>273</v>
      </c>
      <c r="O64" s="185" t="s">
        <v>226</v>
      </c>
      <c r="P64" s="185" t="s">
        <v>227</v>
      </c>
      <c r="Q64" s="185">
        <v>1913626</v>
      </c>
      <c r="R64" s="185" t="s">
        <v>274</v>
      </c>
      <c r="S64" s="89">
        <v>5261</v>
      </c>
      <c r="T64" s="107">
        <v>44347</v>
      </c>
      <c r="U64" s="195">
        <v>10000</v>
      </c>
      <c r="V64" s="89">
        <v>8</v>
      </c>
      <c r="W64" s="89">
        <v>-9</v>
      </c>
      <c r="X64" s="545">
        <f t="shared" si="0"/>
        <v>9.8149545762236379</v>
      </c>
      <c r="Y64" s="97">
        <v>16</v>
      </c>
      <c r="Z64" s="108">
        <v>7900</v>
      </c>
      <c r="AA64" s="89">
        <v>140</v>
      </c>
      <c r="AB64" s="109">
        <f>(0.34848*((753+754.6)/2)-0.009*((53.6+54.8)/2)*EXP(0.0612*((21.6+21.7)/2)))/(273.15+((21.6+21.7)/2))</f>
        <v>0.88483401182952626</v>
      </c>
      <c r="AC64" s="198" t="s">
        <v>275</v>
      </c>
    </row>
    <row r="65" spans="2:29" ht="30" customHeight="1" thickBot="1" x14ac:dyDescent="0.3">
      <c r="B65" s="170" t="s">
        <v>138</v>
      </c>
      <c r="C65" s="160">
        <f t="shared" si="16"/>
        <v>0</v>
      </c>
      <c r="D65" s="135">
        <f t="shared" si="17"/>
        <v>0</v>
      </c>
      <c r="E65" s="136">
        <f t="shared" si="18"/>
        <v>0</v>
      </c>
      <c r="F65" s="672"/>
      <c r="G65" s="137">
        <v>20</v>
      </c>
      <c r="H65" s="138">
        <f t="shared" si="19"/>
        <v>0</v>
      </c>
      <c r="I65" s="136">
        <f t="shared" si="20"/>
        <v>0</v>
      </c>
      <c r="J65" s="139">
        <f t="shared" si="21"/>
        <v>0</v>
      </c>
      <c r="M65" s="746"/>
      <c r="N65" s="191" t="s">
        <v>276</v>
      </c>
      <c r="O65" s="192" t="s">
        <v>226</v>
      </c>
      <c r="P65" s="192" t="s">
        <v>227</v>
      </c>
      <c r="Q65" s="192">
        <v>1913622</v>
      </c>
      <c r="R65" s="192" t="s">
        <v>277</v>
      </c>
      <c r="S65" s="149">
        <v>5266</v>
      </c>
      <c r="T65" s="258">
        <v>44355</v>
      </c>
      <c r="U65" s="517">
        <v>5000</v>
      </c>
      <c r="V65" s="149">
        <v>6.6</v>
      </c>
      <c r="W65" s="149">
        <v>3</v>
      </c>
      <c r="X65" s="546">
        <f t="shared" si="0"/>
        <v>2.0784609690826525</v>
      </c>
      <c r="Y65" s="155">
        <v>8</v>
      </c>
      <c r="Z65" s="259">
        <v>7900</v>
      </c>
      <c r="AA65" s="149">
        <v>140</v>
      </c>
      <c r="AB65" s="260">
        <f>(0.34848*((753.8+754.4)/2)-0.009*((52.7+54)/2)*EXP(0.0612*((21.4+21.6)/2)))/(273.15+((21.4+21.6)/2))</f>
        <v>0.88579296619932124</v>
      </c>
      <c r="AC65" s="193" t="s">
        <v>278</v>
      </c>
    </row>
    <row r="66" spans="2:29" ht="30" customHeight="1" x14ac:dyDescent="0.25">
      <c r="B66" s="171" t="s">
        <v>140</v>
      </c>
      <c r="C66" s="160">
        <f t="shared" si="16"/>
        <v>0</v>
      </c>
      <c r="D66" s="135">
        <f t="shared" si="17"/>
        <v>0</v>
      </c>
      <c r="E66" s="136">
        <f t="shared" si="18"/>
        <v>0</v>
      </c>
      <c r="F66" s="672"/>
      <c r="G66" s="137">
        <v>20</v>
      </c>
      <c r="H66" s="138">
        <f t="shared" si="19"/>
        <v>0</v>
      </c>
      <c r="I66" s="136">
        <f t="shared" si="20"/>
        <v>0</v>
      </c>
      <c r="J66" s="139">
        <f t="shared" si="21"/>
        <v>0</v>
      </c>
      <c r="M66" s="755"/>
      <c r="N66" s="296" t="s">
        <v>279</v>
      </c>
      <c r="O66" s="188" t="s">
        <v>210</v>
      </c>
      <c r="P66" s="188" t="s">
        <v>280</v>
      </c>
      <c r="Q66" s="188" t="s">
        <v>281</v>
      </c>
      <c r="R66" s="188" t="s">
        <v>257</v>
      </c>
      <c r="S66" s="82">
        <v>4788</v>
      </c>
      <c r="T66" s="104">
        <v>44509</v>
      </c>
      <c r="U66" s="188">
        <v>1</v>
      </c>
      <c r="V66" s="82">
        <v>0.04</v>
      </c>
      <c r="W66" s="82">
        <v>0.04</v>
      </c>
      <c r="X66" s="544">
        <f t="shared" si="0"/>
        <v>0</v>
      </c>
      <c r="Y66" s="297">
        <v>3.3000000000000002E-2</v>
      </c>
      <c r="Z66" s="105">
        <v>7950</v>
      </c>
      <c r="AA66" s="82">
        <v>140</v>
      </c>
      <c r="AB66" s="525">
        <f>(0.34848*((750.6+754.1)/2)-0.009*((50.2+52.8)/2)*EXP(0.0612*((21.7+22.6)/2)))/(273.15+((21.7+22.6)/2))</f>
        <v>0.88175078498022075</v>
      </c>
      <c r="AC66" s="194" t="s">
        <v>282</v>
      </c>
    </row>
    <row r="67" spans="2:29" ht="30" customHeight="1" x14ac:dyDescent="0.25">
      <c r="B67" s="170" t="s">
        <v>141</v>
      </c>
      <c r="C67" s="160">
        <f t="shared" si="16"/>
        <v>0</v>
      </c>
      <c r="D67" s="135">
        <f t="shared" si="17"/>
        <v>0</v>
      </c>
      <c r="E67" s="136">
        <f t="shared" si="18"/>
        <v>0</v>
      </c>
      <c r="F67" s="672"/>
      <c r="G67" s="137">
        <v>50</v>
      </c>
      <c r="H67" s="138">
        <f t="shared" si="19"/>
        <v>0</v>
      </c>
      <c r="I67" s="136">
        <f t="shared" si="20"/>
        <v>0</v>
      </c>
      <c r="J67" s="139">
        <f t="shared" si="21"/>
        <v>0</v>
      </c>
      <c r="M67" s="756"/>
      <c r="N67" s="254" t="s">
        <v>133</v>
      </c>
      <c r="O67" s="185" t="s">
        <v>210</v>
      </c>
      <c r="P67" s="185" t="s">
        <v>280</v>
      </c>
      <c r="Q67" s="185" t="s">
        <v>281</v>
      </c>
      <c r="R67" s="185" t="s">
        <v>257</v>
      </c>
      <c r="S67" s="89">
        <v>4788</v>
      </c>
      <c r="T67" s="107">
        <v>44509</v>
      </c>
      <c r="U67" s="185">
        <v>2</v>
      </c>
      <c r="V67" s="89">
        <v>0.04</v>
      </c>
      <c r="W67" s="89">
        <v>0.03</v>
      </c>
      <c r="X67" s="545">
        <f t="shared" si="0"/>
        <v>5.7735026918962588E-3</v>
      </c>
      <c r="Y67" s="89">
        <v>0.04</v>
      </c>
      <c r="Z67" s="108">
        <v>7950</v>
      </c>
      <c r="AA67" s="89">
        <v>140</v>
      </c>
      <c r="AB67" s="109">
        <f>(0.34848*((750.6+754.1)/2)-0.009*((50.2+52.8)/2)*EXP(0.0612*((21.7+22.6)/2)))/(273.15+((21.7+22.6)/2))</f>
        <v>0.88175078498022075</v>
      </c>
      <c r="AC67" s="198" t="s">
        <v>282</v>
      </c>
    </row>
    <row r="68" spans="2:29" ht="30" customHeight="1" x14ac:dyDescent="0.25">
      <c r="B68" s="170" t="s">
        <v>143</v>
      </c>
      <c r="C68" s="160">
        <f t="shared" si="16"/>
        <v>0</v>
      </c>
      <c r="D68" s="135">
        <f t="shared" si="17"/>
        <v>0</v>
      </c>
      <c r="E68" s="136">
        <f t="shared" si="18"/>
        <v>0</v>
      </c>
      <c r="F68" s="672"/>
      <c r="G68" s="137">
        <v>100</v>
      </c>
      <c r="H68" s="138">
        <f t="shared" si="19"/>
        <v>0</v>
      </c>
      <c r="I68" s="136">
        <f t="shared" si="20"/>
        <v>0</v>
      </c>
      <c r="J68" s="139">
        <f t="shared" si="21"/>
        <v>0</v>
      </c>
      <c r="M68" s="756"/>
      <c r="N68" s="254" t="s">
        <v>283</v>
      </c>
      <c r="O68" s="185" t="s">
        <v>210</v>
      </c>
      <c r="P68" s="185" t="s">
        <v>280</v>
      </c>
      <c r="Q68" s="185" t="s">
        <v>281</v>
      </c>
      <c r="R68" s="185" t="s">
        <v>284</v>
      </c>
      <c r="S68" s="89">
        <v>4788</v>
      </c>
      <c r="T68" s="107">
        <v>44509</v>
      </c>
      <c r="U68" s="185">
        <v>2</v>
      </c>
      <c r="V68" s="89">
        <v>0.05</v>
      </c>
      <c r="W68" s="89">
        <v>0.05</v>
      </c>
      <c r="X68" s="545">
        <f t="shared" si="0"/>
        <v>0</v>
      </c>
      <c r="Y68" s="89">
        <v>0.04</v>
      </c>
      <c r="Z68" s="108">
        <v>7950</v>
      </c>
      <c r="AA68" s="89">
        <v>140</v>
      </c>
      <c r="AB68" s="109">
        <f t="shared" ref="AB68:AB81" si="22">(0.34848*((750.6+754.1)/2)-0.009*((50.2+52.8)/2)*EXP(0.0612*((21.7+22.6)/2)))/(273.15+((21.7+22.6)/2))</f>
        <v>0.88175078498022075</v>
      </c>
      <c r="AC68" s="198" t="s">
        <v>282</v>
      </c>
    </row>
    <row r="69" spans="2:29" ht="30" customHeight="1" x14ac:dyDescent="0.25">
      <c r="B69" s="170" t="s">
        <v>145</v>
      </c>
      <c r="C69" s="160">
        <f t="shared" si="16"/>
        <v>0</v>
      </c>
      <c r="D69" s="135">
        <f t="shared" si="17"/>
        <v>0</v>
      </c>
      <c r="E69" s="136">
        <f t="shared" si="18"/>
        <v>0</v>
      </c>
      <c r="F69" s="672"/>
      <c r="G69" s="137">
        <v>200</v>
      </c>
      <c r="H69" s="138">
        <f t="shared" si="19"/>
        <v>0</v>
      </c>
      <c r="I69" s="136">
        <f t="shared" si="20"/>
        <v>0</v>
      </c>
      <c r="J69" s="139">
        <f t="shared" si="21"/>
        <v>0</v>
      </c>
      <c r="M69" s="756"/>
      <c r="N69" s="254" t="s">
        <v>285</v>
      </c>
      <c r="O69" s="185" t="s">
        <v>210</v>
      </c>
      <c r="P69" s="185" t="s">
        <v>280</v>
      </c>
      <c r="Q69" s="185" t="s">
        <v>281</v>
      </c>
      <c r="R69" s="185" t="s">
        <v>257</v>
      </c>
      <c r="S69" s="89">
        <v>4788</v>
      </c>
      <c r="T69" s="107">
        <v>44509</v>
      </c>
      <c r="U69" s="185">
        <v>5</v>
      </c>
      <c r="V69" s="89">
        <v>7.0000000000000007E-2</v>
      </c>
      <c r="W69" s="89">
        <v>7.0000000000000007E-2</v>
      </c>
      <c r="X69" s="545">
        <f t="shared" si="0"/>
        <v>0</v>
      </c>
      <c r="Y69" s="110">
        <v>5.2999999999999999E-2</v>
      </c>
      <c r="Z69" s="108">
        <v>7840</v>
      </c>
      <c r="AA69" s="89">
        <v>140</v>
      </c>
      <c r="AB69" s="109">
        <f t="shared" si="22"/>
        <v>0.88175078498022075</v>
      </c>
      <c r="AC69" s="198" t="s">
        <v>282</v>
      </c>
    </row>
    <row r="70" spans="2:29" ht="30" customHeight="1" x14ac:dyDescent="0.25">
      <c r="B70" s="171" t="s">
        <v>147</v>
      </c>
      <c r="C70" s="160">
        <f t="shared" si="16"/>
        <v>0</v>
      </c>
      <c r="D70" s="135">
        <f t="shared" si="17"/>
        <v>0</v>
      </c>
      <c r="E70" s="136">
        <f t="shared" si="18"/>
        <v>0</v>
      </c>
      <c r="F70" s="672"/>
      <c r="G70" s="137">
        <v>200</v>
      </c>
      <c r="H70" s="138">
        <f t="shared" si="19"/>
        <v>0</v>
      </c>
      <c r="I70" s="136">
        <f t="shared" si="20"/>
        <v>0</v>
      </c>
      <c r="J70" s="139">
        <f t="shared" si="21"/>
        <v>0</v>
      </c>
      <c r="M70" s="756"/>
      <c r="N70" s="254" t="s">
        <v>286</v>
      </c>
      <c r="O70" s="185" t="s">
        <v>210</v>
      </c>
      <c r="P70" s="185" t="s">
        <v>280</v>
      </c>
      <c r="Q70" s="185" t="s">
        <v>281</v>
      </c>
      <c r="R70" s="185" t="s">
        <v>257</v>
      </c>
      <c r="S70" s="89">
        <v>4788</v>
      </c>
      <c r="T70" s="107">
        <v>44509</v>
      </c>
      <c r="U70" s="185">
        <v>10</v>
      </c>
      <c r="V70" s="89">
        <v>0.09</v>
      </c>
      <c r="W70" s="89">
        <v>0.08</v>
      </c>
      <c r="X70" s="545">
        <f t="shared" si="0"/>
        <v>5.7735026918962554E-3</v>
      </c>
      <c r="Y70" s="89">
        <v>0.06</v>
      </c>
      <c r="Z70" s="108">
        <v>7840</v>
      </c>
      <c r="AA70" s="89">
        <v>140</v>
      </c>
      <c r="AB70" s="109">
        <f t="shared" si="22"/>
        <v>0.88175078498022075</v>
      </c>
      <c r="AC70" s="198" t="s">
        <v>282</v>
      </c>
    </row>
    <row r="71" spans="2:29" ht="30" customHeight="1" x14ac:dyDescent="0.25">
      <c r="B71" s="170" t="s">
        <v>148</v>
      </c>
      <c r="C71" s="160">
        <f t="shared" si="16"/>
        <v>0</v>
      </c>
      <c r="D71" s="135">
        <f t="shared" si="17"/>
        <v>0</v>
      </c>
      <c r="E71" s="136">
        <f t="shared" si="18"/>
        <v>0</v>
      </c>
      <c r="F71" s="672"/>
      <c r="G71" s="137">
        <v>500</v>
      </c>
      <c r="H71" s="138">
        <f t="shared" si="19"/>
        <v>0</v>
      </c>
      <c r="I71" s="136">
        <f t="shared" si="20"/>
        <v>0</v>
      </c>
      <c r="J71" s="139">
        <f t="shared" si="21"/>
        <v>0</v>
      </c>
      <c r="M71" s="756"/>
      <c r="N71" s="254" t="s">
        <v>287</v>
      </c>
      <c r="O71" s="185" t="s">
        <v>210</v>
      </c>
      <c r="P71" s="185" t="s">
        <v>280</v>
      </c>
      <c r="Q71" s="185" t="s">
        <v>281</v>
      </c>
      <c r="R71" s="185" t="s">
        <v>257</v>
      </c>
      <c r="S71" s="89">
        <v>4788</v>
      </c>
      <c r="T71" s="107">
        <v>44509</v>
      </c>
      <c r="U71" s="185">
        <v>20</v>
      </c>
      <c r="V71" s="89">
        <v>0.11</v>
      </c>
      <c r="W71" s="89">
        <v>0.11</v>
      </c>
      <c r="X71" s="545">
        <f t="shared" si="0"/>
        <v>0</v>
      </c>
      <c r="Y71" s="110">
        <v>8.3000000000000004E-2</v>
      </c>
      <c r="Z71" s="108">
        <v>7840</v>
      </c>
      <c r="AA71" s="89">
        <v>140</v>
      </c>
      <c r="AB71" s="109">
        <f t="shared" si="22"/>
        <v>0.88175078498022075</v>
      </c>
      <c r="AC71" s="198" t="s">
        <v>282</v>
      </c>
    </row>
    <row r="72" spans="2:29" ht="30" customHeight="1" x14ac:dyDescent="0.25">
      <c r="B72" s="172" t="s">
        <v>150</v>
      </c>
      <c r="C72" s="160">
        <f t="shared" si="16"/>
        <v>0</v>
      </c>
      <c r="D72" s="135">
        <f t="shared" si="17"/>
        <v>0</v>
      </c>
      <c r="E72" s="136">
        <f t="shared" si="18"/>
        <v>0</v>
      </c>
      <c r="F72" s="672"/>
      <c r="G72" s="137" t="s">
        <v>288</v>
      </c>
      <c r="H72" s="138">
        <f t="shared" si="19"/>
        <v>0</v>
      </c>
      <c r="I72" s="136">
        <f t="shared" si="20"/>
        <v>0</v>
      </c>
      <c r="J72" s="139">
        <f t="shared" si="21"/>
        <v>0</v>
      </c>
      <c r="M72" s="756"/>
      <c r="N72" s="187" t="s">
        <v>289</v>
      </c>
      <c r="O72" s="185" t="s">
        <v>210</v>
      </c>
      <c r="P72" s="185" t="s">
        <v>280</v>
      </c>
      <c r="Q72" s="185" t="s">
        <v>281</v>
      </c>
      <c r="R72" s="185" t="s">
        <v>284</v>
      </c>
      <c r="S72" s="89">
        <v>4788</v>
      </c>
      <c r="T72" s="107">
        <v>44509</v>
      </c>
      <c r="U72" s="185">
        <v>20</v>
      </c>
      <c r="V72" s="110">
        <v>0.1</v>
      </c>
      <c r="W72" s="110">
        <v>0.1</v>
      </c>
      <c r="X72" s="545">
        <f t="shared" si="0"/>
        <v>0</v>
      </c>
      <c r="Y72" s="110">
        <v>8.3000000000000004E-2</v>
      </c>
      <c r="Z72" s="108">
        <v>7840</v>
      </c>
      <c r="AA72" s="89">
        <v>140</v>
      </c>
      <c r="AB72" s="109">
        <f t="shared" si="22"/>
        <v>0.88175078498022075</v>
      </c>
      <c r="AC72" s="198" t="s">
        <v>282</v>
      </c>
    </row>
    <row r="73" spans="2:29" ht="30" customHeight="1" x14ac:dyDescent="0.25">
      <c r="B73" s="173" t="s">
        <v>152</v>
      </c>
      <c r="C73" s="160">
        <f t="shared" si="16"/>
        <v>0</v>
      </c>
      <c r="D73" s="135">
        <f t="shared" si="17"/>
        <v>0</v>
      </c>
      <c r="E73" s="136">
        <f t="shared" si="18"/>
        <v>0</v>
      </c>
      <c r="F73" s="672"/>
      <c r="G73" s="137" t="s">
        <v>290</v>
      </c>
      <c r="H73" s="138">
        <f t="shared" si="19"/>
        <v>0</v>
      </c>
      <c r="I73" s="136">
        <f t="shared" si="20"/>
        <v>0</v>
      </c>
      <c r="J73" s="139">
        <f t="shared" si="21"/>
        <v>0</v>
      </c>
      <c r="M73" s="756"/>
      <c r="N73" s="254" t="s">
        <v>291</v>
      </c>
      <c r="O73" s="185" t="s">
        <v>210</v>
      </c>
      <c r="P73" s="185" t="s">
        <v>280</v>
      </c>
      <c r="Q73" s="185" t="s">
        <v>281</v>
      </c>
      <c r="R73" s="185" t="s">
        <v>257</v>
      </c>
      <c r="S73" s="89">
        <v>4788</v>
      </c>
      <c r="T73" s="107">
        <v>44509</v>
      </c>
      <c r="U73" s="185">
        <v>50</v>
      </c>
      <c r="V73" s="110">
        <v>0.1</v>
      </c>
      <c r="W73" s="89">
        <v>0.08</v>
      </c>
      <c r="X73" s="545">
        <f t="shared" ref="X73:X105" si="23">ABS((W73-V73))/SQRT(3)</f>
        <v>1.1547005383792518E-2</v>
      </c>
      <c r="Y73" s="110">
        <v>0.1</v>
      </c>
      <c r="Z73" s="108">
        <v>7840</v>
      </c>
      <c r="AA73" s="89">
        <v>140</v>
      </c>
      <c r="AB73" s="109">
        <f t="shared" si="22"/>
        <v>0.88175078498022075</v>
      </c>
      <c r="AC73" s="198" t="s">
        <v>282</v>
      </c>
    </row>
    <row r="74" spans="2:29" ht="30" customHeight="1" x14ac:dyDescent="0.25">
      <c r="B74" s="174" t="s">
        <v>154</v>
      </c>
      <c r="C74" s="160">
        <f t="shared" si="16"/>
        <v>0</v>
      </c>
      <c r="D74" s="135">
        <f t="shared" si="17"/>
        <v>0</v>
      </c>
      <c r="E74" s="136">
        <f t="shared" si="18"/>
        <v>0</v>
      </c>
      <c r="F74" s="672"/>
      <c r="G74" s="137" t="s">
        <v>290</v>
      </c>
      <c r="H74" s="138">
        <f t="shared" si="19"/>
        <v>0</v>
      </c>
      <c r="I74" s="136">
        <f t="shared" si="20"/>
        <v>0</v>
      </c>
      <c r="J74" s="139">
        <f t="shared" si="21"/>
        <v>0</v>
      </c>
      <c r="M74" s="756"/>
      <c r="N74" s="254" t="s">
        <v>292</v>
      </c>
      <c r="O74" s="185" t="s">
        <v>210</v>
      </c>
      <c r="P74" s="185" t="s">
        <v>280</v>
      </c>
      <c r="Q74" s="185" t="s">
        <v>281</v>
      </c>
      <c r="R74" s="185" t="s">
        <v>257</v>
      </c>
      <c r="S74" s="89">
        <v>4788</v>
      </c>
      <c r="T74" s="107">
        <v>44509</v>
      </c>
      <c r="U74" s="185">
        <v>100</v>
      </c>
      <c r="V74" s="89">
        <v>0.12</v>
      </c>
      <c r="W74" s="89">
        <v>0.11</v>
      </c>
      <c r="X74" s="545">
        <f t="shared" si="23"/>
        <v>5.7735026918962554E-3</v>
      </c>
      <c r="Y74" s="89">
        <v>0.16</v>
      </c>
      <c r="Z74" s="108">
        <v>7840</v>
      </c>
      <c r="AA74" s="89">
        <v>140</v>
      </c>
      <c r="AB74" s="109">
        <f t="shared" si="22"/>
        <v>0.88175078498022075</v>
      </c>
      <c r="AC74" s="198" t="s">
        <v>282</v>
      </c>
    </row>
    <row r="75" spans="2:29" ht="30" customHeight="1" x14ac:dyDescent="0.25">
      <c r="B75" s="175" t="s">
        <v>155</v>
      </c>
      <c r="C75" s="160">
        <f t="shared" si="16"/>
        <v>0</v>
      </c>
      <c r="D75" s="135">
        <f t="shared" si="17"/>
        <v>0</v>
      </c>
      <c r="E75" s="136">
        <f t="shared" si="18"/>
        <v>0</v>
      </c>
      <c r="F75" s="672"/>
      <c r="G75" s="137" t="s">
        <v>293</v>
      </c>
      <c r="H75" s="138">
        <f t="shared" si="19"/>
        <v>0</v>
      </c>
      <c r="I75" s="136">
        <f t="shared" si="20"/>
        <v>0</v>
      </c>
      <c r="J75" s="139">
        <f t="shared" si="21"/>
        <v>0</v>
      </c>
      <c r="M75" s="756"/>
      <c r="N75" s="254" t="s">
        <v>294</v>
      </c>
      <c r="O75" s="185" t="s">
        <v>210</v>
      </c>
      <c r="P75" s="185" t="s">
        <v>280</v>
      </c>
      <c r="Q75" s="185" t="s">
        <v>281</v>
      </c>
      <c r="R75" s="185" t="s">
        <v>257</v>
      </c>
      <c r="S75" s="89">
        <v>4788</v>
      </c>
      <c r="T75" s="107">
        <v>44509</v>
      </c>
      <c r="U75" s="185">
        <v>200</v>
      </c>
      <c r="V75" s="89">
        <v>0.3</v>
      </c>
      <c r="W75" s="89">
        <v>0.3</v>
      </c>
      <c r="X75" s="545">
        <f t="shared" si="23"/>
        <v>0</v>
      </c>
      <c r="Y75" s="89">
        <v>0.33</v>
      </c>
      <c r="Z75" s="108">
        <v>7840</v>
      </c>
      <c r="AA75" s="89">
        <v>140</v>
      </c>
      <c r="AB75" s="109">
        <f t="shared" si="22"/>
        <v>0.88175078498022075</v>
      </c>
      <c r="AC75" s="198" t="s">
        <v>282</v>
      </c>
    </row>
    <row r="76" spans="2:29" ht="30" customHeight="1" x14ac:dyDescent="0.25">
      <c r="B76" s="176" t="s">
        <v>157</v>
      </c>
      <c r="C76" s="160">
        <f t="shared" si="16"/>
        <v>0</v>
      </c>
      <c r="D76" s="135">
        <f t="shared" si="17"/>
        <v>0</v>
      </c>
      <c r="E76" s="136">
        <f t="shared" si="18"/>
        <v>0</v>
      </c>
      <c r="F76" s="672"/>
      <c r="G76" s="137" t="s">
        <v>295</v>
      </c>
      <c r="H76" s="138">
        <f t="shared" si="19"/>
        <v>0</v>
      </c>
      <c r="I76" s="136">
        <f t="shared" si="20"/>
        <v>0</v>
      </c>
      <c r="J76" s="139">
        <f t="shared" si="21"/>
        <v>0</v>
      </c>
      <c r="M76" s="756"/>
      <c r="N76" s="187" t="s">
        <v>296</v>
      </c>
      <c r="O76" s="185" t="s">
        <v>210</v>
      </c>
      <c r="P76" s="185" t="s">
        <v>280</v>
      </c>
      <c r="Q76" s="185" t="s">
        <v>281</v>
      </c>
      <c r="R76" s="185" t="s">
        <v>284</v>
      </c>
      <c r="S76" s="89">
        <v>4788</v>
      </c>
      <c r="T76" s="107">
        <v>44509</v>
      </c>
      <c r="U76" s="185">
        <v>200</v>
      </c>
      <c r="V76" s="89">
        <v>0.4</v>
      </c>
      <c r="W76" s="89">
        <v>0.3</v>
      </c>
      <c r="X76" s="545">
        <f t="shared" si="23"/>
        <v>5.7735026918962602E-2</v>
      </c>
      <c r="Y76" s="89">
        <v>0.33</v>
      </c>
      <c r="Z76" s="108">
        <v>7840</v>
      </c>
      <c r="AA76" s="89">
        <v>140</v>
      </c>
      <c r="AB76" s="109">
        <f t="shared" si="22"/>
        <v>0.88175078498022075</v>
      </c>
      <c r="AC76" s="198" t="s">
        <v>282</v>
      </c>
    </row>
    <row r="77" spans="2:29" ht="30" customHeight="1" x14ac:dyDescent="0.25">
      <c r="B77" s="177"/>
      <c r="C77" s="160">
        <f t="shared" si="16"/>
        <v>0</v>
      </c>
      <c r="D77" s="135">
        <f t="shared" si="17"/>
        <v>0</v>
      </c>
      <c r="E77" s="136">
        <f t="shared" si="18"/>
        <v>0</v>
      </c>
      <c r="F77" s="672"/>
      <c r="G77" s="137" t="s">
        <v>293</v>
      </c>
      <c r="H77" s="138">
        <f t="shared" si="19"/>
        <v>0</v>
      </c>
      <c r="I77" s="136">
        <f t="shared" si="20"/>
        <v>0</v>
      </c>
      <c r="J77" s="139">
        <f t="shared" si="21"/>
        <v>0</v>
      </c>
      <c r="M77" s="756"/>
      <c r="N77" s="254" t="s">
        <v>297</v>
      </c>
      <c r="O77" s="185" t="s">
        <v>210</v>
      </c>
      <c r="P77" s="185" t="s">
        <v>280</v>
      </c>
      <c r="Q77" s="185" t="s">
        <v>281</v>
      </c>
      <c r="R77" s="185" t="s">
        <v>257</v>
      </c>
      <c r="S77" s="89">
        <v>4788</v>
      </c>
      <c r="T77" s="107">
        <v>44509</v>
      </c>
      <c r="U77" s="185">
        <v>500</v>
      </c>
      <c r="V77" s="89">
        <v>0.9</v>
      </c>
      <c r="W77" s="89">
        <v>0.8</v>
      </c>
      <c r="X77" s="545">
        <f t="shared" si="23"/>
        <v>5.7735026918962568E-2</v>
      </c>
      <c r="Y77" s="89">
        <v>0.83</v>
      </c>
      <c r="Z77" s="108">
        <v>7840</v>
      </c>
      <c r="AA77" s="89">
        <v>140</v>
      </c>
      <c r="AB77" s="109">
        <f t="shared" si="22"/>
        <v>0.88175078498022075</v>
      </c>
      <c r="AC77" s="198" t="s">
        <v>282</v>
      </c>
    </row>
    <row r="78" spans="2:29" ht="30" customHeight="1" x14ac:dyDescent="0.25">
      <c r="B78" s="178"/>
      <c r="C78" s="160">
        <f t="shared" si="16"/>
        <v>0</v>
      </c>
      <c r="D78" s="135">
        <f t="shared" si="17"/>
        <v>0</v>
      </c>
      <c r="E78" s="136">
        <f t="shared" si="18"/>
        <v>0</v>
      </c>
      <c r="F78" s="672"/>
      <c r="G78" s="137" t="s">
        <v>295</v>
      </c>
      <c r="H78" s="138">
        <f t="shared" si="19"/>
        <v>0</v>
      </c>
      <c r="I78" s="136">
        <f t="shared" si="20"/>
        <v>0</v>
      </c>
      <c r="J78" s="139">
        <f t="shared" si="21"/>
        <v>0</v>
      </c>
      <c r="M78" s="756"/>
      <c r="N78" s="254" t="s">
        <v>298</v>
      </c>
      <c r="O78" s="185" t="s">
        <v>210</v>
      </c>
      <c r="P78" s="185" t="s">
        <v>280</v>
      </c>
      <c r="Q78" s="185" t="s">
        <v>281</v>
      </c>
      <c r="R78" s="185" t="s">
        <v>257</v>
      </c>
      <c r="S78" s="89">
        <v>4788</v>
      </c>
      <c r="T78" s="107">
        <v>44509</v>
      </c>
      <c r="U78" s="185">
        <v>1000</v>
      </c>
      <c r="V78" s="89">
        <v>-0.5</v>
      </c>
      <c r="W78" s="89">
        <v>-0.6</v>
      </c>
      <c r="X78" s="545">
        <f t="shared" si="23"/>
        <v>5.7735026918962568E-2</v>
      </c>
      <c r="Y78" s="89">
        <v>1.6</v>
      </c>
      <c r="Z78" s="108">
        <v>7840</v>
      </c>
      <c r="AA78" s="89">
        <v>140</v>
      </c>
      <c r="AB78" s="109">
        <f t="shared" si="22"/>
        <v>0.88175078498022075</v>
      </c>
      <c r="AC78" s="198" t="s">
        <v>282</v>
      </c>
    </row>
    <row r="79" spans="2:29" ht="30" customHeight="1" thickBot="1" x14ac:dyDescent="0.3">
      <c r="B79" s="605" t="s">
        <v>419</v>
      </c>
      <c r="C79" s="179">
        <f t="shared" si="16"/>
        <v>0</v>
      </c>
      <c r="D79" s="180">
        <f t="shared" si="17"/>
        <v>0</v>
      </c>
      <c r="E79" s="181">
        <f t="shared" si="18"/>
        <v>0</v>
      </c>
      <c r="F79" s="673"/>
      <c r="G79" s="182" t="s">
        <v>299</v>
      </c>
      <c r="H79" s="183">
        <f t="shared" si="19"/>
        <v>0</v>
      </c>
      <c r="I79" s="181">
        <f t="shared" si="20"/>
        <v>0</v>
      </c>
      <c r="J79" s="184">
        <f t="shared" si="21"/>
        <v>0</v>
      </c>
      <c r="M79" s="756"/>
      <c r="N79" s="254" t="s">
        <v>300</v>
      </c>
      <c r="O79" s="185" t="s">
        <v>210</v>
      </c>
      <c r="P79" s="185" t="s">
        <v>280</v>
      </c>
      <c r="Q79" s="185" t="s">
        <v>281</v>
      </c>
      <c r="R79" s="185" t="s">
        <v>257</v>
      </c>
      <c r="S79" s="89">
        <v>4788</v>
      </c>
      <c r="T79" s="107">
        <v>44509</v>
      </c>
      <c r="U79" s="185">
        <v>2000</v>
      </c>
      <c r="V79" s="89">
        <v>3.1</v>
      </c>
      <c r="W79" s="89">
        <v>3.1</v>
      </c>
      <c r="X79" s="545">
        <f t="shared" si="23"/>
        <v>0</v>
      </c>
      <c r="Y79" s="92">
        <v>3</v>
      </c>
      <c r="Z79" s="108">
        <v>7840</v>
      </c>
      <c r="AA79" s="89">
        <v>140</v>
      </c>
      <c r="AB79" s="109">
        <f t="shared" si="22"/>
        <v>0.88175078498022075</v>
      </c>
      <c r="AC79" s="198" t="s">
        <v>282</v>
      </c>
    </row>
    <row r="80" spans="2:29" ht="69" customHeight="1" thickBot="1" x14ac:dyDescent="0.3">
      <c r="B80" s="159" t="s">
        <v>301</v>
      </c>
      <c r="C80" s="140">
        <f>COUNTA(F48:F79)</f>
        <v>0</v>
      </c>
      <c r="M80" s="756"/>
      <c r="N80" s="187" t="s">
        <v>302</v>
      </c>
      <c r="O80" s="185" t="s">
        <v>210</v>
      </c>
      <c r="P80" s="185" t="s">
        <v>280</v>
      </c>
      <c r="Q80" s="185" t="s">
        <v>281</v>
      </c>
      <c r="R80" s="185" t="s">
        <v>284</v>
      </c>
      <c r="S80" s="89">
        <v>4788</v>
      </c>
      <c r="T80" s="107">
        <v>44509</v>
      </c>
      <c r="U80" s="185">
        <v>2000</v>
      </c>
      <c r="V80" s="89">
        <v>3.2</v>
      </c>
      <c r="W80" s="89">
        <v>3.2</v>
      </c>
      <c r="X80" s="545">
        <f t="shared" si="23"/>
        <v>0</v>
      </c>
      <c r="Y80" s="92">
        <v>3</v>
      </c>
      <c r="Z80" s="108">
        <v>7840</v>
      </c>
      <c r="AA80" s="89">
        <v>140</v>
      </c>
      <c r="AB80" s="109">
        <f t="shared" si="22"/>
        <v>0.88175078498022075</v>
      </c>
      <c r="AC80" s="198" t="s">
        <v>282</v>
      </c>
    </row>
    <row r="81" spans="2:29" ht="30" customHeight="1" thickBot="1" x14ac:dyDescent="0.3">
      <c r="M81" s="757"/>
      <c r="N81" s="255" t="s">
        <v>303</v>
      </c>
      <c r="O81" s="192" t="s">
        <v>210</v>
      </c>
      <c r="P81" s="192" t="s">
        <v>280</v>
      </c>
      <c r="Q81" s="192" t="s">
        <v>281</v>
      </c>
      <c r="R81" s="192" t="s">
        <v>257</v>
      </c>
      <c r="S81" s="149">
        <v>4788</v>
      </c>
      <c r="T81" s="258">
        <v>44509</v>
      </c>
      <c r="U81" s="192">
        <v>5000</v>
      </c>
      <c r="V81" s="149">
        <v>7.9</v>
      </c>
      <c r="W81" s="149">
        <v>7.8</v>
      </c>
      <c r="X81" s="546">
        <f t="shared" si="23"/>
        <v>5.7735026918962887E-2</v>
      </c>
      <c r="Y81" s="155">
        <v>8</v>
      </c>
      <c r="Z81" s="149">
        <v>7840</v>
      </c>
      <c r="AA81" s="149">
        <v>140</v>
      </c>
      <c r="AB81" s="260">
        <f t="shared" si="22"/>
        <v>0.88175078498022075</v>
      </c>
      <c r="AC81" s="193" t="s">
        <v>282</v>
      </c>
    </row>
    <row r="82" spans="2:29" ht="30" customHeight="1" x14ac:dyDescent="0.25">
      <c r="M82" s="749"/>
      <c r="N82" s="186" t="s">
        <v>5</v>
      </c>
      <c r="O82" s="188" t="s">
        <v>226</v>
      </c>
      <c r="P82" s="188" t="s">
        <v>211</v>
      </c>
      <c r="Q82" s="188">
        <v>11119515</v>
      </c>
      <c r="R82" s="188" t="s">
        <v>257</v>
      </c>
      <c r="S82" s="82">
        <v>5701</v>
      </c>
      <c r="T82" s="104">
        <v>44559</v>
      </c>
      <c r="U82" s="188">
        <v>1</v>
      </c>
      <c r="V82" s="82">
        <v>5.0000000000000001E-3</v>
      </c>
      <c r="W82" s="82">
        <v>5.0000000000000001E-3</v>
      </c>
      <c r="X82" s="544">
        <f t="shared" si="23"/>
        <v>0</v>
      </c>
      <c r="Y82" s="85">
        <v>6.0000000000000001E-3</v>
      </c>
      <c r="Z82" s="111">
        <v>7950</v>
      </c>
      <c r="AA82" s="82">
        <v>140</v>
      </c>
      <c r="AB82" s="109">
        <f t="shared" ref="AB82:AB93" si="24">(0.34848*((750.7+753.7)/2)-0.009*((50.2+54.2)/2)*EXP(0.0612*((21.9+23.1)/2)))/(273.15+((21.9+23.1)/2))</f>
        <v>0.88031402349675059</v>
      </c>
      <c r="AC82" s="194" t="s">
        <v>215</v>
      </c>
    </row>
    <row r="83" spans="2:29" ht="30" customHeight="1" x14ac:dyDescent="0.25">
      <c r="M83" s="750"/>
      <c r="N83" s="187" t="s">
        <v>104</v>
      </c>
      <c r="O83" s="185" t="s">
        <v>226</v>
      </c>
      <c r="P83" s="185" t="s">
        <v>211</v>
      </c>
      <c r="Q83" s="185">
        <v>11119515</v>
      </c>
      <c r="R83" s="185" t="s">
        <v>257</v>
      </c>
      <c r="S83" s="89">
        <v>5701</v>
      </c>
      <c r="T83" s="107">
        <v>44559</v>
      </c>
      <c r="U83" s="185">
        <v>2</v>
      </c>
      <c r="V83" s="89">
        <v>7.0000000000000001E-3</v>
      </c>
      <c r="W83" s="89">
        <v>7.0000000000000001E-3</v>
      </c>
      <c r="X83" s="545">
        <f t="shared" si="23"/>
        <v>0</v>
      </c>
      <c r="Y83" s="93">
        <v>6.0000000000000001E-3</v>
      </c>
      <c r="Z83" s="97">
        <v>7950</v>
      </c>
      <c r="AA83" s="89">
        <v>140</v>
      </c>
      <c r="AB83" s="109">
        <f t="shared" si="24"/>
        <v>0.88031402349675059</v>
      </c>
      <c r="AC83" s="198" t="s">
        <v>215</v>
      </c>
    </row>
    <row r="84" spans="2:29" ht="30" customHeight="1" x14ac:dyDescent="0.25">
      <c r="M84" s="750"/>
      <c r="N84" s="187" t="s">
        <v>106</v>
      </c>
      <c r="O84" s="185" t="s">
        <v>226</v>
      </c>
      <c r="P84" s="185" t="s">
        <v>211</v>
      </c>
      <c r="Q84" s="185">
        <v>11119515</v>
      </c>
      <c r="R84" s="185" t="s">
        <v>304</v>
      </c>
      <c r="S84" s="89">
        <v>5701</v>
      </c>
      <c r="T84" s="107">
        <v>44559</v>
      </c>
      <c r="U84" s="185">
        <v>2</v>
      </c>
      <c r="V84" s="89">
        <v>6.0000000000000001E-3</v>
      </c>
      <c r="W84" s="89">
        <v>6.0000000000000001E-3</v>
      </c>
      <c r="X84" s="545">
        <f t="shared" si="23"/>
        <v>0</v>
      </c>
      <c r="Y84" s="93">
        <v>6.0000000000000001E-3</v>
      </c>
      <c r="Z84" s="97">
        <v>7950</v>
      </c>
      <c r="AA84" s="89">
        <v>140</v>
      </c>
      <c r="AB84" s="109">
        <f t="shared" si="24"/>
        <v>0.88031402349675059</v>
      </c>
      <c r="AC84" s="198" t="s">
        <v>215</v>
      </c>
    </row>
    <row r="85" spans="2:29" ht="30" customHeight="1" x14ac:dyDescent="0.25">
      <c r="M85" s="750"/>
      <c r="N85" s="187" t="s">
        <v>108</v>
      </c>
      <c r="O85" s="185" t="s">
        <v>226</v>
      </c>
      <c r="P85" s="185" t="s">
        <v>211</v>
      </c>
      <c r="Q85" s="185">
        <v>11119515</v>
      </c>
      <c r="R85" s="185" t="s">
        <v>257</v>
      </c>
      <c r="S85" s="89">
        <v>5701</v>
      </c>
      <c r="T85" s="107">
        <v>44559</v>
      </c>
      <c r="U85" s="185">
        <v>5</v>
      </c>
      <c r="V85" s="89">
        <v>3.0000000000000001E-3</v>
      </c>
      <c r="W85" s="89">
        <v>3.0000000000000001E-3</v>
      </c>
      <c r="X85" s="545">
        <f t="shared" si="23"/>
        <v>0</v>
      </c>
      <c r="Y85" s="93">
        <v>6.0000000000000001E-3</v>
      </c>
      <c r="Z85" s="97">
        <v>7950</v>
      </c>
      <c r="AA85" s="89">
        <v>140</v>
      </c>
      <c r="AB85" s="109">
        <f t="shared" si="24"/>
        <v>0.88031402349675059</v>
      </c>
      <c r="AC85" s="198" t="s">
        <v>215</v>
      </c>
    </row>
    <row r="86" spans="2:29" ht="30" customHeight="1" x14ac:dyDescent="0.25">
      <c r="M86" s="750"/>
      <c r="N86" s="187" t="s">
        <v>110</v>
      </c>
      <c r="O86" s="185" t="s">
        <v>226</v>
      </c>
      <c r="P86" s="185" t="s">
        <v>211</v>
      </c>
      <c r="Q86" s="185">
        <v>11119515</v>
      </c>
      <c r="R86" s="185" t="s">
        <v>257</v>
      </c>
      <c r="S86" s="89">
        <v>5701</v>
      </c>
      <c r="T86" s="107">
        <v>44559</v>
      </c>
      <c r="U86" s="185">
        <v>10</v>
      </c>
      <c r="V86" s="89">
        <v>4.0000000000000001E-3</v>
      </c>
      <c r="W86" s="89">
        <v>4.0000000000000001E-3</v>
      </c>
      <c r="X86" s="545">
        <f t="shared" si="23"/>
        <v>0</v>
      </c>
      <c r="Y86" s="93">
        <v>8.0000000000000002E-3</v>
      </c>
      <c r="Z86" s="97">
        <v>7950</v>
      </c>
      <c r="AA86" s="89">
        <v>140</v>
      </c>
      <c r="AB86" s="109">
        <f t="shared" si="24"/>
        <v>0.88031402349675059</v>
      </c>
      <c r="AC86" s="198" t="s">
        <v>215</v>
      </c>
    </row>
    <row r="87" spans="2:29" ht="30" customHeight="1" thickBot="1" x14ac:dyDescent="0.3">
      <c r="M87" s="750"/>
      <c r="N87" s="187" t="s">
        <v>305</v>
      </c>
      <c r="O87" s="185" t="s">
        <v>226</v>
      </c>
      <c r="P87" s="185" t="s">
        <v>211</v>
      </c>
      <c r="Q87" s="185">
        <v>11119515</v>
      </c>
      <c r="R87" s="185" t="s">
        <v>257</v>
      </c>
      <c r="S87" s="89">
        <v>5701</v>
      </c>
      <c r="T87" s="107">
        <v>44559</v>
      </c>
      <c r="U87" s="185">
        <v>20</v>
      </c>
      <c r="V87" s="89">
        <v>8.9999999999999993E-3</v>
      </c>
      <c r="W87" s="89">
        <v>8.9999999999999993E-3</v>
      </c>
      <c r="X87" s="545">
        <f t="shared" si="23"/>
        <v>0</v>
      </c>
      <c r="Y87" s="93">
        <v>0.01</v>
      </c>
      <c r="Z87" s="97">
        <v>7950</v>
      </c>
      <c r="AA87" s="89">
        <v>140</v>
      </c>
      <c r="AB87" s="109">
        <f t="shared" si="24"/>
        <v>0.88031402349675059</v>
      </c>
      <c r="AC87" s="198" t="s">
        <v>215</v>
      </c>
    </row>
    <row r="88" spans="2:29" ht="30" customHeight="1" x14ac:dyDescent="0.25">
      <c r="B88" s="761" t="s">
        <v>306</v>
      </c>
      <c r="C88" s="762"/>
      <c r="D88" s="763"/>
      <c r="E88" s="761" t="s">
        <v>306</v>
      </c>
      <c r="F88" s="762"/>
      <c r="G88" s="763"/>
      <c r="M88" s="750"/>
      <c r="N88" s="187" t="s">
        <v>113</v>
      </c>
      <c r="O88" s="185" t="s">
        <v>226</v>
      </c>
      <c r="P88" s="185" t="s">
        <v>211</v>
      </c>
      <c r="Q88" s="185">
        <v>11119515</v>
      </c>
      <c r="R88" s="185" t="s">
        <v>304</v>
      </c>
      <c r="S88" s="89">
        <v>5701</v>
      </c>
      <c r="T88" s="107">
        <v>44559</v>
      </c>
      <c r="U88" s="185">
        <v>20</v>
      </c>
      <c r="V88" s="89">
        <v>8.9999999999999993E-3</v>
      </c>
      <c r="W88" s="89">
        <v>8.9999999999999993E-3</v>
      </c>
      <c r="X88" s="545">
        <f t="shared" si="23"/>
        <v>0</v>
      </c>
      <c r="Y88" s="93">
        <v>0.01</v>
      </c>
      <c r="Z88" s="97">
        <v>7950</v>
      </c>
      <c r="AA88" s="89">
        <v>140</v>
      </c>
      <c r="AB88" s="109">
        <f t="shared" si="24"/>
        <v>0.88031402349675059</v>
      </c>
      <c r="AC88" s="198" t="s">
        <v>215</v>
      </c>
    </row>
    <row r="89" spans="2:29" ht="30" customHeight="1" thickBot="1" x14ac:dyDescent="0.3">
      <c r="B89" s="764"/>
      <c r="C89" s="765"/>
      <c r="D89" s="766"/>
      <c r="E89" s="764"/>
      <c r="F89" s="765"/>
      <c r="G89" s="766"/>
      <c r="M89" s="750"/>
      <c r="N89" s="187" t="s">
        <v>117</v>
      </c>
      <c r="O89" s="185" t="s">
        <v>226</v>
      </c>
      <c r="P89" s="185" t="s">
        <v>211</v>
      </c>
      <c r="Q89" s="185">
        <v>11119515</v>
      </c>
      <c r="R89" s="185" t="s">
        <v>257</v>
      </c>
      <c r="S89" s="89">
        <v>5701</v>
      </c>
      <c r="T89" s="107">
        <v>44559</v>
      </c>
      <c r="U89" s="185">
        <v>50</v>
      </c>
      <c r="V89" s="89">
        <v>1.2999999999999999E-2</v>
      </c>
      <c r="W89" s="89">
        <v>1.4E-2</v>
      </c>
      <c r="X89" s="545">
        <f t="shared" si="23"/>
        <v>5.7735026918962634E-4</v>
      </c>
      <c r="Y89" s="93">
        <v>1.2E-2</v>
      </c>
      <c r="Z89" s="97">
        <v>7950</v>
      </c>
      <c r="AA89" s="89">
        <v>140</v>
      </c>
      <c r="AB89" s="109">
        <f t="shared" si="24"/>
        <v>0.88031402349675059</v>
      </c>
      <c r="AC89" s="198" t="s">
        <v>215</v>
      </c>
    </row>
    <row r="90" spans="2:29" ht="30" customHeight="1" thickBot="1" x14ac:dyDescent="0.3">
      <c r="B90" s="767" t="s">
        <v>307</v>
      </c>
      <c r="C90" s="768"/>
      <c r="D90" s="769"/>
      <c r="E90" s="767" t="s">
        <v>308</v>
      </c>
      <c r="F90" s="768"/>
      <c r="G90" s="769"/>
      <c r="M90" s="750"/>
      <c r="N90" s="187" t="s">
        <v>119</v>
      </c>
      <c r="O90" s="185" t="s">
        <v>226</v>
      </c>
      <c r="P90" s="185" t="s">
        <v>211</v>
      </c>
      <c r="Q90" s="185">
        <v>11119515</v>
      </c>
      <c r="R90" s="185" t="s">
        <v>257</v>
      </c>
      <c r="S90" s="89">
        <v>5701</v>
      </c>
      <c r="T90" s="107">
        <v>44559</v>
      </c>
      <c r="U90" s="185">
        <v>100</v>
      </c>
      <c r="V90" s="89">
        <v>-1E-3</v>
      </c>
      <c r="W90" s="89">
        <v>-1E-3</v>
      </c>
      <c r="X90" s="545">
        <f t="shared" si="23"/>
        <v>0</v>
      </c>
      <c r="Y90" s="93">
        <v>1.6E-2</v>
      </c>
      <c r="Z90" s="97">
        <v>7950</v>
      </c>
      <c r="AA90" s="89">
        <v>140</v>
      </c>
      <c r="AB90" s="109">
        <f t="shared" si="24"/>
        <v>0.88031402349675059</v>
      </c>
      <c r="AC90" s="198" t="s">
        <v>215</v>
      </c>
    </row>
    <row r="91" spans="2:29" ht="30" customHeight="1" thickBot="1" x14ac:dyDescent="0.3">
      <c r="B91" s="144"/>
      <c r="C91" s="145"/>
      <c r="D91" s="146"/>
      <c r="E91" s="144"/>
      <c r="F91" s="145"/>
      <c r="G91" s="146"/>
      <c r="M91" s="750"/>
      <c r="N91" s="187" t="s">
        <v>309</v>
      </c>
      <c r="O91" s="185" t="s">
        <v>226</v>
      </c>
      <c r="P91" s="185" t="s">
        <v>211</v>
      </c>
      <c r="Q91" s="185">
        <v>11119515</v>
      </c>
      <c r="R91" s="185" t="s">
        <v>257</v>
      </c>
      <c r="S91" s="89">
        <v>5701</v>
      </c>
      <c r="T91" s="107">
        <v>44559</v>
      </c>
      <c r="U91" s="185">
        <v>200</v>
      </c>
      <c r="V91" s="89">
        <v>-6.0000000000000001E-3</v>
      </c>
      <c r="W91" s="89">
        <v>-6.0000000000000001E-3</v>
      </c>
      <c r="X91" s="545">
        <f t="shared" si="23"/>
        <v>0</v>
      </c>
      <c r="Y91" s="93">
        <v>0.02</v>
      </c>
      <c r="Z91" s="97">
        <v>7950</v>
      </c>
      <c r="AA91" s="89">
        <v>140</v>
      </c>
      <c r="AB91" s="109">
        <f t="shared" si="24"/>
        <v>0.88031402349675059</v>
      </c>
      <c r="AC91" s="198" t="s">
        <v>215</v>
      </c>
    </row>
    <row r="92" spans="2:29" ht="30" customHeight="1" thickBot="1" x14ac:dyDescent="0.3">
      <c r="B92" s="68" t="s">
        <v>310</v>
      </c>
      <c r="C92" s="69" t="s">
        <v>126</v>
      </c>
      <c r="D92" s="70" t="s">
        <v>311</v>
      </c>
      <c r="E92" s="68" t="s">
        <v>310</v>
      </c>
      <c r="F92" s="69" t="s">
        <v>126</v>
      </c>
      <c r="G92" s="70" t="s">
        <v>311</v>
      </c>
      <c r="M92" s="750"/>
      <c r="N92" s="187" t="s">
        <v>121</v>
      </c>
      <c r="O92" s="185" t="s">
        <v>226</v>
      </c>
      <c r="P92" s="185" t="s">
        <v>211</v>
      </c>
      <c r="Q92" s="185">
        <v>11119515</v>
      </c>
      <c r="R92" s="185" t="s">
        <v>304</v>
      </c>
      <c r="S92" s="89">
        <v>5701</v>
      </c>
      <c r="T92" s="107">
        <v>44559</v>
      </c>
      <c r="U92" s="185">
        <v>200</v>
      </c>
      <c r="V92" s="89">
        <v>1.2999999999999999E-2</v>
      </c>
      <c r="W92" s="89">
        <v>2.1000000000000001E-2</v>
      </c>
      <c r="X92" s="545">
        <f t="shared" si="23"/>
        <v>4.6188021535170072E-3</v>
      </c>
      <c r="Y92" s="93">
        <v>0.02</v>
      </c>
      <c r="Z92" s="97">
        <v>7950</v>
      </c>
      <c r="AA92" s="89">
        <v>140</v>
      </c>
      <c r="AB92" s="109">
        <f t="shared" si="24"/>
        <v>0.88031402349675059</v>
      </c>
      <c r="AC92" s="198" t="s">
        <v>215</v>
      </c>
    </row>
    <row r="93" spans="2:29" ht="30" customHeight="1" thickBot="1" x14ac:dyDescent="0.3">
      <c r="B93" s="71">
        <v>1</v>
      </c>
      <c r="C93" s="79">
        <v>0.33</v>
      </c>
      <c r="D93" s="201">
        <v>1</v>
      </c>
      <c r="E93" s="205" t="s">
        <v>3</v>
      </c>
      <c r="F93" s="236">
        <v>6.7000000000000004E-2</v>
      </c>
      <c r="G93" s="213">
        <v>0.2</v>
      </c>
      <c r="M93" s="751"/>
      <c r="N93" s="191" t="s">
        <v>124</v>
      </c>
      <c r="O93" s="192" t="s">
        <v>226</v>
      </c>
      <c r="P93" s="192" t="s">
        <v>211</v>
      </c>
      <c r="Q93" s="192">
        <v>11119515</v>
      </c>
      <c r="R93" s="192" t="s">
        <v>257</v>
      </c>
      <c r="S93" s="149">
        <v>5701</v>
      </c>
      <c r="T93" s="258">
        <v>44559</v>
      </c>
      <c r="U93" s="192">
        <v>500</v>
      </c>
      <c r="V93" s="149">
        <v>1.7999999999999999E-2</v>
      </c>
      <c r="W93" s="149">
        <v>2.1999999999999999E-2</v>
      </c>
      <c r="X93" s="546">
        <f t="shared" si="23"/>
        <v>2.3094010767585032E-3</v>
      </c>
      <c r="Y93" s="241">
        <v>2.5000000000000001E-2</v>
      </c>
      <c r="Z93" s="240">
        <v>7950</v>
      </c>
      <c r="AA93" s="149">
        <v>140</v>
      </c>
      <c r="AB93" s="109">
        <f t="shared" si="24"/>
        <v>0.88031402349675059</v>
      </c>
      <c r="AC93" s="193" t="s">
        <v>215</v>
      </c>
    </row>
    <row r="94" spans="2:29" ht="30" customHeight="1" x14ac:dyDescent="0.25">
      <c r="B94" s="60">
        <v>2</v>
      </c>
      <c r="C94" s="80">
        <v>0.4</v>
      </c>
      <c r="D94" s="204">
        <v>1.2</v>
      </c>
      <c r="E94" s="206" t="s">
        <v>103</v>
      </c>
      <c r="F94" s="237">
        <v>6.7000000000000004E-2</v>
      </c>
      <c r="G94" s="213">
        <v>0.2</v>
      </c>
      <c r="M94" s="750"/>
      <c r="N94" s="186" t="s">
        <v>312</v>
      </c>
      <c r="O94" s="188" t="s">
        <v>226</v>
      </c>
      <c r="P94" s="188" t="s">
        <v>227</v>
      </c>
      <c r="Q94" s="188">
        <v>1913610</v>
      </c>
      <c r="R94" s="188" t="s">
        <v>257</v>
      </c>
      <c r="S94" s="82">
        <v>5630</v>
      </c>
      <c r="T94" s="104">
        <v>44516</v>
      </c>
      <c r="U94" s="188">
        <v>1</v>
      </c>
      <c r="V94" s="82">
        <v>4.8999999999999998E-3</v>
      </c>
      <c r="W94" s="82">
        <v>5.0000000000000001E-3</v>
      </c>
      <c r="X94" s="544">
        <f t="shared" si="23"/>
        <v>5.7735026918962734E-5</v>
      </c>
      <c r="Y94" s="106">
        <v>6.7000000000000002E-3</v>
      </c>
      <c r="Z94" s="111">
        <v>7950</v>
      </c>
      <c r="AA94" s="82">
        <v>140</v>
      </c>
      <c r="AB94" s="525">
        <f>(0.34848*((750.9+752.8)/2)-0.009*((54.2+55.1)/2)*EXP(0.0612*((21.8+22.9)/2)))/(273.15+(21.8+22.9)/2)</f>
        <v>0.88011269298571049</v>
      </c>
      <c r="AC94" s="194" t="s">
        <v>313</v>
      </c>
    </row>
    <row r="95" spans="2:29" ht="30" customHeight="1" x14ac:dyDescent="0.25">
      <c r="B95" s="60">
        <v>2</v>
      </c>
      <c r="C95" s="80">
        <v>0.4</v>
      </c>
      <c r="D95" s="202">
        <v>1.2</v>
      </c>
      <c r="E95" s="206" t="s">
        <v>314</v>
      </c>
      <c r="F95" s="237">
        <v>6.7000000000000004E-2</v>
      </c>
      <c r="G95" s="213">
        <v>0.2</v>
      </c>
      <c r="M95" s="750"/>
      <c r="N95" s="187" t="s">
        <v>315</v>
      </c>
      <c r="O95" s="185" t="s">
        <v>226</v>
      </c>
      <c r="P95" s="185" t="s">
        <v>227</v>
      </c>
      <c r="Q95" s="185">
        <v>1913610</v>
      </c>
      <c r="R95" s="185" t="s">
        <v>257</v>
      </c>
      <c r="S95" s="89">
        <v>5630</v>
      </c>
      <c r="T95" s="107">
        <v>44516</v>
      </c>
      <c r="U95" s="185">
        <v>2</v>
      </c>
      <c r="V95" s="89">
        <v>4.7999999999999996E-3</v>
      </c>
      <c r="W95" s="89">
        <v>3.0000000000000001E-3</v>
      </c>
      <c r="X95" s="545">
        <f t="shared" si="23"/>
        <v>1.0392304845413263E-3</v>
      </c>
      <c r="Y95" s="109">
        <v>6.7000000000000002E-3</v>
      </c>
      <c r="Z95" s="97">
        <v>7950</v>
      </c>
      <c r="AA95" s="89">
        <v>140</v>
      </c>
      <c r="AB95" s="109">
        <f>(0.34848*((750.9+752.8)/2)-0.009*((54.2+55.1)/2)*EXP(0.0612*((21.8+22.9)/2)))/(273.15+(21.8+22.9)/2)</f>
        <v>0.88011269298571049</v>
      </c>
      <c r="AC95" s="198" t="s">
        <v>313</v>
      </c>
    </row>
    <row r="96" spans="2:29" ht="30" customHeight="1" x14ac:dyDescent="0.25">
      <c r="B96" s="60">
        <v>5</v>
      </c>
      <c r="C96" s="80">
        <v>0.53</v>
      </c>
      <c r="D96" s="202">
        <v>1.6</v>
      </c>
      <c r="E96" s="206" t="s">
        <v>107</v>
      </c>
      <c r="F96" s="237">
        <v>6.7000000000000004E-2</v>
      </c>
      <c r="G96" s="213">
        <v>0.2</v>
      </c>
      <c r="M96" s="750"/>
      <c r="N96" s="187" t="s">
        <v>316</v>
      </c>
      <c r="O96" s="185" t="s">
        <v>226</v>
      </c>
      <c r="P96" s="185" t="s">
        <v>227</v>
      </c>
      <c r="Q96" s="185">
        <v>1913610</v>
      </c>
      <c r="R96" s="185" t="s">
        <v>304</v>
      </c>
      <c r="S96" s="89">
        <v>5630</v>
      </c>
      <c r="T96" s="107">
        <v>44516</v>
      </c>
      <c r="U96" s="185">
        <v>2</v>
      </c>
      <c r="V96" s="89">
        <v>2.3E-3</v>
      </c>
      <c r="W96" s="93">
        <v>0</v>
      </c>
      <c r="X96" s="545">
        <f t="shared" si="23"/>
        <v>1.3279056191361394E-3</v>
      </c>
      <c r="Y96" s="109">
        <v>6.7000000000000002E-3</v>
      </c>
      <c r="Z96" s="97">
        <v>7950</v>
      </c>
      <c r="AA96" s="89">
        <v>140</v>
      </c>
      <c r="AB96" s="109">
        <v>0.88011269298571049</v>
      </c>
      <c r="AC96" s="198" t="s">
        <v>313</v>
      </c>
    </row>
    <row r="97" spans="2:29" ht="30" customHeight="1" x14ac:dyDescent="0.25">
      <c r="B97" s="60">
        <v>10</v>
      </c>
      <c r="C97" s="80">
        <v>0.67</v>
      </c>
      <c r="D97" s="202">
        <v>2</v>
      </c>
      <c r="E97" s="206" t="s">
        <v>109</v>
      </c>
      <c r="F97" s="237">
        <v>8.3000000000000004E-2</v>
      </c>
      <c r="G97" s="213">
        <v>0.25</v>
      </c>
      <c r="M97" s="750"/>
      <c r="N97" s="187" t="s">
        <v>317</v>
      </c>
      <c r="O97" s="185" t="s">
        <v>226</v>
      </c>
      <c r="P97" s="185" t="s">
        <v>227</v>
      </c>
      <c r="Q97" s="185">
        <v>1913610</v>
      </c>
      <c r="R97" s="185" t="s">
        <v>257</v>
      </c>
      <c r="S97" s="89">
        <v>5630</v>
      </c>
      <c r="T97" s="107">
        <v>44516</v>
      </c>
      <c r="U97" s="185">
        <v>5</v>
      </c>
      <c r="V97" s="89">
        <v>1.1000000000000001E-3</v>
      </c>
      <c r="W97" s="89">
        <v>-3.0000000000000001E-3</v>
      </c>
      <c r="X97" s="545">
        <f t="shared" si="23"/>
        <v>2.3671361036774661E-3</v>
      </c>
      <c r="Y97" s="109">
        <v>6.7000000000000002E-3</v>
      </c>
      <c r="Z97" s="97">
        <v>7950</v>
      </c>
      <c r="AA97" s="89">
        <v>140</v>
      </c>
      <c r="AB97" s="109">
        <v>0.88011269298571049</v>
      </c>
      <c r="AC97" s="198" t="s">
        <v>313</v>
      </c>
    </row>
    <row r="98" spans="2:29" ht="30" customHeight="1" x14ac:dyDescent="0.25">
      <c r="B98" s="60">
        <v>20</v>
      </c>
      <c r="C98" s="80">
        <v>0.83</v>
      </c>
      <c r="D98" s="202">
        <v>2.5</v>
      </c>
      <c r="E98" s="206" t="s">
        <v>318</v>
      </c>
      <c r="F98" s="215">
        <v>0.1</v>
      </c>
      <c r="G98" s="213">
        <v>0.3</v>
      </c>
      <c r="M98" s="750"/>
      <c r="N98" s="187" t="s">
        <v>319</v>
      </c>
      <c r="O98" s="185" t="s">
        <v>226</v>
      </c>
      <c r="P98" s="185" t="s">
        <v>227</v>
      </c>
      <c r="Q98" s="185">
        <v>1913610</v>
      </c>
      <c r="R98" s="185" t="s">
        <v>257</v>
      </c>
      <c r="S98" s="89">
        <v>5630</v>
      </c>
      <c r="T98" s="107">
        <v>44516</v>
      </c>
      <c r="U98" s="185">
        <v>10</v>
      </c>
      <c r="V98" s="89">
        <v>-4.8999999999999998E-3</v>
      </c>
      <c r="W98" s="89">
        <v>-3.0000000000000001E-3</v>
      </c>
      <c r="X98" s="545">
        <f t="shared" si="23"/>
        <v>1.0969655114602889E-3</v>
      </c>
      <c r="Y98" s="109">
        <v>8.3000000000000001E-3</v>
      </c>
      <c r="Z98" s="97">
        <v>7950</v>
      </c>
      <c r="AA98" s="89">
        <v>140</v>
      </c>
      <c r="AB98" s="109">
        <v>0.88011269298571049</v>
      </c>
      <c r="AC98" s="198" t="s">
        <v>313</v>
      </c>
    </row>
    <row r="99" spans="2:29" ht="30" customHeight="1" x14ac:dyDescent="0.25">
      <c r="B99" s="60">
        <v>20</v>
      </c>
      <c r="C99" s="80">
        <v>0.83</v>
      </c>
      <c r="D99" s="202">
        <v>2.5</v>
      </c>
      <c r="E99" s="206" t="s">
        <v>112</v>
      </c>
      <c r="F99" s="215">
        <v>0.1</v>
      </c>
      <c r="G99" s="213">
        <v>0.3</v>
      </c>
      <c r="M99" s="750"/>
      <c r="N99" s="187" t="s">
        <v>320</v>
      </c>
      <c r="O99" s="185" t="s">
        <v>226</v>
      </c>
      <c r="P99" s="185" t="s">
        <v>227</v>
      </c>
      <c r="Q99" s="185">
        <v>1913610</v>
      </c>
      <c r="R99" s="185" t="s">
        <v>257</v>
      </c>
      <c r="S99" s="89">
        <v>5630</v>
      </c>
      <c r="T99" s="107">
        <v>44516</v>
      </c>
      <c r="U99" s="185">
        <v>20</v>
      </c>
      <c r="V99" s="89">
        <v>-6.0000000000000001E-3</v>
      </c>
      <c r="W99" s="89">
        <v>-5.0000000000000001E-3</v>
      </c>
      <c r="X99" s="545">
        <f t="shared" si="23"/>
        <v>5.773502691896258E-4</v>
      </c>
      <c r="Y99" s="93">
        <v>0.01</v>
      </c>
      <c r="Z99" s="97">
        <v>7950</v>
      </c>
      <c r="AA99" s="89">
        <v>140</v>
      </c>
      <c r="AB99" s="109">
        <v>0.88011269298571049</v>
      </c>
      <c r="AC99" s="198" t="s">
        <v>313</v>
      </c>
    </row>
    <row r="100" spans="2:29" ht="30" customHeight="1" x14ac:dyDescent="0.25">
      <c r="B100" s="60">
        <v>50</v>
      </c>
      <c r="C100" s="61">
        <v>1</v>
      </c>
      <c r="D100" s="202">
        <v>3</v>
      </c>
      <c r="E100" s="206" t="s">
        <v>116</v>
      </c>
      <c r="F100" s="215">
        <v>0.13</v>
      </c>
      <c r="G100" s="214">
        <v>0.4</v>
      </c>
      <c r="M100" s="750"/>
      <c r="N100" s="187" t="s">
        <v>321</v>
      </c>
      <c r="O100" s="185" t="s">
        <v>226</v>
      </c>
      <c r="P100" s="185" t="s">
        <v>227</v>
      </c>
      <c r="Q100" s="185">
        <v>1913610</v>
      </c>
      <c r="R100" s="185" t="s">
        <v>304</v>
      </c>
      <c r="S100" s="89">
        <v>5630</v>
      </c>
      <c r="T100" s="107">
        <v>44516</v>
      </c>
      <c r="U100" s="185">
        <v>20</v>
      </c>
      <c r="V100" s="89">
        <v>-2E-3</v>
      </c>
      <c r="W100" s="89">
        <v>-3.0000000000000001E-3</v>
      </c>
      <c r="X100" s="545">
        <f t="shared" si="23"/>
        <v>5.773502691896258E-4</v>
      </c>
      <c r="Y100" s="93">
        <v>0.01</v>
      </c>
      <c r="Z100" s="97">
        <v>7950</v>
      </c>
      <c r="AA100" s="89">
        <v>140</v>
      </c>
      <c r="AB100" s="109">
        <v>0.88011269298571049</v>
      </c>
      <c r="AC100" s="163" t="s">
        <v>313</v>
      </c>
    </row>
    <row r="101" spans="2:29" ht="30" customHeight="1" x14ac:dyDescent="0.25">
      <c r="B101" s="60">
        <v>100</v>
      </c>
      <c r="C101" s="61">
        <v>1.7</v>
      </c>
      <c r="D101" s="202">
        <v>5</v>
      </c>
      <c r="E101" s="206" t="s">
        <v>118</v>
      </c>
      <c r="F101" s="215">
        <v>0.17</v>
      </c>
      <c r="G101" s="214">
        <v>0.5</v>
      </c>
      <c r="M101" s="750"/>
      <c r="N101" s="187" t="s">
        <v>322</v>
      </c>
      <c r="O101" s="185" t="s">
        <v>226</v>
      </c>
      <c r="P101" s="185" t="s">
        <v>227</v>
      </c>
      <c r="Q101" s="185">
        <v>1913610</v>
      </c>
      <c r="R101" s="185" t="s">
        <v>257</v>
      </c>
      <c r="S101" s="89">
        <v>5630</v>
      </c>
      <c r="T101" s="107">
        <v>44516</v>
      </c>
      <c r="U101" s="185">
        <v>50</v>
      </c>
      <c r="V101" s="89">
        <v>-4.0000000000000001E-3</v>
      </c>
      <c r="W101" s="89">
        <v>-4.0000000000000001E-3</v>
      </c>
      <c r="X101" s="545">
        <f t="shared" si="23"/>
        <v>0</v>
      </c>
      <c r="Y101" s="93">
        <v>1.2999999999999999E-2</v>
      </c>
      <c r="Z101" s="97">
        <v>7950</v>
      </c>
      <c r="AA101" s="89">
        <v>140</v>
      </c>
      <c r="AB101" s="109">
        <v>0.88011269298571049</v>
      </c>
      <c r="AC101" s="163" t="s">
        <v>313</v>
      </c>
    </row>
    <row r="102" spans="2:29" ht="30" customHeight="1" x14ac:dyDescent="0.25">
      <c r="B102" s="60">
        <v>200</v>
      </c>
      <c r="C102" s="61">
        <v>3.3</v>
      </c>
      <c r="D102" s="203">
        <v>10</v>
      </c>
      <c r="E102" s="206" t="s">
        <v>120</v>
      </c>
      <c r="F102" s="215">
        <v>0.2</v>
      </c>
      <c r="G102" s="214">
        <v>0.6</v>
      </c>
      <c r="M102" s="750"/>
      <c r="N102" s="187" t="s">
        <v>323</v>
      </c>
      <c r="O102" s="185" t="s">
        <v>226</v>
      </c>
      <c r="P102" s="185" t="s">
        <v>227</v>
      </c>
      <c r="Q102" s="185">
        <v>1913610</v>
      </c>
      <c r="R102" s="185" t="s">
        <v>257</v>
      </c>
      <c r="S102" s="89">
        <v>5630</v>
      </c>
      <c r="T102" s="107">
        <v>44516</v>
      </c>
      <c r="U102" s="185">
        <v>100</v>
      </c>
      <c r="V102" s="89">
        <v>-1E-3</v>
      </c>
      <c r="W102" s="93">
        <v>0</v>
      </c>
      <c r="X102" s="545">
        <f t="shared" si="23"/>
        <v>5.773502691896258E-4</v>
      </c>
      <c r="Y102" s="93">
        <v>1.7000000000000001E-2</v>
      </c>
      <c r="Z102" s="97">
        <v>7950</v>
      </c>
      <c r="AA102" s="89">
        <v>140</v>
      </c>
      <c r="AB102" s="109">
        <v>0.88011269298571049</v>
      </c>
      <c r="AC102" s="163" t="s">
        <v>313</v>
      </c>
    </row>
    <row r="103" spans="2:29" ht="30" customHeight="1" x14ac:dyDescent="0.25">
      <c r="B103" s="60">
        <v>200</v>
      </c>
      <c r="C103" s="61">
        <v>3.3</v>
      </c>
      <c r="D103" s="203">
        <v>10</v>
      </c>
      <c r="E103" s="206" t="s">
        <v>324</v>
      </c>
      <c r="F103" s="215">
        <v>0.2</v>
      </c>
      <c r="G103" s="214">
        <v>0.6</v>
      </c>
      <c r="M103" s="750"/>
      <c r="N103" s="187" t="s">
        <v>325</v>
      </c>
      <c r="O103" s="185" t="s">
        <v>226</v>
      </c>
      <c r="P103" s="185" t="s">
        <v>227</v>
      </c>
      <c r="Q103" s="185">
        <v>1913610</v>
      </c>
      <c r="R103" s="185" t="s">
        <v>257</v>
      </c>
      <c r="S103" s="89">
        <v>5630</v>
      </c>
      <c r="T103" s="107">
        <v>44516</v>
      </c>
      <c r="U103" s="185">
        <v>200</v>
      </c>
      <c r="V103" s="89">
        <v>1.0999999999999999E-2</v>
      </c>
      <c r="W103" s="89">
        <v>1.4999999999999999E-2</v>
      </c>
      <c r="X103" s="545">
        <f t="shared" si="23"/>
        <v>2.3094010767585032E-3</v>
      </c>
      <c r="Y103" s="93">
        <v>0.02</v>
      </c>
      <c r="Z103" s="97">
        <v>7950</v>
      </c>
      <c r="AA103" s="89">
        <v>140</v>
      </c>
      <c r="AB103" s="109">
        <v>0.88011269298571049</v>
      </c>
      <c r="AC103" s="163" t="s">
        <v>313</v>
      </c>
    </row>
    <row r="104" spans="2:29" ht="30" customHeight="1" thickBot="1" x14ac:dyDescent="0.3">
      <c r="B104" s="60">
        <v>500</v>
      </c>
      <c r="C104" s="61">
        <v>8.3000000000000007</v>
      </c>
      <c r="D104" s="203">
        <v>25</v>
      </c>
      <c r="E104" s="207" t="s">
        <v>123</v>
      </c>
      <c r="F104" s="216">
        <v>0.27</v>
      </c>
      <c r="G104" s="295">
        <v>0.8</v>
      </c>
      <c r="M104" s="750"/>
      <c r="N104" s="187" t="s">
        <v>326</v>
      </c>
      <c r="O104" s="185" t="s">
        <v>226</v>
      </c>
      <c r="P104" s="185" t="s">
        <v>227</v>
      </c>
      <c r="Q104" s="185">
        <v>1913610</v>
      </c>
      <c r="R104" s="185" t="s">
        <v>304</v>
      </c>
      <c r="S104" s="89">
        <v>5630</v>
      </c>
      <c r="T104" s="107">
        <v>44516</v>
      </c>
      <c r="U104" s="185">
        <v>200</v>
      </c>
      <c r="V104" s="89">
        <v>-1E-3</v>
      </c>
      <c r="W104" s="89">
        <v>-1E-3</v>
      </c>
      <c r="X104" s="545">
        <f t="shared" si="23"/>
        <v>0</v>
      </c>
      <c r="Y104" s="93">
        <v>0.02</v>
      </c>
      <c r="Z104" s="97">
        <v>7950</v>
      </c>
      <c r="AA104" s="89">
        <v>140</v>
      </c>
      <c r="AB104" s="109">
        <v>0.88011269298571049</v>
      </c>
      <c r="AC104" s="163" t="s">
        <v>313</v>
      </c>
    </row>
    <row r="105" spans="2:29" ht="30" customHeight="1" thickBot="1" x14ac:dyDescent="0.3">
      <c r="B105" s="63" t="s">
        <v>150</v>
      </c>
      <c r="C105" s="64">
        <v>17</v>
      </c>
      <c r="D105" s="62">
        <v>50</v>
      </c>
      <c r="M105" s="751"/>
      <c r="N105" s="191" t="s">
        <v>327</v>
      </c>
      <c r="O105" s="192" t="s">
        <v>226</v>
      </c>
      <c r="P105" s="192" t="s">
        <v>227</v>
      </c>
      <c r="Q105" s="192">
        <v>1913610</v>
      </c>
      <c r="R105" s="192" t="s">
        <v>257</v>
      </c>
      <c r="S105" s="149">
        <v>5630</v>
      </c>
      <c r="T105" s="258">
        <v>44516</v>
      </c>
      <c r="U105" s="192">
        <v>500</v>
      </c>
      <c r="V105" s="241">
        <v>0.01</v>
      </c>
      <c r="W105" s="149">
        <v>1.7999999999999999E-2</v>
      </c>
      <c r="X105" s="546">
        <f t="shared" si="23"/>
        <v>4.6188021535170055E-3</v>
      </c>
      <c r="Y105" s="241">
        <v>2.7E-2</v>
      </c>
      <c r="Z105" s="240">
        <v>7950</v>
      </c>
      <c r="AA105" s="149">
        <v>140</v>
      </c>
      <c r="AB105" s="260">
        <v>0.88011269298571049</v>
      </c>
      <c r="AC105" s="165" t="s">
        <v>313</v>
      </c>
    </row>
    <row r="106" spans="2:29" ht="30" customHeight="1" x14ac:dyDescent="0.25">
      <c r="B106" s="63" t="s">
        <v>152</v>
      </c>
      <c r="C106" s="64">
        <v>33</v>
      </c>
      <c r="D106" s="62">
        <v>100</v>
      </c>
      <c r="N106" s="253"/>
      <c r="O106" s="252"/>
      <c r="P106" s="252"/>
      <c r="Q106" s="252"/>
      <c r="R106" s="252"/>
      <c r="S106" s="112"/>
      <c r="T106" s="113"/>
      <c r="U106" s="256"/>
      <c r="V106" s="112"/>
      <c r="W106" s="112"/>
      <c r="X106" s="252"/>
      <c r="Y106" s="261"/>
      <c r="Z106" s="199"/>
      <c r="AA106" s="112"/>
      <c r="AB106" s="200"/>
      <c r="AC106" s="217"/>
    </row>
    <row r="107" spans="2:29" ht="30" customHeight="1" x14ac:dyDescent="0.25">
      <c r="B107" s="63" t="s">
        <v>152</v>
      </c>
      <c r="C107" s="64">
        <v>33</v>
      </c>
      <c r="D107" s="62">
        <v>100</v>
      </c>
      <c r="N107" s="187"/>
      <c r="O107" s="185"/>
      <c r="P107" s="185"/>
      <c r="Q107" s="185"/>
      <c r="R107" s="185"/>
      <c r="S107" s="89"/>
      <c r="T107" s="107"/>
      <c r="U107" s="197"/>
      <c r="V107" s="89"/>
      <c r="W107" s="89"/>
      <c r="X107" s="185"/>
      <c r="Y107" s="92"/>
      <c r="Z107" s="108"/>
      <c r="AA107" s="89"/>
      <c r="AB107" s="109"/>
      <c r="AC107" s="163"/>
    </row>
    <row r="108" spans="2:29" ht="30" customHeight="1" x14ac:dyDescent="0.25">
      <c r="B108" s="63" t="s">
        <v>155</v>
      </c>
      <c r="C108" s="64">
        <v>83</v>
      </c>
      <c r="D108" s="62">
        <v>250</v>
      </c>
      <c r="N108" s="187"/>
      <c r="O108" s="185"/>
      <c r="P108" s="185"/>
      <c r="Q108" s="185"/>
      <c r="R108" s="185"/>
      <c r="S108" s="89"/>
      <c r="T108" s="107"/>
      <c r="U108" s="197"/>
      <c r="V108" s="89"/>
      <c r="W108" s="89"/>
      <c r="X108" s="185"/>
      <c r="Y108" s="92"/>
      <c r="Z108" s="108"/>
      <c r="AA108" s="89"/>
      <c r="AB108" s="109"/>
      <c r="AC108" s="163"/>
    </row>
    <row r="109" spans="2:29" ht="30" customHeight="1" x14ac:dyDescent="0.25">
      <c r="B109" s="63" t="s">
        <v>157</v>
      </c>
      <c r="C109" s="65">
        <v>0.17</v>
      </c>
      <c r="D109" s="72">
        <v>0.5</v>
      </c>
      <c r="N109" s="187"/>
      <c r="O109" s="185"/>
      <c r="P109" s="185"/>
      <c r="Q109" s="185"/>
      <c r="R109" s="185"/>
      <c r="S109" s="89"/>
      <c r="T109" s="107"/>
      <c r="U109" s="197"/>
      <c r="V109" s="89"/>
      <c r="W109" s="89"/>
      <c r="X109" s="185"/>
      <c r="Y109" s="92"/>
      <c r="Z109" s="108"/>
      <c r="AA109" s="89"/>
      <c r="AB109" s="109"/>
      <c r="AC109" s="163"/>
    </row>
    <row r="110" spans="2:29" ht="30" customHeight="1" thickBot="1" x14ac:dyDescent="0.3">
      <c r="B110" s="66" t="s">
        <v>328</v>
      </c>
      <c r="C110" s="67">
        <v>0.33</v>
      </c>
      <c r="D110" s="73">
        <v>1</v>
      </c>
      <c r="N110" s="187"/>
      <c r="O110" s="185"/>
      <c r="P110" s="185"/>
      <c r="Q110" s="185"/>
      <c r="R110" s="185"/>
      <c r="S110" s="89"/>
      <c r="T110" s="107"/>
      <c r="U110" s="197"/>
      <c r="V110" s="89"/>
      <c r="W110" s="89"/>
      <c r="X110" s="185"/>
      <c r="Y110" s="92"/>
      <c r="Z110" s="108"/>
      <c r="AA110" s="89"/>
      <c r="AB110" s="109"/>
      <c r="AC110" s="163"/>
    </row>
    <row r="111" spans="2:29" ht="30" customHeight="1" x14ac:dyDescent="0.25">
      <c r="N111" s="187"/>
      <c r="O111" s="185"/>
      <c r="P111" s="185"/>
      <c r="Q111" s="185"/>
      <c r="R111" s="185"/>
      <c r="S111" s="89"/>
      <c r="T111" s="107"/>
      <c r="U111" s="197"/>
      <c r="V111" s="89"/>
      <c r="W111" s="89"/>
      <c r="X111" s="185"/>
      <c r="Y111" s="92"/>
      <c r="Z111" s="108"/>
      <c r="AA111" s="89"/>
      <c r="AB111" s="109"/>
      <c r="AC111" s="163"/>
    </row>
    <row r="112" spans="2:29" ht="30" customHeight="1" x14ac:dyDescent="0.25">
      <c r="N112" s="187"/>
      <c r="O112" s="185"/>
      <c r="P112" s="185"/>
      <c r="Q112" s="185"/>
      <c r="R112" s="185"/>
      <c r="S112" s="89"/>
      <c r="T112" s="107"/>
      <c r="U112" s="197"/>
      <c r="V112" s="89"/>
      <c r="W112" s="89"/>
      <c r="X112" s="185"/>
      <c r="Y112" s="92"/>
      <c r="Z112" s="108"/>
      <c r="AA112" s="89"/>
      <c r="AB112" s="109"/>
      <c r="AC112" s="163"/>
    </row>
    <row r="113" spans="2:29" ht="30" customHeight="1" thickBot="1" x14ac:dyDescent="0.3">
      <c r="N113" s="187"/>
      <c r="O113" s="185"/>
      <c r="P113" s="185"/>
      <c r="Q113" s="185"/>
      <c r="R113" s="185"/>
      <c r="S113" s="89"/>
      <c r="T113" s="107"/>
      <c r="U113" s="162"/>
      <c r="V113" s="89"/>
      <c r="W113" s="89"/>
      <c r="X113" s="185"/>
      <c r="Y113" s="92"/>
      <c r="Z113" s="108"/>
      <c r="AA113" s="89"/>
      <c r="AB113" s="109"/>
      <c r="AC113" s="163"/>
    </row>
    <row r="114" spans="2:29" ht="30" customHeight="1" x14ac:dyDescent="0.25">
      <c r="B114" s="761" t="s">
        <v>329</v>
      </c>
      <c r="C114" s="762"/>
      <c r="D114" s="762"/>
      <c r="E114" s="762"/>
      <c r="F114" s="763"/>
      <c r="N114" s="187"/>
      <c r="O114" s="185"/>
      <c r="P114" s="185"/>
      <c r="Q114" s="185"/>
      <c r="R114" s="185"/>
      <c r="S114" s="89"/>
      <c r="T114" s="107"/>
      <c r="U114" s="162"/>
      <c r="V114" s="89"/>
      <c r="W114" s="89"/>
      <c r="X114" s="185"/>
      <c r="Y114" s="92"/>
      <c r="Z114" s="108"/>
      <c r="AA114" s="89"/>
      <c r="AB114" s="109"/>
      <c r="AC114" s="163"/>
    </row>
    <row r="115" spans="2:29" ht="30" customHeight="1" thickBot="1" x14ac:dyDescent="0.3">
      <c r="B115" s="764"/>
      <c r="C115" s="765"/>
      <c r="D115" s="765"/>
      <c r="E115" s="765"/>
      <c r="F115" s="766"/>
      <c r="N115" s="187"/>
      <c r="O115" s="185"/>
      <c r="P115" s="185"/>
      <c r="Q115" s="185"/>
      <c r="R115" s="185"/>
      <c r="S115" s="89"/>
      <c r="T115" s="107"/>
      <c r="U115" s="162"/>
      <c r="V115" s="89"/>
      <c r="W115" s="89"/>
      <c r="X115" s="185"/>
      <c r="Y115" s="92"/>
      <c r="Z115" s="108"/>
      <c r="AA115" s="89"/>
      <c r="AB115" s="109"/>
      <c r="AC115" s="163"/>
    </row>
    <row r="116" spans="2:29" ht="30" customHeight="1" x14ac:dyDescent="0.25">
      <c r="B116" s="787" t="s">
        <v>161</v>
      </c>
      <c r="C116" s="789" t="s">
        <v>8</v>
      </c>
      <c r="D116" s="789" t="s">
        <v>9</v>
      </c>
      <c r="E116" s="739" t="s">
        <v>330</v>
      </c>
      <c r="F116" s="747" t="s">
        <v>27</v>
      </c>
      <c r="N116" s="187"/>
      <c r="O116" s="185"/>
      <c r="P116" s="185"/>
      <c r="Q116" s="185"/>
      <c r="R116" s="185"/>
      <c r="S116" s="89"/>
      <c r="T116" s="107"/>
      <c r="U116" s="162"/>
      <c r="V116" s="89"/>
      <c r="W116" s="89"/>
      <c r="X116" s="185"/>
      <c r="Y116" s="92"/>
      <c r="Z116" s="108"/>
      <c r="AA116" s="89"/>
      <c r="AB116" s="109"/>
      <c r="AC116" s="163"/>
    </row>
    <row r="117" spans="2:29" ht="30" customHeight="1" thickBot="1" x14ac:dyDescent="0.3">
      <c r="B117" s="788"/>
      <c r="C117" s="790"/>
      <c r="D117" s="790"/>
      <c r="E117" s="740"/>
      <c r="F117" s="748"/>
      <c r="N117" s="187"/>
      <c r="O117" s="185"/>
      <c r="P117" s="185"/>
      <c r="Q117" s="185"/>
      <c r="R117" s="185"/>
      <c r="S117" s="89"/>
      <c r="T117" s="107"/>
      <c r="U117" s="162"/>
      <c r="V117" s="89"/>
      <c r="W117" s="89"/>
      <c r="X117" s="185"/>
      <c r="Y117" s="92"/>
      <c r="Z117" s="108"/>
      <c r="AA117" s="89"/>
      <c r="AB117" s="109"/>
      <c r="AC117" s="163"/>
    </row>
    <row r="118" spans="2:29" ht="30" customHeight="1" x14ac:dyDescent="0.25">
      <c r="B118" s="33"/>
      <c r="C118" s="34"/>
      <c r="D118" s="34"/>
      <c r="E118" s="34"/>
      <c r="F118" s="35"/>
      <c r="N118" s="187"/>
      <c r="O118" s="185"/>
      <c r="P118" s="185"/>
      <c r="Q118" s="185"/>
      <c r="R118" s="185"/>
      <c r="S118" s="89"/>
      <c r="T118" s="107"/>
      <c r="U118" s="162"/>
      <c r="V118" s="89"/>
      <c r="W118" s="89"/>
      <c r="X118" s="185"/>
      <c r="Y118" s="92"/>
      <c r="Z118" s="108"/>
      <c r="AA118" s="89"/>
      <c r="AB118" s="109"/>
      <c r="AC118" s="163"/>
    </row>
    <row r="119" spans="2:29" ht="30" customHeight="1" x14ac:dyDescent="0.25">
      <c r="B119" s="44">
        <v>1</v>
      </c>
      <c r="C119" s="37" t="s">
        <v>175</v>
      </c>
      <c r="D119" s="37">
        <v>31301284</v>
      </c>
      <c r="E119" s="37">
        <v>1E-3</v>
      </c>
      <c r="F119" s="50" t="s">
        <v>331</v>
      </c>
      <c r="N119" s="187"/>
      <c r="O119" s="185"/>
      <c r="P119" s="185"/>
      <c r="Q119" s="185"/>
      <c r="R119" s="185"/>
      <c r="S119" s="89"/>
      <c r="T119" s="107"/>
      <c r="U119" s="162"/>
      <c r="V119" s="89"/>
      <c r="W119" s="89"/>
      <c r="X119" s="185"/>
      <c r="Y119" s="92"/>
      <c r="Z119" s="108"/>
      <c r="AA119" s="89"/>
      <c r="AB119" s="109"/>
      <c r="AC119" s="163"/>
    </row>
    <row r="120" spans="2:29" ht="30" customHeight="1" x14ac:dyDescent="0.25">
      <c r="B120" s="44">
        <v>2</v>
      </c>
      <c r="C120" s="37" t="s">
        <v>211</v>
      </c>
      <c r="D120" s="37" t="s">
        <v>332</v>
      </c>
      <c r="E120" s="37">
        <v>1.0000000000000001E-5</v>
      </c>
      <c r="F120" s="50" t="s">
        <v>333</v>
      </c>
      <c r="N120" s="187"/>
      <c r="O120" s="185"/>
      <c r="P120" s="185"/>
      <c r="Q120" s="185"/>
      <c r="R120" s="185"/>
      <c r="S120" s="89"/>
      <c r="T120" s="107"/>
      <c r="U120" s="162"/>
      <c r="V120" s="89"/>
      <c r="W120" s="89"/>
      <c r="X120" s="185"/>
      <c r="Y120" s="92"/>
      <c r="Z120" s="108"/>
      <c r="AA120" s="89"/>
      <c r="AB120" s="109"/>
      <c r="AC120" s="163"/>
    </row>
    <row r="121" spans="2:29" ht="30" customHeight="1" x14ac:dyDescent="0.25">
      <c r="B121" s="44">
        <v>3</v>
      </c>
      <c r="C121" s="37" t="s">
        <v>175</v>
      </c>
      <c r="D121" s="37">
        <v>31301283</v>
      </c>
      <c r="E121" s="38">
        <v>1E-3</v>
      </c>
      <c r="F121" s="50" t="s">
        <v>334</v>
      </c>
      <c r="N121" s="187"/>
      <c r="O121" s="185"/>
      <c r="P121" s="185"/>
      <c r="Q121" s="185"/>
      <c r="R121" s="185"/>
      <c r="S121" s="89"/>
      <c r="T121" s="107"/>
      <c r="U121" s="162"/>
      <c r="V121" s="89"/>
      <c r="W121" s="89"/>
      <c r="X121" s="185"/>
      <c r="Y121" s="92"/>
      <c r="Z121" s="108"/>
      <c r="AA121" s="89"/>
      <c r="AB121" s="109"/>
      <c r="AC121" s="163"/>
    </row>
    <row r="122" spans="2:29" ht="30" customHeight="1" x14ac:dyDescent="0.25">
      <c r="B122" s="44">
        <v>4</v>
      </c>
      <c r="C122" s="37" t="s">
        <v>175</v>
      </c>
      <c r="D122" s="37">
        <v>34508523</v>
      </c>
      <c r="E122" s="37">
        <v>0.01</v>
      </c>
      <c r="F122" s="50" t="s">
        <v>335</v>
      </c>
      <c r="N122" s="187"/>
      <c r="O122" s="185"/>
      <c r="P122" s="185"/>
      <c r="Q122" s="185"/>
      <c r="R122" s="185"/>
      <c r="S122" s="89"/>
      <c r="T122" s="107"/>
      <c r="U122" s="162"/>
      <c r="V122" s="89"/>
      <c r="W122" s="89"/>
      <c r="X122" s="185"/>
      <c r="Y122" s="92"/>
      <c r="Z122" s="108"/>
      <c r="AA122" s="89"/>
      <c r="AB122" s="109"/>
      <c r="AC122" s="163"/>
    </row>
    <row r="123" spans="2:29" ht="30" customHeight="1" x14ac:dyDescent="0.25">
      <c r="B123" s="44">
        <v>5</v>
      </c>
      <c r="C123" s="37" t="s">
        <v>175</v>
      </c>
      <c r="D123" s="37">
        <v>29605076</v>
      </c>
      <c r="E123" s="39">
        <v>0.1</v>
      </c>
      <c r="F123" s="50" t="s">
        <v>336</v>
      </c>
      <c r="N123" s="187"/>
      <c r="O123" s="185"/>
      <c r="P123" s="185"/>
      <c r="Q123" s="185"/>
      <c r="R123" s="185"/>
      <c r="S123" s="89"/>
      <c r="T123" s="107"/>
      <c r="U123" s="162"/>
      <c r="V123" s="89"/>
      <c r="W123" s="89"/>
      <c r="X123" s="185"/>
      <c r="Y123" s="92"/>
      <c r="Z123" s="108"/>
      <c r="AA123" s="89"/>
      <c r="AB123" s="109"/>
      <c r="AC123" s="163"/>
    </row>
    <row r="124" spans="2:29" ht="30" customHeight="1" thickBot="1" x14ac:dyDescent="0.3">
      <c r="B124" s="114">
        <v>6</v>
      </c>
      <c r="C124" s="40" t="s">
        <v>175</v>
      </c>
      <c r="D124" s="40">
        <v>29605077</v>
      </c>
      <c r="E124" s="40">
        <v>0.1</v>
      </c>
      <c r="F124" s="49" t="s">
        <v>337</v>
      </c>
      <c r="N124" s="187"/>
      <c r="O124" s="185"/>
      <c r="P124" s="185"/>
      <c r="Q124" s="185"/>
      <c r="R124" s="185"/>
      <c r="S124" s="89"/>
      <c r="T124" s="107"/>
      <c r="U124" s="162"/>
      <c r="V124" s="89"/>
      <c r="W124" s="89"/>
      <c r="X124" s="185"/>
      <c r="Y124" s="92"/>
      <c r="Z124" s="108"/>
      <c r="AA124" s="89"/>
      <c r="AB124" s="109"/>
      <c r="AC124" s="163"/>
    </row>
    <row r="125" spans="2:29" ht="30" customHeight="1" x14ac:dyDescent="0.25">
      <c r="N125" s="187"/>
      <c r="O125" s="185"/>
      <c r="P125" s="185"/>
      <c r="Q125" s="185"/>
      <c r="R125" s="185"/>
      <c r="S125" s="89"/>
      <c r="T125" s="107"/>
      <c r="U125" s="162"/>
      <c r="V125" s="89"/>
      <c r="W125" s="89"/>
      <c r="X125" s="185"/>
      <c r="Y125" s="92"/>
      <c r="Z125" s="108"/>
      <c r="AA125" s="89"/>
      <c r="AB125" s="109"/>
      <c r="AC125" s="163"/>
    </row>
    <row r="126" spans="2:29" ht="30" customHeight="1" thickBot="1" x14ac:dyDescent="0.3">
      <c r="N126" s="187"/>
      <c r="O126" s="185"/>
      <c r="P126" s="185"/>
      <c r="Q126" s="185"/>
      <c r="R126" s="185"/>
      <c r="S126" s="89"/>
      <c r="T126" s="107"/>
      <c r="U126" s="162"/>
      <c r="V126" s="89"/>
      <c r="W126" s="89"/>
      <c r="X126" s="185"/>
      <c r="Y126" s="92"/>
      <c r="Z126" s="108"/>
      <c r="AA126" s="89"/>
      <c r="AB126" s="109"/>
      <c r="AC126" s="163"/>
    </row>
    <row r="127" spans="2:29" ht="30" customHeight="1" x14ac:dyDescent="0.25">
      <c r="B127" s="761" t="s">
        <v>338</v>
      </c>
      <c r="C127" s="762"/>
      <c r="D127" s="762"/>
      <c r="E127" s="762"/>
      <c r="F127" s="762"/>
      <c r="G127" s="763"/>
      <c r="N127" s="187"/>
      <c r="O127" s="185"/>
      <c r="P127" s="185"/>
      <c r="Q127" s="185"/>
      <c r="R127" s="185"/>
      <c r="S127" s="89"/>
      <c r="T127" s="107"/>
      <c r="U127" s="162"/>
      <c r="V127" s="89"/>
      <c r="W127" s="89"/>
      <c r="X127" s="185"/>
      <c r="Y127" s="92"/>
      <c r="Z127" s="108"/>
      <c r="AA127" s="89"/>
      <c r="AB127" s="109"/>
      <c r="AC127" s="163"/>
    </row>
    <row r="128" spans="2:29" ht="30" customHeight="1" thickBot="1" x14ac:dyDescent="0.3">
      <c r="B128" s="764"/>
      <c r="C128" s="765"/>
      <c r="D128" s="765"/>
      <c r="E128" s="765"/>
      <c r="F128" s="765"/>
      <c r="G128" s="766"/>
      <c r="N128" s="187"/>
      <c r="O128" s="185"/>
      <c r="P128" s="185"/>
      <c r="Q128" s="185"/>
      <c r="R128" s="185"/>
      <c r="S128" s="89"/>
      <c r="T128" s="107"/>
      <c r="U128" s="162"/>
      <c r="V128" s="89"/>
      <c r="W128" s="89"/>
      <c r="X128" s="185"/>
      <c r="Y128" s="92"/>
      <c r="Z128" s="108"/>
      <c r="AA128" s="89"/>
      <c r="AB128" s="109"/>
      <c r="AC128" s="163"/>
    </row>
    <row r="129" spans="1:29" ht="30" customHeight="1" x14ac:dyDescent="0.25">
      <c r="B129" s="779" t="s">
        <v>161</v>
      </c>
      <c r="C129" s="781" t="s">
        <v>339</v>
      </c>
      <c r="D129" s="782"/>
      <c r="E129" s="782"/>
      <c r="F129" s="782"/>
      <c r="G129" s="783"/>
      <c r="N129" s="187"/>
      <c r="O129" s="185"/>
      <c r="P129" s="185"/>
      <c r="Q129" s="185"/>
      <c r="R129" s="185"/>
      <c r="S129" s="89"/>
      <c r="T129" s="107"/>
      <c r="U129" s="162"/>
      <c r="V129" s="89"/>
      <c r="W129" s="89"/>
      <c r="X129" s="185"/>
      <c r="Y129" s="92"/>
      <c r="Z129" s="108"/>
      <c r="AA129" s="89"/>
      <c r="AB129" s="109"/>
      <c r="AC129" s="163"/>
    </row>
    <row r="130" spans="1:29" ht="30" customHeight="1" thickBot="1" x14ac:dyDescent="0.3">
      <c r="B130" s="780"/>
      <c r="C130" s="784"/>
      <c r="D130" s="785"/>
      <c r="E130" s="785"/>
      <c r="F130" s="785"/>
      <c r="G130" s="786"/>
      <c r="N130" s="187"/>
      <c r="O130" s="185"/>
      <c r="P130" s="185"/>
      <c r="Q130" s="185"/>
      <c r="R130" s="185"/>
      <c r="S130" s="89"/>
      <c r="T130" s="107"/>
      <c r="U130" s="162"/>
      <c r="V130" s="89"/>
      <c r="W130" s="89"/>
      <c r="X130" s="185"/>
      <c r="Y130" s="92"/>
      <c r="Z130" s="108"/>
      <c r="AA130" s="89"/>
      <c r="AB130" s="109"/>
      <c r="AC130" s="163"/>
    </row>
    <row r="131" spans="1:29" ht="30" customHeight="1" thickBot="1" x14ac:dyDescent="0.3">
      <c r="B131" s="44"/>
      <c r="C131" s="777"/>
      <c r="D131" s="777"/>
      <c r="E131" s="778"/>
      <c r="F131" s="778"/>
      <c r="G131" s="45"/>
      <c r="N131" s="254"/>
      <c r="O131" s="185"/>
      <c r="P131" s="185"/>
      <c r="Q131" s="185"/>
      <c r="R131" s="185"/>
      <c r="S131" s="89"/>
      <c r="T131" s="89"/>
      <c r="U131" s="161"/>
      <c r="V131" s="89"/>
      <c r="W131" s="89"/>
      <c r="X131" s="185"/>
      <c r="Y131" s="89"/>
      <c r="Z131" s="89"/>
      <c r="AA131" s="89"/>
      <c r="AB131" s="89"/>
      <c r="AC131" s="163"/>
    </row>
    <row r="132" spans="1:29" ht="30" customHeight="1" x14ac:dyDescent="0.25">
      <c r="B132" s="41" t="s">
        <v>111</v>
      </c>
      <c r="C132" s="791" t="s">
        <v>340</v>
      </c>
      <c r="D132" s="791"/>
      <c r="E132" s="792" t="s">
        <v>341</v>
      </c>
      <c r="F132" s="792"/>
      <c r="G132" s="42" t="s">
        <v>342</v>
      </c>
      <c r="N132" s="254"/>
      <c r="O132" s="185"/>
      <c r="P132" s="185"/>
      <c r="Q132" s="185"/>
      <c r="R132" s="185"/>
      <c r="S132" s="89"/>
      <c r="T132" s="89"/>
      <c r="U132" s="161"/>
      <c r="V132" s="89"/>
      <c r="W132" s="89"/>
      <c r="X132" s="185"/>
      <c r="Y132" s="89"/>
      <c r="Z132" s="89"/>
      <c r="AA132" s="89"/>
      <c r="AB132" s="89"/>
      <c r="AC132" s="163"/>
    </row>
    <row r="133" spans="1:29" ht="30" customHeight="1" x14ac:dyDescent="0.25">
      <c r="B133" s="44" t="s">
        <v>115</v>
      </c>
      <c r="C133" s="777" t="s">
        <v>343</v>
      </c>
      <c r="D133" s="777"/>
      <c r="E133" s="778" t="s">
        <v>344</v>
      </c>
      <c r="F133" s="778"/>
      <c r="G133" s="45" t="s">
        <v>342</v>
      </c>
      <c r="N133" s="254"/>
      <c r="O133" s="185"/>
      <c r="P133" s="185"/>
      <c r="Q133" s="185"/>
      <c r="R133" s="185"/>
      <c r="S133" s="89"/>
      <c r="T133" s="89"/>
      <c r="U133" s="161"/>
      <c r="V133" s="89"/>
      <c r="W133" s="89"/>
      <c r="X133" s="185"/>
      <c r="Y133" s="89"/>
      <c r="Z133" s="89"/>
      <c r="AA133" s="89"/>
      <c r="AB133" s="89"/>
      <c r="AC133" s="163"/>
    </row>
    <row r="134" spans="1:29" ht="30" customHeight="1" x14ac:dyDescent="0.25">
      <c r="B134" s="44" t="s">
        <v>40</v>
      </c>
      <c r="C134" s="777" t="s">
        <v>345</v>
      </c>
      <c r="D134" s="777"/>
      <c r="E134" s="778" t="s">
        <v>346</v>
      </c>
      <c r="F134" s="778"/>
      <c r="G134" s="45" t="s">
        <v>342</v>
      </c>
      <c r="N134" s="254"/>
      <c r="O134" s="185"/>
      <c r="P134" s="185"/>
      <c r="Q134" s="185"/>
      <c r="R134" s="185"/>
      <c r="S134" s="89"/>
      <c r="T134" s="89"/>
      <c r="U134" s="161"/>
      <c r="V134" s="89"/>
      <c r="W134" s="89"/>
      <c r="X134" s="185"/>
      <c r="Y134" s="89"/>
      <c r="Z134" s="89"/>
      <c r="AA134" s="89"/>
      <c r="AB134" s="89"/>
      <c r="AC134" s="163"/>
    </row>
    <row r="135" spans="1:29" ht="30" customHeight="1" thickBot="1" x14ac:dyDescent="0.3">
      <c r="B135" s="44"/>
      <c r="C135" s="777"/>
      <c r="D135" s="777"/>
      <c r="E135" s="777"/>
      <c r="F135" s="777"/>
      <c r="G135" s="45"/>
      <c r="N135" s="255"/>
      <c r="O135" s="192"/>
      <c r="P135" s="192"/>
      <c r="Q135" s="192"/>
      <c r="R135" s="192"/>
      <c r="S135" s="149"/>
      <c r="T135" s="149"/>
      <c r="U135" s="164"/>
      <c r="V135" s="149"/>
      <c r="W135" s="149"/>
      <c r="X135" s="192"/>
      <c r="Y135" s="149"/>
      <c r="Z135" s="149"/>
      <c r="AA135" s="149"/>
      <c r="AB135" s="149"/>
      <c r="AC135" s="165"/>
    </row>
    <row r="136" spans="1:29" ht="30" customHeight="1" thickBot="1" x14ac:dyDescent="0.25"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</row>
    <row r="137" spans="1:29" ht="30" customHeight="1" x14ac:dyDescent="0.2">
      <c r="A137" s="761" t="s">
        <v>347</v>
      </c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3"/>
      <c r="R137" s="32"/>
      <c r="S137" s="32"/>
    </row>
    <row r="138" spans="1:29" ht="30" customHeight="1" thickBot="1" x14ac:dyDescent="0.25">
      <c r="A138" s="764"/>
      <c r="B138" s="765"/>
      <c r="C138" s="765"/>
      <c r="D138" s="765"/>
      <c r="E138" s="765"/>
      <c r="F138" s="765"/>
      <c r="G138" s="765"/>
      <c r="H138" s="765"/>
      <c r="I138" s="765"/>
      <c r="J138" s="765"/>
      <c r="K138" s="765"/>
      <c r="L138" s="765"/>
      <c r="M138" s="765"/>
      <c r="N138" s="765"/>
      <c r="O138" s="765"/>
      <c r="P138" s="765"/>
      <c r="Q138" s="766"/>
      <c r="R138" s="32"/>
      <c r="S138" s="32"/>
    </row>
    <row r="139" spans="1:29" ht="30" customHeight="1" thickBot="1" x14ac:dyDescent="0.25">
      <c r="A139" s="806" t="s">
        <v>348</v>
      </c>
      <c r="B139" s="807"/>
      <c r="C139" s="807"/>
      <c r="D139" s="807"/>
      <c r="E139" s="807"/>
      <c r="F139" s="807"/>
      <c r="G139" s="807"/>
      <c r="H139" s="807"/>
      <c r="I139" s="807"/>
      <c r="J139" s="807"/>
      <c r="K139" s="807"/>
      <c r="L139" s="807"/>
      <c r="M139" s="807"/>
      <c r="N139" s="807"/>
      <c r="O139" s="807"/>
      <c r="P139" s="807"/>
      <c r="Q139" s="808"/>
      <c r="R139" s="32"/>
      <c r="S139" s="32"/>
    </row>
    <row r="140" spans="1:29" ht="30" customHeight="1" x14ac:dyDescent="0.2">
      <c r="A140" s="809" t="s">
        <v>349</v>
      </c>
      <c r="B140" s="811"/>
      <c r="C140" s="793" t="s">
        <v>27</v>
      </c>
      <c r="D140" s="793" t="s">
        <v>8</v>
      </c>
      <c r="E140" s="804" t="s">
        <v>350</v>
      </c>
      <c r="F140" s="804" t="s">
        <v>351</v>
      </c>
      <c r="G140" s="804" t="s">
        <v>352</v>
      </c>
      <c r="H140" s="804" t="s">
        <v>353</v>
      </c>
      <c r="I140" s="804" t="s">
        <v>354</v>
      </c>
      <c r="J140" s="804" t="s">
        <v>355</v>
      </c>
      <c r="K140" s="804" t="s">
        <v>11</v>
      </c>
      <c r="L140" s="815" t="s">
        <v>356</v>
      </c>
      <c r="M140" s="32"/>
      <c r="N140" s="817" t="s">
        <v>27</v>
      </c>
      <c r="O140" s="809" t="s">
        <v>354</v>
      </c>
      <c r="P140" s="810"/>
      <c r="Q140" s="811"/>
      <c r="R140" s="32"/>
      <c r="S140" s="32"/>
    </row>
    <row r="141" spans="1:29" ht="39.950000000000003" customHeight="1" thickBot="1" x14ac:dyDescent="0.25">
      <c r="A141" s="812"/>
      <c r="B141" s="814"/>
      <c r="C141" s="794"/>
      <c r="D141" s="794"/>
      <c r="E141" s="805"/>
      <c r="F141" s="805"/>
      <c r="G141" s="805"/>
      <c r="H141" s="805"/>
      <c r="I141" s="805"/>
      <c r="J141" s="805"/>
      <c r="K141" s="805"/>
      <c r="L141" s="816"/>
      <c r="M141" s="32"/>
      <c r="N141" s="818"/>
      <c r="O141" s="812"/>
      <c r="P141" s="813"/>
      <c r="Q141" s="814"/>
      <c r="R141" s="32"/>
      <c r="S141" s="32"/>
    </row>
    <row r="142" spans="1:29" ht="30" customHeight="1" thickBot="1" x14ac:dyDescent="0.25">
      <c r="A142" s="36"/>
      <c r="B142" s="141"/>
      <c r="C142" s="14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</row>
    <row r="143" spans="1:29" ht="30" customHeight="1" x14ac:dyDescent="0.2">
      <c r="A143" s="846" t="s">
        <v>357</v>
      </c>
      <c r="B143" s="847"/>
      <c r="C143" s="795" t="s">
        <v>358</v>
      </c>
      <c r="D143" s="798" t="s">
        <v>359</v>
      </c>
      <c r="E143" s="801" t="s">
        <v>360</v>
      </c>
      <c r="F143" s="714">
        <v>18</v>
      </c>
      <c r="G143" s="675">
        <v>0.1</v>
      </c>
      <c r="H143" s="676">
        <v>0</v>
      </c>
      <c r="I143" s="715">
        <v>0.2</v>
      </c>
      <c r="J143" s="829">
        <v>1.96</v>
      </c>
      <c r="K143" s="878" t="s">
        <v>426</v>
      </c>
      <c r="L143" s="741" t="s">
        <v>428</v>
      </c>
      <c r="M143" s="32"/>
      <c r="N143" s="248"/>
      <c r="O143" s="263" t="s">
        <v>361</v>
      </c>
      <c r="P143" s="264" t="s">
        <v>362</v>
      </c>
      <c r="Q143" s="265" t="s">
        <v>363</v>
      </c>
      <c r="R143" s="32"/>
      <c r="S143" s="32"/>
    </row>
    <row r="144" spans="1:29" ht="30" customHeight="1" x14ac:dyDescent="0.2">
      <c r="A144" s="848"/>
      <c r="B144" s="849"/>
      <c r="C144" s="796"/>
      <c r="D144" s="799"/>
      <c r="E144" s="802"/>
      <c r="F144" s="678">
        <v>21.1</v>
      </c>
      <c r="G144" s="694">
        <v>0.1</v>
      </c>
      <c r="H144" s="688">
        <v>-0.1</v>
      </c>
      <c r="I144" s="716">
        <v>0.2</v>
      </c>
      <c r="J144" s="830"/>
      <c r="K144" s="879"/>
      <c r="L144" s="742"/>
      <c r="M144" s="32"/>
      <c r="N144" s="250" t="s">
        <v>31</v>
      </c>
      <c r="O144" s="266">
        <f>MAX(I143:I145)</f>
        <v>0.2</v>
      </c>
      <c r="P144" s="267">
        <f>MAX(I146:I148)</f>
        <v>1.7</v>
      </c>
      <c r="Q144" s="268">
        <f>MAX(I149:I151)</f>
        <v>7.1999999999999995E-2</v>
      </c>
      <c r="R144" s="32"/>
      <c r="S144" s="32"/>
    </row>
    <row r="145" spans="1:23" ht="30" customHeight="1" thickBot="1" x14ac:dyDescent="0.25">
      <c r="A145" s="850"/>
      <c r="B145" s="851"/>
      <c r="C145" s="796"/>
      <c r="D145" s="799"/>
      <c r="E145" s="802"/>
      <c r="F145" s="682">
        <v>24</v>
      </c>
      <c r="G145" s="697">
        <v>0.1</v>
      </c>
      <c r="H145" s="689">
        <v>0</v>
      </c>
      <c r="I145" s="717">
        <v>0.2</v>
      </c>
      <c r="J145" s="830">
        <v>1.96</v>
      </c>
      <c r="K145" s="879"/>
      <c r="L145" s="742"/>
      <c r="M145" s="32"/>
      <c r="N145" s="249"/>
      <c r="O145" s="269"/>
      <c r="P145" s="270"/>
      <c r="Q145" s="271"/>
      <c r="R145" s="32"/>
      <c r="S145" s="32"/>
    </row>
    <row r="146" spans="1:23" ht="30" customHeight="1" x14ac:dyDescent="0.2">
      <c r="A146" s="819" t="s">
        <v>364</v>
      </c>
      <c r="B146" s="820"/>
      <c r="C146" s="796"/>
      <c r="D146" s="799"/>
      <c r="E146" s="802"/>
      <c r="F146" s="674">
        <v>33.6</v>
      </c>
      <c r="G146" s="718">
        <v>0.1</v>
      </c>
      <c r="H146" s="718">
        <v>-3.6</v>
      </c>
      <c r="I146" s="719">
        <v>1.7</v>
      </c>
      <c r="J146" s="844">
        <v>1.96</v>
      </c>
      <c r="K146" s="880" t="s">
        <v>427</v>
      </c>
      <c r="L146" s="743" t="s">
        <v>429</v>
      </c>
      <c r="M146" s="32"/>
      <c r="N146" s="142"/>
      <c r="P146" s="32"/>
      <c r="Q146" s="32"/>
      <c r="R146" s="32"/>
    </row>
    <row r="147" spans="1:23" ht="30" customHeight="1" x14ac:dyDescent="0.2">
      <c r="A147" s="821"/>
      <c r="B147" s="822"/>
      <c r="C147" s="796"/>
      <c r="D147" s="799"/>
      <c r="E147" s="802"/>
      <c r="F147" s="678">
        <v>55.8</v>
      </c>
      <c r="G147" s="720">
        <v>0.1</v>
      </c>
      <c r="H147" s="720">
        <v>-0.8</v>
      </c>
      <c r="I147" s="721">
        <v>1.7</v>
      </c>
      <c r="J147" s="844">
        <v>1.96</v>
      </c>
      <c r="K147" s="879"/>
      <c r="L147" s="742"/>
      <c r="M147" s="32"/>
      <c r="N147" s="32"/>
      <c r="O147" s="32"/>
      <c r="P147" s="32"/>
      <c r="Q147" s="32"/>
      <c r="R147" s="32"/>
    </row>
    <row r="148" spans="1:23" ht="30" customHeight="1" thickBot="1" x14ac:dyDescent="0.25">
      <c r="A148" s="823"/>
      <c r="B148" s="824"/>
      <c r="C148" s="796"/>
      <c r="D148" s="799"/>
      <c r="E148" s="802"/>
      <c r="F148" s="722">
        <v>78.400000000000006</v>
      </c>
      <c r="G148" s="723">
        <v>0.1</v>
      </c>
      <c r="H148" s="723">
        <v>2.5</v>
      </c>
      <c r="I148" s="724">
        <v>1.7</v>
      </c>
      <c r="J148" s="844"/>
      <c r="K148" s="879"/>
      <c r="L148" s="742"/>
      <c r="M148" s="32"/>
      <c r="N148" s="32"/>
      <c r="O148" s="32"/>
      <c r="P148" s="32"/>
      <c r="Q148" s="32"/>
      <c r="R148" s="32"/>
    </row>
    <row r="149" spans="1:23" ht="30" customHeight="1" x14ac:dyDescent="0.2">
      <c r="A149" s="819" t="s">
        <v>365</v>
      </c>
      <c r="B149" s="820"/>
      <c r="C149" s="796"/>
      <c r="D149" s="799"/>
      <c r="E149" s="802"/>
      <c r="F149" s="707">
        <v>499.79599999999999</v>
      </c>
      <c r="G149" s="718">
        <v>0.1</v>
      </c>
      <c r="H149" s="725">
        <v>1.548</v>
      </c>
      <c r="I149" s="726">
        <v>6.6000000000000003E-2</v>
      </c>
      <c r="J149" s="844">
        <v>2.04</v>
      </c>
      <c r="K149" s="880" t="s">
        <v>424</v>
      </c>
      <c r="L149" s="901" t="s">
        <v>430</v>
      </c>
      <c r="M149" s="32"/>
      <c r="N149" s="32"/>
      <c r="O149" s="32"/>
      <c r="P149" s="32"/>
      <c r="Q149" s="32"/>
      <c r="R149" s="32"/>
      <c r="V149" s="294"/>
      <c r="W149" s="294"/>
    </row>
    <row r="150" spans="1:23" ht="30" customHeight="1" x14ac:dyDescent="0.2">
      <c r="A150" s="821"/>
      <c r="B150" s="822"/>
      <c r="C150" s="796"/>
      <c r="D150" s="799"/>
      <c r="E150" s="802"/>
      <c r="F150" s="713">
        <v>752.29499999999996</v>
      </c>
      <c r="G150" s="720">
        <v>0.1</v>
      </c>
      <c r="H150" s="727">
        <v>1.0489999999999999</v>
      </c>
      <c r="I150" s="728">
        <v>6.8000000000000005E-2</v>
      </c>
      <c r="J150" s="844">
        <v>2</v>
      </c>
      <c r="K150" s="879"/>
      <c r="L150" s="742" t="s">
        <v>367</v>
      </c>
      <c r="M150" s="32"/>
      <c r="N150" s="32"/>
      <c r="O150" s="32"/>
      <c r="P150" s="32"/>
      <c r="Q150" s="32"/>
      <c r="R150" s="32"/>
    </row>
    <row r="151" spans="1:23" ht="30" customHeight="1" thickBot="1" x14ac:dyDescent="0.25">
      <c r="A151" s="823"/>
      <c r="B151" s="824"/>
      <c r="C151" s="797"/>
      <c r="D151" s="800"/>
      <c r="E151" s="803"/>
      <c r="F151" s="696">
        <v>949.69299999999998</v>
      </c>
      <c r="G151" s="723">
        <v>0.1</v>
      </c>
      <c r="H151" s="729">
        <v>0.82299999999999995</v>
      </c>
      <c r="I151" s="730">
        <v>7.1999999999999995E-2</v>
      </c>
      <c r="J151" s="845"/>
      <c r="K151" s="881"/>
      <c r="L151" s="897"/>
      <c r="M151" s="32"/>
      <c r="N151" s="32"/>
      <c r="O151" s="32"/>
      <c r="P151" s="32"/>
      <c r="Q151" s="32"/>
      <c r="R151" s="32"/>
    </row>
    <row r="152" spans="1:23" ht="30" customHeight="1" x14ac:dyDescent="0.2">
      <c r="A152" s="36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M152" s="32"/>
      <c r="N152" s="32"/>
      <c r="O152" s="32"/>
      <c r="P152" s="32"/>
      <c r="Q152" s="32"/>
      <c r="R152" s="32"/>
      <c r="S152" s="32"/>
    </row>
    <row r="153" spans="1:23" ht="30" customHeight="1" thickBot="1" x14ac:dyDescent="0.25">
      <c r="M153" s="32"/>
    </row>
    <row r="154" spans="1:23" ht="30" customHeight="1" x14ac:dyDescent="0.2">
      <c r="A154" s="819" t="s">
        <v>357</v>
      </c>
      <c r="B154" s="820"/>
      <c r="C154" s="795" t="s">
        <v>368</v>
      </c>
      <c r="D154" s="798" t="s">
        <v>359</v>
      </c>
      <c r="E154" s="852" t="s">
        <v>369</v>
      </c>
      <c r="F154" s="151">
        <v>10.3</v>
      </c>
      <c r="G154" s="82">
        <v>0.1</v>
      </c>
      <c r="H154" s="152">
        <v>0</v>
      </c>
      <c r="I154" s="158">
        <v>0.3</v>
      </c>
      <c r="J154" s="853">
        <v>1.96</v>
      </c>
      <c r="K154" s="882">
        <v>44704</v>
      </c>
      <c r="L154" s="867" t="s">
        <v>421</v>
      </c>
      <c r="M154" s="32"/>
      <c r="N154" s="248"/>
      <c r="O154" s="263" t="s">
        <v>361</v>
      </c>
      <c r="P154" s="264" t="s">
        <v>362</v>
      </c>
      <c r="Q154" s="265" t="s">
        <v>363</v>
      </c>
    </row>
    <row r="155" spans="1:23" ht="30" customHeight="1" x14ac:dyDescent="0.2">
      <c r="A155" s="821"/>
      <c r="B155" s="822"/>
      <c r="C155" s="796"/>
      <c r="D155" s="799"/>
      <c r="E155" s="802"/>
      <c r="F155" s="88">
        <v>20</v>
      </c>
      <c r="G155" s="89">
        <v>0.1</v>
      </c>
      <c r="H155" s="92">
        <v>0.1</v>
      </c>
      <c r="I155" s="153">
        <v>0.2</v>
      </c>
      <c r="J155" s="854"/>
      <c r="K155" s="883"/>
      <c r="L155" s="868"/>
      <c r="M155" s="32"/>
      <c r="N155" s="250" t="s">
        <v>129</v>
      </c>
      <c r="O155" s="266">
        <f>MAX(I154:I156)</f>
        <v>0.4</v>
      </c>
      <c r="P155" s="267">
        <f>MAX(I157:I159)</f>
        <v>1.7</v>
      </c>
      <c r="Q155" s="268">
        <f>MAX(I160:I162)</f>
        <v>8.7999999999999995E-2</v>
      </c>
    </row>
    <row r="156" spans="1:23" ht="30" customHeight="1" thickBot="1" x14ac:dyDescent="0.25">
      <c r="A156" s="823"/>
      <c r="B156" s="824"/>
      <c r="C156" s="796"/>
      <c r="D156" s="799"/>
      <c r="E156" s="802"/>
      <c r="F156" s="154">
        <v>39.200000000000003</v>
      </c>
      <c r="G156" s="149">
        <v>0.1</v>
      </c>
      <c r="H156" s="155">
        <v>0.3</v>
      </c>
      <c r="I156" s="156">
        <v>0.4</v>
      </c>
      <c r="J156" s="854"/>
      <c r="K156" s="884"/>
      <c r="L156" s="869"/>
      <c r="M156" s="32"/>
      <c r="N156" s="249"/>
      <c r="O156" s="269"/>
      <c r="P156" s="270"/>
      <c r="Q156" s="271"/>
    </row>
    <row r="157" spans="1:23" ht="30" customHeight="1" x14ac:dyDescent="0.2">
      <c r="A157" s="819" t="s">
        <v>364</v>
      </c>
      <c r="B157" s="820"/>
      <c r="C157" s="796"/>
      <c r="D157" s="799"/>
      <c r="E157" s="802"/>
      <c r="F157" s="151">
        <v>33.299999999999997</v>
      </c>
      <c r="G157" s="82">
        <v>0.1</v>
      </c>
      <c r="H157" s="82">
        <v>-3.3</v>
      </c>
      <c r="I157" s="157">
        <v>1.7</v>
      </c>
      <c r="J157" s="870">
        <v>1.96</v>
      </c>
      <c r="K157" s="885" t="s">
        <v>422</v>
      </c>
      <c r="L157" s="871" t="s">
        <v>423</v>
      </c>
      <c r="M157" s="32"/>
      <c r="N157" s="32"/>
      <c r="O157" s="32"/>
      <c r="P157" s="32"/>
      <c r="Q157" s="32"/>
    </row>
    <row r="158" spans="1:23" ht="30" customHeight="1" x14ac:dyDescent="0.2">
      <c r="A158" s="821"/>
      <c r="B158" s="822"/>
      <c r="C158" s="796"/>
      <c r="D158" s="799"/>
      <c r="E158" s="802"/>
      <c r="F158" s="96">
        <v>51.3</v>
      </c>
      <c r="G158" s="89">
        <v>0.1</v>
      </c>
      <c r="H158" s="89">
        <v>-1.4</v>
      </c>
      <c r="I158" s="147">
        <v>1.7</v>
      </c>
      <c r="J158" s="854"/>
      <c r="K158" s="883"/>
      <c r="L158" s="868"/>
      <c r="M158" s="32"/>
      <c r="N158" s="32"/>
      <c r="O158" s="32"/>
      <c r="P158" s="32"/>
      <c r="Q158" s="32"/>
      <c r="R158" s="32"/>
    </row>
    <row r="159" spans="1:23" ht="30" customHeight="1" thickBot="1" x14ac:dyDescent="0.25">
      <c r="A159" s="823"/>
      <c r="B159" s="824"/>
      <c r="C159" s="796"/>
      <c r="D159" s="799"/>
      <c r="E159" s="802"/>
      <c r="F159" s="148">
        <v>77.5</v>
      </c>
      <c r="G159" s="149">
        <v>0.1</v>
      </c>
      <c r="H159" s="149">
        <v>2.5</v>
      </c>
      <c r="I159" s="150">
        <v>1.7</v>
      </c>
      <c r="J159" s="854"/>
      <c r="K159" s="884"/>
      <c r="L159" s="869"/>
      <c r="M159" s="32"/>
      <c r="N159" s="32"/>
      <c r="O159" s="32"/>
      <c r="P159" s="32"/>
      <c r="Q159" s="32"/>
      <c r="R159" s="32"/>
    </row>
    <row r="160" spans="1:23" ht="30" customHeight="1" x14ac:dyDescent="0.2">
      <c r="A160" s="819" t="s">
        <v>365</v>
      </c>
      <c r="B160" s="820"/>
      <c r="C160" s="796"/>
      <c r="D160" s="799"/>
      <c r="E160" s="802"/>
      <c r="F160" s="664">
        <v>499.02600000000001</v>
      </c>
      <c r="G160" s="661">
        <v>0.1</v>
      </c>
      <c r="H160" s="661">
        <v>1.573</v>
      </c>
      <c r="I160" s="665">
        <v>7.6999999999999999E-2</v>
      </c>
      <c r="J160" s="855">
        <v>1.96</v>
      </c>
      <c r="K160" s="886" t="s">
        <v>366</v>
      </c>
      <c r="L160" s="898" t="s">
        <v>370</v>
      </c>
      <c r="M160" s="32"/>
      <c r="N160" s="32"/>
      <c r="O160" s="32"/>
    </row>
    <row r="161" spans="1:21" ht="30" customHeight="1" x14ac:dyDescent="0.2">
      <c r="A161" s="821"/>
      <c r="B161" s="822"/>
      <c r="C161" s="796"/>
      <c r="D161" s="799"/>
      <c r="E161" s="802"/>
      <c r="F161" s="666">
        <v>752.18100000000004</v>
      </c>
      <c r="G161" s="662">
        <v>0.1</v>
      </c>
      <c r="H161" s="667">
        <v>1.0469999999999999</v>
      </c>
      <c r="I161" s="668">
        <v>8.3000000000000004E-2</v>
      </c>
      <c r="J161" s="856">
        <v>1.96</v>
      </c>
      <c r="K161" s="887"/>
      <c r="L161" s="899" t="s">
        <v>371</v>
      </c>
      <c r="M161" s="32"/>
      <c r="N161" s="32"/>
      <c r="O161" s="32"/>
    </row>
    <row r="162" spans="1:21" ht="30" customHeight="1" thickBot="1" x14ac:dyDescent="0.25">
      <c r="A162" s="823"/>
      <c r="B162" s="824"/>
      <c r="C162" s="797"/>
      <c r="D162" s="800"/>
      <c r="E162" s="803"/>
      <c r="F162" s="669">
        <v>900.66499999999996</v>
      </c>
      <c r="G162" s="663">
        <v>0.1</v>
      </c>
      <c r="H162" s="663">
        <v>0.73699999999999999</v>
      </c>
      <c r="I162" s="670">
        <v>8.7999999999999995E-2</v>
      </c>
      <c r="J162" s="857">
        <v>2</v>
      </c>
      <c r="K162" s="888"/>
      <c r="L162" s="900" t="s">
        <v>372</v>
      </c>
      <c r="M162" s="32"/>
      <c r="N162" s="32"/>
      <c r="O162" s="32"/>
    </row>
    <row r="163" spans="1:21" ht="30" customHeight="1" x14ac:dyDescent="0.2">
      <c r="M163" s="32"/>
      <c r="U163" s="28" t="s">
        <v>125</v>
      </c>
    </row>
    <row r="164" spans="1:21" ht="30" customHeight="1" thickBot="1" x14ac:dyDescent="0.25">
      <c r="M164" s="32"/>
    </row>
    <row r="165" spans="1:21" ht="30" customHeight="1" x14ac:dyDescent="0.2">
      <c r="A165" s="872" t="s">
        <v>357</v>
      </c>
      <c r="B165" s="873"/>
      <c r="C165" s="795" t="s">
        <v>373</v>
      </c>
      <c r="D165" s="831" t="s">
        <v>359</v>
      </c>
      <c r="E165" s="801">
        <v>19506160802033</v>
      </c>
      <c r="F165" s="674">
        <v>14.9</v>
      </c>
      <c r="G165" s="675">
        <v>0.1</v>
      </c>
      <c r="H165" s="676">
        <v>0.1</v>
      </c>
      <c r="I165" s="709">
        <v>0.2</v>
      </c>
      <c r="J165" s="834">
        <v>1.96</v>
      </c>
      <c r="K165" s="878" t="s">
        <v>435</v>
      </c>
      <c r="L165" s="741" t="s">
        <v>432</v>
      </c>
      <c r="M165" s="32"/>
      <c r="N165" s="248"/>
      <c r="O165" s="263" t="s">
        <v>361</v>
      </c>
      <c r="P165" s="264" t="s">
        <v>362</v>
      </c>
      <c r="Q165" s="265" t="s">
        <v>363</v>
      </c>
    </row>
    <row r="166" spans="1:21" ht="30" customHeight="1" x14ac:dyDescent="0.2">
      <c r="A166" s="874"/>
      <c r="B166" s="875"/>
      <c r="C166" s="827"/>
      <c r="D166" s="832"/>
      <c r="E166" s="802"/>
      <c r="F166" s="687">
        <v>25</v>
      </c>
      <c r="G166" s="694">
        <v>0.1</v>
      </c>
      <c r="H166" s="688">
        <v>0</v>
      </c>
      <c r="I166" s="710">
        <v>0.2</v>
      </c>
      <c r="J166" s="835"/>
      <c r="K166" s="879"/>
      <c r="L166" s="742"/>
      <c r="M166" s="32"/>
      <c r="N166" s="250" t="s">
        <v>159</v>
      </c>
      <c r="O166" s="266">
        <f>MAX(I165:I167)</f>
        <v>0.2</v>
      </c>
      <c r="P166" s="267">
        <f>MAX(I168:I170)</f>
        <v>1.7</v>
      </c>
      <c r="Q166" s="268">
        <f>MAX(I171:I173)</f>
        <v>7.3999999999999996E-2</v>
      </c>
    </row>
    <row r="167" spans="1:21" ht="30" customHeight="1" thickBot="1" x14ac:dyDescent="0.25">
      <c r="A167" s="876"/>
      <c r="B167" s="877"/>
      <c r="C167" s="827"/>
      <c r="D167" s="832"/>
      <c r="E167" s="802"/>
      <c r="F167" s="682">
        <v>34.9</v>
      </c>
      <c r="G167" s="697">
        <v>0.1</v>
      </c>
      <c r="H167" s="689">
        <v>0.1</v>
      </c>
      <c r="I167" s="711">
        <v>0.2</v>
      </c>
      <c r="J167" s="835"/>
      <c r="K167" s="879"/>
      <c r="L167" s="742"/>
      <c r="M167" s="32"/>
      <c r="N167" s="249"/>
      <c r="O167" s="269"/>
      <c r="P167" s="270"/>
      <c r="Q167" s="271"/>
    </row>
    <row r="168" spans="1:21" ht="30" customHeight="1" x14ac:dyDescent="0.2">
      <c r="A168" s="819" t="s">
        <v>364</v>
      </c>
      <c r="B168" s="820"/>
      <c r="C168" s="827"/>
      <c r="D168" s="832"/>
      <c r="E168" s="802"/>
      <c r="F168" s="674">
        <v>32.9</v>
      </c>
      <c r="G168" s="675">
        <v>0.1</v>
      </c>
      <c r="H168" s="675">
        <v>-2.9</v>
      </c>
      <c r="I168" s="702">
        <v>1.7</v>
      </c>
      <c r="J168" s="835">
        <v>1.96</v>
      </c>
      <c r="K168" s="880" t="s">
        <v>427</v>
      </c>
      <c r="L168" s="743" t="s">
        <v>433</v>
      </c>
      <c r="M168" s="32"/>
      <c r="N168" s="142"/>
      <c r="O168" s="32"/>
      <c r="P168" s="32"/>
      <c r="Q168" s="32"/>
      <c r="R168" s="32"/>
    </row>
    <row r="169" spans="1:21" ht="30" customHeight="1" x14ac:dyDescent="0.2">
      <c r="A169" s="821"/>
      <c r="B169" s="822"/>
      <c r="C169" s="827"/>
      <c r="D169" s="832"/>
      <c r="E169" s="802"/>
      <c r="F169" s="678">
        <v>55.6</v>
      </c>
      <c r="G169" s="694">
        <v>0.1</v>
      </c>
      <c r="H169" s="694">
        <v>-0.6</v>
      </c>
      <c r="I169" s="703">
        <v>1.7</v>
      </c>
      <c r="J169" s="835"/>
      <c r="K169" s="879"/>
      <c r="L169" s="742"/>
      <c r="M169" s="32"/>
      <c r="N169" s="32"/>
      <c r="O169" s="32"/>
      <c r="P169" s="32"/>
      <c r="Q169" s="32"/>
      <c r="R169" s="32"/>
    </row>
    <row r="170" spans="1:21" ht="30" customHeight="1" thickBot="1" x14ac:dyDescent="0.25">
      <c r="A170" s="823"/>
      <c r="B170" s="824"/>
      <c r="C170" s="827"/>
      <c r="D170" s="832"/>
      <c r="E170" s="802"/>
      <c r="F170" s="704">
        <v>79</v>
      </c>
      <c r="G170" s="705">
        <v>0.1</v>
      </c>
      <c r="H170" s="705">
        <v>1.9</v>
      </c>
      <c r="I170" s="706">
        <v>1.7</v>
      </c>
      <c r="J170" s="835"/>
      <c r="K170" s="879"/>
      <c r="L170" s="742"/>
      <c r="M170" s="32"/>
      <c r="N170" s="32"/>
      <c r="O170" s="32"/>
      <c r="P170" s="32"/>
      <c r="Q170" s="32"/>
      <c r="R170" s="32"/>
    </row>
    <row r="171" spans="1:21" ht="30" customHeight="1" x14ac:dyDescent="0.2">
      <c r="A171" s="819" t="s">
        <v>365</v>
      </c>
      <c r="B171" s="820"/>
      <c r="C171" s="827"/>
      <c r="D171" s="832"/>
      <c r="E171" s="802"/>
      <c r="F171" s="674">
        <v>499.80099999999999</v>
      </c>
      <c r="G171" s="675">
        <v>0.1</v>
      </c>
      <c r="H171" s="712">
        <v>1.742</v>
      </c>
      <c r="I171" s="702">
        <v>6.6000000000000003E-2</v>
      </c>
      <c r="J171" s="825">
        <v>2.04</v>
      </c>
      <c r="K171" s="880" t="s">
        <v>424</v>
      </c>
      <c r="L171" s="896" t="s">
        <v>434</v>
      </c>
      <c r="M171" s="32"/>
      <c r="N171" s="32"/>
      <c r="O171" s="32"/>
      <c r="P171" s="32"/>
      <c r="Q171" s="32"/>
      <c r="R171" s="32"/>
    </row>
    <row r="172" spans="1:21" ht="30" customHeight="1" x14ac:dyDescent="0.2">
      <c r="A172" s="821"/>
      <c r="B172" s="822"/>
      <c r="C172" s="827"/>
      <c r="D172" s="832"/>
      <c r="E172" s="802"/>
      <c r="F172" s="713">
        <v>752.29600000000005</v>
      </c>
      <c r="G172" s="694">
        <v>0.1</v>
      </c>
      <c r="H172" s="695">
        <v>1.2150000000000001</v>
      </c>
      <c r="I172" s="703">
        <v>6.8000000000000005E-2</v>
      </c>
      <c r="J172" s="825"/>
      <c r="K172" s="879"/>
      <c r="L172" s="742"/>
      <c r="M172" s="32"/>
      <c r="N172" s="32"/>
      <c r="O172" s="32"/>
      <c r="P172" s="32"/>
      <c r="Q172" s="32"/>
      <c r="R172" s="32"/>
    </row>
    <row r="173" spans="1:21" ht="30" customHeight="1" thickBot="1" x14ac:dyDescent="0.25">
      <c r="A173" s="823"/>
      <c r="B173" s="824"/>
      <c r="C173" s="828"/>
      <c r="D173" s="833"/>
      <c r="E173" s="803"/>
      <c r="F173" s="696" t="s">
        <v>431</v>
      </c>
      <c r="G173" s="697">
        <v>0.1</v>
      </c>
      <c r="H173" s="697">
        <v>1.1379999999999999</v>
      </c>
      <c r="I173" s="708">
        <v>7.3999999999999996E-2</v>
      </c>
      <c r="J173" s="826"/>
      <c r="K173" s="881"/>
      <c r="L173" s="897"/>
      <c r="M173" s="32"/>
      <c r="N173" s="32"/>
      <c r="O173" s="32"/>
      <c r="P173" s="32"/>
      <c r="Q173" s="32"/>
      <c r="R173" s="32"/>
    </row>
    <row r="174" spans="1:21" ht="30" customHeight="1" x14ac:dyDescent="0.2">
      <c r="M174" s="32"/>
    </row>
    <row r="175" spans="1:21" ht="30" customHeight="1" thickBot="1" x14ac:dyDescent="0.25">
      <c r="M175" s="32"/>
    </row>
    <row r="176" spans="1:21" ht="30" customHeight="1" x14ac:dyDescent="0.2">
      <c r="A176" s="819" t="s">
        <v>357</v>
      </c>
      <c r="B176" s="820"/>
      <c r="C176" s="795" t="s">
        <v>374</v>
      </c>
      <c r="D176" s="798" t="s">
        <v>359</v>
      </c>
      <c r="E176" s="801">
        <v>19406160802033</v>
      </c>
      <c r="F176" s="674">
        <v>14.9</v>
      </c>
      <c r="G176" s="675">
        <v>0.1</v>
      </c>
      <c r="H176" s="676">
        <v>0</v>
      </c>
      <c r="I176" s="699">
        <v>0.2</v>
      </c>
      <c r="J176" s="829">
        <v>1.96</v>
      </c>
      <c r="K176" s="878" t="s">
        <v>437</v>
      </c>
      <c r="L176" s="741" t="s">
        <v>441</v>
      </c>
      <c r="M176" s="32"/>
      <c r="N176" s="248"/>
      <c r="O176" s="263" t="s">
        <v>361</v>
      </c>
      <c r="P176" s="264" t="s">
        <v>362</v>
      </c>
      <c r="Q176" s="265" t="s">
        <v>363</v>
      </c>
    </row>
    <row r="177" spans="1:19" ht="30" customHeight="1" x14ac:dyDescent="0.2">
      <c r="A177" s="821"/>
      <c r="B177" s="822"/>
      <c r="C177" s="827"/>
      <c r="D177" s="799"/>
      <c r="E177" s="802"/>
      <c r="F177" s="687">
        <v>24.9</v>
      </c>
      <c r="G177" s="694">
        <v>0.1</v>
      </c>
      <c r="H177" s="688">
        <v>0</v>
      </c>
      <c r="I177" s="700">
        <v>0.2</v>
      </c>
      <c r="J177" s="830"/>
      <c r="K177" s="879"/>
      <c r="L177" s="742"/>
      <c r="M177" s="32"/>
      <c r="N177" s="250" t="s">
        <v>375</v>
      </c>
      <c r="O177" s="266">
        <f>MAX(I176:I178)</f>
        <v>0.2</v>
      </c>
      <c r="P177" s="267">
        <f>MAX(I179:I181)</f>
        <v>1.7</v>
      </c>
      <c r="Q177" s="268">
        <f>MAX(I182:I184)</f>
        <v>7.1999999999999995E-2</v>
      </c>
    </row>
    <row r="178" spans="1:19" ht="30" customHeight="1" thickBot="1" x14ac:dyDescent="0.25">
      <c r="A178" s="823"/>
      <c r="B178" s="824"/>
      <c r="C178" s="827"/>
      <c r="D178" s="799"/>
      <c r="E178" s="802"/>
      <c r="F178" s="682">
        <v>34.9</v>
      </c>
      <c r="G178" s="697">
        <v>0.1</v>
      </c>
      <c r="H178" s="689">
        <v>0</v>
      </c>
      <c r="I178" s="701">
        <v>0.2</v>
      </c>
      <c r="J178" s="830"/>
      <c r="K178" s="879"/>
      <c r="L178" s="742"/>
      <c r="M178" s="32"/>
      <c r="N178" s="249"/>
      <c r="O178" s="269"/>
      <c r="P178" s="270"/>
      <c r="Q178" s="271"/>
    </row>
    <row r="179" spans="1:19" ht="30" customHeight="1" x14ac:dyDescent="0.2">
      <c r="A179" s="819" t="s">
        <v>364</v>
      </c>
      <c r="B179" s="820"/>
      <c r="C179" s="827"/>
      <c r="D179" s="799"/>
      <c r="E179" s="802"/>
      <c r="F179" s="674">
        <v>33.299999999999997</v>
      </c>
      <c r="G179" s="675">
        <v>0.1</v>
      </c>
      <c r="H179" s="675">
        <v>-3.3</v>
      </c>
      <c r="I179" s="702">
        <v>1.7</v>
      </c>
      <c r="J179" s="830">
        <v>1.96</v>
      </c>
      <c r="K179" s="880" t="s">
        <v>439</v>
      </c>
      <c r="L179" s="743" t="s">
        <v>442</v>
      </c>
      <c r="M179" s="32"/>
      <c r="N179" s="32"/>
      <c r="O179" s="32"/>
      <c r="P179" s="32"/>
      <c r="Q179" s="32"/>
      <c r="R179" s="32"/>
    </row>
    <row r="180" spans="1:19" ht="35.1" customHeight="1" x14ac:dyDescent="0.2">
      <c r="A180" s="821"/>
      <c r="B180" s="822"/>
      <c r="C180" s="827"/>
      <c r="D180" s="799"/>
      <c r="E180" s="802"/>
      <c r="F180" s="678">
        <v>56.1</v>
      </c>
      <c r="G180" s="694">
        <v>0.1</v>
      </c>
      <c r="H180" s="694">
        <v>-1.1000000000000001</v>
      </c>
      <c r="I180" s="703">
        <v>1.7</v>
      </c>
      <c r="J180" s="830">
        <v>2</v>
      </c>
      <c r="K180" s="879"/>
      <c r="L180" s="742"/>
      <c r="M180" s="32"/>
      <c r="N180" s="32"/>
      <c r="O180" s="32"/>
      <c r="P180" s="32"/>
      <c r="Q180" s="32"/>
      <c r="R180" s="32"/>
    </row>
    <row r="181" spans="1:19" ht="35.1" customHeight="1" thickBot="1" x14ac:dyDescent="0.25">
      <c r="A181" s="823"/>
      <c r="B181" s="824"/>
      <c r="C181" s="827"/>
      <c r="D181" s="799"/>
      <c r="E181" s="802"/>
      <c r="F181" s="704">
        <v>82.1</v>
      </c>
      <c r="G181" s="705">
        <v>0.1</v>
      </c>
      <c r="H181" s="705">
        <v>-1.2</v>
      </c>
      <c r="I181" s="706">
        <v>1.7</v>
      </c>
      <c r="J181" s="830"/>
      <c r="K181" s="879"/>
      <c r="L181" s="742"/>
      <c r="M181" s="32"/>
      <c r="N181" s="32"/>
      <c r="O181" s="32"/>
      <c r="P181" s="32"/>
      <c r="Q181" s="32"/>
      <c r="R181" s="32"/>
    </row>
    <row r="182" spans="1:19" ht="39.950000000000003" customHeight="1" x14ac:dyDescent="0.2">
      <c r="A182" s="819" t="s">
        <v>365</v>
      </c>
      <c r="B182" s="820"/>
      <c r="C182" s="827"/>
      <c r="D182" s="799"/>
      <c r="E182" s="802"/>
      <c r="F182" s="707">
        <v>399.84</v>
      </c>
      <c r="G182" s="675">
        <v>0.1</v>
      </c>
      <c r="H182" s="675">
        <v>1.6759999999999999</v>
      </c>
      <c r="I182" s="702">
        <v>6.5000000000000002E-2</v>
      </c>
      <c r="J182" s="825">
        <v>2.04</v>
      </c>
      <c r="K182" s="880" t="s">
        <v>424</v>
      </c>
      <c r="L182" s="896" t="s">
        <v>436</v>
      </c>
      <c r="M182" s="32"/>
      <c r="N182" s="32"/>
      <c r="O182" s="32"/>
      <c r="P182" s="32"/>
      <c r="Q182" s="32"/>
      <c r="R182" s="32"/>
    </row>
    <row r="183" spans="1:19" ht="39.950000000000003" customHeight="1" x14ac:dyDescent="0.2">
      <c r="A183" s="821"/>
      <c r="B183" s="822"/>
      <c r="C183" s="827"/>
      <c r="D183" s="799"/>
      <c r="E183" s="802"/>
      <c r="F183" s="678">
        <v>752.29499999999996</v>
      </c>
      <c r="G183" s="694">
        <v>0.1</v>
      </c>
      <c r="H183" s="695">
        <v>0.81399999999999995</v>
      </c>
      <c r="I183" s="703">
        <v>6.8000000000000005E-2</v>
      </c>
      <c r="J183" s="825">
        <v>2</v>
      </c>
      <c r="K183" s="879"/>
      <c r="L183" s="742"/>
      <c r="M183" s="32"/>
      <c r="N183" s="32"/>
      <c r="O183" s="32"/>
      <c r="P183" s="32"/>
      <c r="Q183" s="32"/>
      <c r="R183" s="32"/>
    </row>
    <row r="184" spans="1:19" ht="39.950000000000003" customHeight="1" thickBot="1" x14ac:dyDescent="0.25">
      <c r="A184" s="823"/>
      <c r="B184" s="824"/>
      <c r="C184" s="828"/>
      <c r="D184" s="800"/>
      <c r="E184" s="803"/>
      <c r="F184" s="696">
        <v>999.72299999999996</v>
      </c>
      <c r="G184" s="697">
        <v>0.1</v>
      </c>
      <c r="H184" s="697">
        <v>0.54900000000000004</v>
      </c>
      <c r="I184" s="708">
        <v>7.1999999999999995E-2</v>
      </c>
      <c r="J184" s="826"/>
      <c r="K184" s="881"/>
      <c r="L184" s="897"/>
      <c r="M184" s="32"/>
    </row>
    <row r="185" spans="1:19" ht="39.950000000000003" customHeight="1" x14ac:dyDescent="0.2">
      <c r="M185" s="32"/>
    </row>
    <row r="186" spans="1:19" ht="39.950000000000003" customHeight="1" thickBot="1" x14ac:dyDescent="0.25">
      <c r="M186" s="32"/>
    </row>
    <row r="187" spans="1:19" ht="30" customHeight="1" x14ac:dyDescent="0.2">
      <c r="A187" s="819" t="s">
        <v>357</v>
      </c>
      <c r="B187" s="820"/>
      <c r="C187" s="795" t="s">
        <v>376</v>
      </c>
      <c r="D187" s="798" t="s">
        <v>359</v>
      </c>
      <c r="E187" s="839" t="s">
        <v>377</v>
      </c>
      <c r="F187" s="674">
        <v>17.100000000000001</v>
      </c>
      <c r="G187" s="675">
        <v>0.1</v>
      </c>
      <c r="H187" s="676">
        <v>-0.2</v>
      </c>
      <c r="I187" s="677">
        <v>0.2</v>
      </c>
      <c r="J187" s="842">
        <v>1.96</v>
      </c>
      <c r="K187" s="906" t="s">
        <v>437</v>
      </c>
      <c r="L187" s="895" t="s">
        <v>438</v>
      </c>
      <c r="M187" s="32"/>
      <c r="N187" s="248"/>
      <c r="O187" s="263" t="s">
        <v>361</v>
      </c>
      <c r="P187" s="264" t="s">
        <v>362</v>
      </c>
      <c r="Q187" s="265" t="s">
        <v>363</v>
      </c>
    </row>
    <row r="188" spans="1:19" ht="30" customHeight="1" x14ac:dyDescent="0.2">
      <c r="A188" s="821"/>
      <c r="B188" s="822"/>
      <c r="C188" s="827"/>
      <c r="D188" s="799"/>
      <c r="E188" s="840"/>
      <c r="F188" s="678">
        <v>20.100000000000001</v>
      </c>
      <c r="G188" s="679">
        <v>0.1</v>
      </c>
      <c r="H188" s="680">
        <v>-0.1</v>
      </c>
      <c r="I188" s="681">
        <v>0.2</v>
      </c>
      <c r="J188" s="837"/>
      <c r="K188" s="903"/>
      <c r="L188" s="890"/>
      <c r="M188" s="32"/>
      <c r="N188" s="250" t="s">
        <v>378</v>
      </c>
      <c r="O188" s="266">
        <f>MAX(I187:I189)</f>
        <v>0.2</v>
      </c>
      <c r="P188" s="267">
        <f>MAX(I190:I192)</f>
        <v>1.7</v>
      </c>
      <c r="Q188" s="268">
        <f>MAX(I193:I195)</f>
        <v>7.0999999999999994E-2</v>
      </c>
    </row>
    <row r="189" spans="1:19" ht="30" customHeight="1" thickBot="1" x14ac:dyDescent="0.25">
      <c r="A189" s="823"/>
      <c r="B189" s="824"/>
      <c r="C189" s="827"/>
      <c r="D189" s="799"/>
      <c r="E189" s="840"/>
      <c r="F189" s="682">
        <v>23.1</v>
      </c>
      <c r="G189" s="683">
        <v>0.1</v>
      </c>
      <c r="H189" s="684">
        <v>-0.1</v>
      </c>
      <c r="I189" s="685">
        <v>0.2</v>
      </c>
      <c r="J189" s="838"/>
      <c r="K189" s="905"/>
      <c r="L189" s="891"/>
      <c r="M189" s="32"/>
      <c r="N189" s="249"/>
      <c r="O189" s="269"/>
      <c r="P189" s="270"/>
      <c r="Q189" s="271"/>
    </row>
    <row r="190" spans="1:19" ht="30" customHeight="1" x14ac:dyDescent="0.2">
      <c r="A190" s="819" t="s">
        <v>364</v>
      </c>
      <c r="B190" s="820"/>
      <c r="C190" s="827"/>
      <c r="D190" s="799"/>
      <c r="E190" s="840"/>
      <c r="F190" s="674">
        <v>33.299999999999997</v>
      </c>
      <c r="G190" s="675">
        <v>0.1</v>
      </c>
      <c r="H190" s="675">
        <v>-3.3</v>
      </c>
      <c r="I190" s="686">
        <v>1.7</v>
      </c>
      <c r="J190" s="836">
        <v>1.96</v>
      </c>
      <c r="K190" s="902" t="s">
        <v>439</v>
      </c>
      <c r="L190" s="889" t="s">
        <v>440</v>
      </c>
      <c r="M190" s="32"/>
      <c r="N190" s="32"/>
      <c r="O190" s="32"/>
      <c r="P190" s="32"/>
      <c r="Q190" s="32"/>
      <c r="R190" s="32"/>
      <c r="S190" s="32"/>
    </row>
    <row r="191" spans="1:19" ht="30" customHeight="1" x14ac:dyDescent="0.2">
      <c r="A191" s="821"/>
      <c r="B191" s="822"/>
      <c r="C191" s="827"/>
      <c r="D191" s="799"/>
      <c r="E191" s="840"/>
      <c r="F191" s="687">
        <v>55.6</v>
      </c>
      <c r="G191" s="679">
        <v>0.1</v>
      </c>
      <c r="H191" s="688">
        <v>-0.6</v>
      </c>
      <c r="I191" s="681">
        <v>1.7</v>
      </c>
      <c r="J191" s="837"/>
      <c r="K191" s="903"/>
      <c r="L191" s="890"/>
      <c r="M191" s="32"/>
      <c r="N191" s="32"/>
      <c r="O191" s="32"/>
      <c r="P191" s="32"/>
      <c r="Q191" s="32"/>
      <c r="R191" s="32"/>
      <c r="S191" s="32"/>
    </row>
    <row r="192" spans="1:19" ht="30" customHeight="1" thickBot="1" x14ac:dyDescent="0.25">
      <c r="A192" s="823"/>
      <c r="B192" s="824"/>
      <c r="C192" s="827"/>
      <c r="D192" s="799"/>
      <c r="E192" s="840"/>
      <c r="F192" s="682">
        <v>78.8</v>
      </c>
      <c r="G192" s="683">
        <v>0.1</v>
      </c>
      <c r="H192" s="689">
        <v>2.1</v>
      </c>
      <c r="I192" s="685">
        <v>1.7</v>
      </c>
      <c r="J192" s="838"/>
      <c r="K192" s="905"/>
      <c r="L192" s="891"/>
      <c r="M192" s="32"/>
      <c r="N192" s="32"/>
      <c r="O192" s="32"/>
      <c r="P192" s="32"/>
      <c r="Q192" s="32"/>
      <c r="R192" s="32"/>
      <c r="S192" s="32"/>
    </row>
    <row r="193" spans="1:22" ht="30" customHeight="1" x14ac:dyDescent="0.2">
      <c r="A193" s="819" t="s">
        <v>365</v>
      </c>
      <c r="B193" s="820"/>
      <c r="C193" s="827"/>
      <c r="D193" s="799"/>
      <c r="E193" s="840"/>
      <c r="F193" s="690">
        <v>499.78800000000001</v>
      </c>
      <c r="G193" s="675">
        <v>0.1</v>
      </c>
      <c r="H193" s="691">
        <v>1.6559999999999999</v>
      </c>
      <c r="I193" s="692">
        <v>6.6000000000000003E-2</v>
      </c>
      <c r="J193" s="836">
        <v>2.04</v>
      </c>
      <c r="K193" s="902" t="s">
        <v>424</v>
      </c>
      <c r="L193" s="892" t="s">
        <v>425</v>
      </c>
      <c r="N193" s="32"/>
      <c r="O193" s="32"/>
      <c r="P193" s="32"/>
      <c r="Q193" s="32"/>
      <c r="R193" s="32"/>
      <c r="S193" s="32"/>
    </row>
    <row r="194" spans="1:22" ht="30" customHeight="1" x14ac:dyDescent="0.2">
      <c r="A194" s="821"/>
      <c r="B194" s="822"/>
      <c r="C194" s="827"/>
      <c r="D194" s="799"/>
      <c r="E194" s="840"/>
      <c r="F194" s="693">
        <v>752.28800000000001</v>
      </c>
      <c r="G194" s="694">
        <v>0.1</v>
      </c>
      <c r="H194" s="695">
        <v>1.0900000000000001</v>
      </c>
      <c r="I194" s="681">
        <v>6.8000000000000005E-2</v>
      </c>
      <c r="J194" s="837"/>
      <c r="K194" s="903"/>
      <c r="L194" s="893"/>
      <c r="N194" s="32"/>
      <c r="O194" s="32"/>
      <c r="P194" s="32"/>
      <c r="Q194" s="32"/>
      <c r="R194" s="32"/>
      <c r="S194" s="32"/>
    </row>
    <row r="195" spans="1:22" ht="30" customHeight="1" thickBot="1" x14ac:dyDescent="0.3">
      <c r="A195" s="823"/>
      <c r="B195" s="824"/>
      <c r="C195" s="828"/>
      <c r="D195" s="800"/>
      <c r="E195" s="841"/>
      <c r="F195" s="696">
        <v>899.58299999999997</v>
      </c>
      <c r="G195" s="697">
        <v>0.1</v>
      </c>
      <c r="H195" s="698">
        <v>0.85599999999999998</v>
      </c>
      <c r="I195" s="685">
        <v>7.0999999999999994E-2</v>
      </c>
      <c r="J195" s="843"/>
      <c r="K195" s="904"/>
      <c r="L195" s="894"/>
    </row>
    <row r="196" spans="1:22" ht="30" customHeight="1" x14ac:dyDescent="0.25"/>
    <row r="197" spans="1:22" ht="30" customHeight="1" x14ac:dyDescent="0.25"/>
    <row r="198" spans="1:22" ht="30" customHeight="1" x14ac:dyDescent="0.25"/>
    <row r="199" spans="1:22" ht="30" customHeight="1" thickBot="1" x14ac:dyDescent="0.3"/>
    <row r="200" spans="1:22" ht="43.5" customHeight="1" thickBot="1" x14ac:dyDescent="0.3">
      <c r="B200" s="806" t="s">
        <v>379</v>
      </c>
      <c r="C200" s="807"/>
      <c r="D200" s="807"/>
      <c r="E200" s="807"/>
      <c r="F200" s="807"/>
      <c r="G200" s="808"/>
      <c r="I200" s="239" t="s">
        <v>27</v>
      </c>
      <c r="J200" s="239" t="s">
        <v>8</v>
      </c>
      <c r="K200" s="262" t="s">
        <v>350</v>
      </c>
      <c r="L200" s="262" t="s">
        <v>11</v>
      </c>
      <c r="M200" s="262" t="s">
        <v>356</v>
      </c>
      <c r="N200" s="245" t="s">
        <v>361</v>
      </c>
      <c r="O200" s="245" t="s">
        <v>362</v>
      </c>
      <c r="P200" s="245" t="s">
        <v>363</v>
      </c>
      <c r="Q200" s="245" t="s">
        <v>380</v>
      </c>
      <c r="R200" s="245" t="s">
        <v>381</v>
      </c>
      <c r="S200" s="245" t="s">
        <v>382</v>
      </c>
      <c r="T200" s="245" t="s">
        <v>383</v>
      </c>
      <c r="U200" s="245" t="s">
        <v>384</v>
      </c>
      <c r="V200" s="246" t="s">
        <v>385</v>
      </c>
    </row>
    <row r="201" spans="1:22" ht="50.1" customHeight="1" thickBot="1" x14ac:dyDescent="0.3">
      <c r="B201" s="863" t="s">
        <v>386</v>
      </c>
      <c r="C201" s="864"/>
      <c r="D201" s="115" t="s">
        <v>387</v>
      </c>
      <c r="E201" s="115" t="s">
        <v>349</v>
      </c>
      <c r="F201" s="115" t="s">
        <v>388</v>
      </c>
      <c r="G201" s="52" t="s">
        <v>349</v>
      </c>
    </row>
    <row r="202" spans="1:22" ht="50.1" customHeight="1" thickBot="1" x14ac:dyDescent="0.3">
      <c r="B202" s="29"/>
      <c r="G202" s="30"/>
      <c r="I202" s="143" t="str">
        <f>N144</f>
        <v>M-010</v>
      </c>
      <c r="J202" s="82" t="str">
        <f>D143</f>
        <v>Lufft Opus 20</v>
      </c>
      <c r="K202" s="82" t="str">
        <f>E143</f>
        <v>0,26.0714.0802.024</v>
      </c>
      <c r="L202" s="84" t="str">
        <f>K143&amp;" "&amp;K146&amp;" "&amp;K149</f>
        <v>2023-04-05 2023-04-03 2023-03-28</v>
      </c>
      <c r="M202" s="84" t="str">
        <f>L143&amp;" "&amp;L146&amp;" "&amp;L149</f>
        <v>INM 6603 INM 6596 INM 6591</v>
      </c>
      <c r="N202" s="152">
        <f>O144</f>
        <v>0.2</v>
      </c>
      <c r="O202" s="152">
        <f>P144</f>
        <v>1.7</v>
      </c>
      <c r="P202" s="85">
        <f>Q144</f>
        <v>7.1999999999999995E-2</v>
      </c>
      <c r="Q202" s="86">
        <f>SLOPE(H143:H145,F143:F145)</f>
        <v>-3.7023324694558115E-4</v>
      </c>
      <c r="R202" s="86">
        <f>INTERCEPT(H143:H145,F143:F145)</f>
        <v>-2.5546094039244609E-2</v>
      </c>
      <c r="S202" s="86">
        <f>SLOPE(H146:H148,F146:F148)</f>
        <v>0.13619031169452342</v>
      </c>
      <c r="T202" s="86">
        <f>INTERCEPT(H146:H148,F146:F148)</f>
        <v>-8.2509114341136769</v>
      </c>
      <c r="U202" s="86">
        <f>SLOPE(H149:H151,F149:F151)</f>
        <v>-1.6281121481284658E-3</v>
      </c>
      <c r="V202" s="87">
        <f>INTERCEPT(H149:H151,F149:F151)</f>
        <v>2.3349170926516285</v>
      </c>
    </row>
    <row r="203" spans="1:22" ht="50.1" customHeight="1" x14ac:dyDescent="0.25">
      <c r="B203" s="865" t="s">
        <v>389</v>
      </c>
      <c r="C203" s="866"/>
      <c r="D203" s="54">
        <v>21400</v>
      </c>
      <c r="E203" s="576" t="s">
        <v>390</v>
      </c>
      <c r="F203" s="576">
        <v>150</v>
      </c>
      <c r="G203" s="51" t="s">
        <v>390</v>
      </c>
      <c r="I203" s="88" t="str">
        <f>N155</f>
        <v>M-011</v>
      </c>
      <c r="J203" s="89" t="str">
        <f>D154</f>
        <v>Lufft Opus 20</v>
      </c>
      <c r="K203" s="89" t="str">
        <f>E154</f>
        <v>0,22.0714.0802.024</v>
      </c>
      <c r="L203" s="91" t="str">
        <f>K154&amp;" "&amp;K157&amp;" "&amp;K160</f>
        <v>44704 2022-05-17 2021-05-31</v>
      </c>
      <c r="M203" s="91" t="str">
        <f>L154&amp;" "&amp;L157&amp;" "&amp;L160</f>
        <v>INM 5912 INM 5913 INM 5239</v>
      </c>
      <c r="N203" s="92">
        <f>O155</f>
        <v>0.4</v>
      </c>
      <c r="O203" s="92">
        <f>P155</f>
        <v>1.7</v>
      </c>
      <c r="P203" s="93">
        <f>Q155</f>
        <v>8.7999999999999995E-2</v>
      </c>
      <c r="Q203" s="94">
        <f>SLOPE(H154:H156,F154:F156)</f>
        <v>1.0385688090358568E-2</v>
      </c>
      <c r="R203" s="94">
        <f>INTERCEPT(H154:H156,F154:F156)</f>
        <v>-0.10726844075997352</v>
      </c>
      <c r="S203" s="94">
        <f>SLOPE(H157:H159,F157:F159)</f>
        <v>0.13249979757631369</v>
      </c>
      <c r="T203" s="94">
        <f>INTERCEPT(H157:H159,F157:F159)</f>
        <v>-7.892739062373483</v>
      </c>
      <c r="U203" s="94">
        <f>SLOPE(H160:H162,F160:F162)</f>
        <v>-2.0810757363394542E-3</v>
      </c>
      <c r="V203" s="95">
        <f>INTERCEPT(H160:H162,F160:F162)</f>
        <v>2.6117362023027515</v>
      </c>
    </row>
    <row r="204" spans="1:22" ht="50.1" customHeight="1" x14ac:dyDescent="0.25">
      <c r="B204" s="861" t="s">
        <v>391</v>
      </c>
      <c r="C204" s="862"/>
      <c r="D204" s="53">
        <v>8600</v>
      </c>
      <c r="E204" s="575" t="s">
        <v>392</v>
      </c>
      <c r="F204" s="575">
        <v>170</v>
      </c>
      <c r="G204" s="50" t="s">
        <v>390</v>
      </c>
      <c r="I204" s="247" t="str">
        <f>N166</f>
        <v xml:space="preserve">M-012  </v>
      </c>
      <c r="J204" s="89" t="str">
        <f>D165</f>
        <v>Lufft Opus 20</v>
      </c>
      <c r="K204" s="97">
        <f>E165</f>
        <v>19506160802033</v>
      </c>
      <c r="L204" s="91" t="str">
        <f>K165&amp;" "&amp;K168&amp;" "&amp;K171</f>
        <v>2023-04-11 2023-04-03 2023-03-28</v>
      </c>
      <c r="M204" s="91" t="str">
        <f>L165&amp;" "&amp;L168&amp;" "&amp;L171</f>
        <v>INM 6608 INM 6597 INM 6390</v>
      </c>
      <c r="N204" s="89">
        <f>O166</f>
        <v>0.2</v>
      </c>
      <c r="O204" s="89">
        <f>P166</f>
        <v>1.7</v>
      </c>
      <c r="P204" s="93">
        <f>Q166</f>
        <v>7.3999999999999996E-2</v>
      </c>
      <c r="Q204" s="94">
        <f>SLOPE(H165:H167,F165:F167)</f>
        <v>-3.3332222259257967E-5</v>
      </c>
      <c r="R204" s="94">
        <f>INTERCEPT(H165:H167,F165:F167)</f>
        <v>6.7497750074997503E-2</v>
      </c>
      <c r="S204" s="94">
        <f>SLOPE(H168:H170,F168:F170)</f>
        <v>0.1041354303243979</v>
      </c>
      <c r="T204" s="94">
        <f>INTERCEPT(H168:H170,F168:F170)</f>
        <v>-6.3475615264455492</v>
      </c>
      <c r="U204" s="94">
        <f>SLOPE(H171:H173,F171:F173)</f>
        <v>-2.0871700429711468E-3</v>
      </c>
      <c r="V204" s="95">
        <f>INTERCEPT(H171:H173,F171:F173)</f>
        <v>2.7851696746470216</v>
      </c>
    </row>
    <row r="205" spans="1:22" ht="50.1" customHeight="1" x14ac:dyDescent="0.25">
      <c r="B205" s="861" t="s">
        <v>393</v>
      </c>
      <c r="C205" s="862"/>
      <c r="D205" s="53">
        <v>8400</v>
      </c>
      <c r="E205" s="575" t="s">
        <v>392</v>
      </c>
      <c r="F205" s="575">
        <v>170</v>
      </c>
      <c r="G205" s="50" t="s">
        <v>390</v>
      </c>
      <c r="I205" s="96" t="str">
        <f>N177</f>
        <v xml:space="preserve">M-013  </v>
      </c>
      <c r="J205" s="89" t="str">
        <f>D176</f>
        <v>Lufft Opus 20</v>
      </c>
      <c r="K205" s="97">
        <f>E176</f>
        <v>19406160802033</v>
      </c>
      <c r="L205" s="91" t="str">
        <f>K176&amp;" "&amp;K179&amp;" "&amp;K182</f>
        <v>2023-04-24 2023-05-08 2023-03-28</v>
      </c>
      <c r="M205" s="91" t="str">
        <f>L176&amp;" "&amp;L179&amp;" "&amp;L182</f>
        <v>INM 6639 INM 6668 INM 6593</v>
      </c>
      <c r="N205" s="89">
        <f>O177</f>
        <v>0.2</v>
      </c>
      <c r="O205" s="89">
        <f>P177</f>
        <v>1.7</v>
      </c>
      <c r="P205" s="93">
        <f>Q177</f>
        <v>7.1999999999999995E-2</v>
      </c>
      <c r="Q205" s="94">
        <f>SLOPE(H176:H178,F176:F178)</f>
        <v>0</v>
      </c>
      <c r="R205" s="93">
        <f>INTERCEPT(H176:H178,F176:F178)</f>
        <v>0</v>
      </c>
      <c r="S205" s="94">
        <f>SLOPE(H179:H181,F179:F181)</f>
        <v>4.1942481438411318E-2</v>
      </c>
      <c r="T205" s="93">
        <f>INTERCEPT(H179:H181,F179:F181)</f>
        <v>-4.2643785222291806</v>
      </c>
      <c r="U205" s="94">
        <f>SLOPE(H182:H184,F182:F184)</f>
        <v>-1.9171899010460003E-3</v>
      </c>
      <c r="V205" s="243">
        <f>INTERCEPT(H182:H184,F182:F184)</f>
        <v>2.3881734753616817</v>
      </c>
    </row>
    <row r="206" spans="1:22" ht="50.1" customHeight="1" thickBot="1" x14ac:dyDescent="0.3">
      <c r="B206" s="861" t="s">
        <v>394</v>
      </c>
      <c r="C206" s="862"/>
      <c r="D206" s="53">
        <v>7950</v>
      </c>
      <c r="E206" s="575" t="s">
        <v>392</v>
      </c>
      <c r="F206" s="575">
        <v>140</v>
      </c>
      <c r="G206" s="50" t="s">
        <v>390</v>
      </c>
      <c r="I206" s="148" t="str">
        <f>N188</f>
        <v>V-002</v>
      </c>
      <c r="J206" s="149" t="str">
        <f>D187</f>
        <v>Lufft Opus 20</v>
      </c>
      <c r="K206" s="149" t="str">
        <f>E187</f>
        <v>0,23.0714.0802.024</v>
      </c>
      <c r="L206" s="293" t="str">
        <f>K187&amp;" "&amp;K190&amp;" "&amp;K193</f>
        <v>2023-04-24 2023-05-08 2023-03-28</v>
      </c>
      <c r="M206" s="272" t="str">
        <f>L187&amp;" "&amp;L190&amp;" "&amp;L193</f>
        <v>INM 6638 INM 6667 INM 6588</v>
      </c>
      <c r="N206" s="149">
        <f>O188</f>
        <v>0.2</v>
      </c>
      <c r="O206" s="149">
        <f>P188</f>
        <v>1.7</v>
      </c>
      <c r="P206" s="241">
        <f>Q188</f>
        <v>7.0999999999999994E-2</v>
      </c>
      <c r="Q206" s="242">
        <f>SLOPE(H187:H189,F187:F189)</f>
        <v>1.666666666666667E-2</v>
      </c>
      <c r="R206" s="242">
        <f>INTERCEPT(H187:H189,F187:F189)</f>
        <v>-0.46833333333333338</v>
      </c>
      <c r="S206" s="242">
        <f>SLOPE(H190:H192,F190:F192)</f>
        <v>0.11866584239707899</v>
      </c>
      <c r="T206" s="242">
        <f>INTERCEPT(H190:H192,F190:F192)</f>
        <v>-7.2334205899967152</v>
      </c>
      <c r="U206" s="242">
        <f>SLOPE(H193:H195,F193:F195)</f>
        <v>-2.0270775942858531E-3</v>
      </c>
      <c r="V206" s="244">
        <f>INTERCEPT(H193:H195,F193:F195)</f>
        <v>2.6545265831478346</v>
      </c>
    </row>
    <row r="207" spans="1:22" ht="50.1" customHeight="1" x14ac:dyDescent="0.25">
      <c r="B207" s="861" t="s">
        <v>395</v>
      </c>
      <c r="C207" s="862"/>
      <c r="D207" s="53">
        <v>7700</v>
      </c>
      <c r="E207" s="575" t="s">
        <v>392</v>
      </c>
      <c r="F207" s="575">
        <v>200</v>
      </c>
      <c r="G207" s="50" t="s">
        <v>390</v>
      </c>
    </row>
    <row r="208" spans="1:22" ht="50.1" customHeight="1" x14ac:dyDescent="0.25">
      <c r="B208" s="861" t="s">
        <v>396</v>
      </c>
      <c r="C208" s="862"/>
      <c r="D208" s="53">
        <v>7800</v>
      </c>
      <c r="E208" s="575" t="s">
        <v>392</v>
      </c>
      <c r="F208" s="575">
        <v>200</v>
      </c>
      <c r="G208" s="50" t="s">
        <v>390</v>
      </c>
    </row>
    <row r="209" spans="2:7" ht="50.1" customHeight="1" x14ac:dyDescent="0.25">
      <c r="B209" s="861" t="s">
        <v>397</v>
      </c>
      <c r="C209" s="862"/>
      <c r="D209" s="53">
        <v>7700</v>
      </c>
      <c r="E209" s="575" t="s">
        <v>392</v>
      </c>
      <c r="F209" s="575">
        <v>400</v>
      </c>
      <c r="G209" s="50" t="s">
        <v>390</v>
      </c>
    </row>
    <row r="210" spans="2:7" ht="50.1" customHeight="1" x14ac:dyDescent="0.25">
      <c r="B210" s="861" t="s">
        <v>398</v>
      </c>
      <c r="C210" s="862"/>
      <c r="D210" s="53">
        <v>7100</v>
      </c>
      <c r="E210" s="575" t="s">
        <v>392</v>
      </c>
      <c r="F210" s="575">
        <v>600</v>
      </c>
      <c r="G210" s="50" t="s">
        <v>390</v>
      </c>
    </row>
    <row r="211" spans="2:7" ht="50.1" customHeight="1" x14ac:dyDescent="0.25">
      <c r="B211" s="861" t="s">
        <v>399</v>
      </c>
      <c r="C211" s="862"/>
      <c r="D211" s="53">
        <v>2700</v>
      </c>
      <c r="E211" s="575" t="s">
        <v>392</v>
      </c>
      <c r="F211" s="575">
        <v>130</v>
      </c>
      <c r="G211" s="50" t="s">
        <v>390</v>
      </c>
    </row>
    <row r="212" spans="2:7" ht="50.1" customHeight="1" x14ac:dyDescent="0.25">
      <c r="B212" s="861" t="s">
        <v>400</v>
      </c>
      <c r="C212" s="862"/>
      <c r="D212" s="53">
        <v>7840</v>
      </c>
      <c r="E212" s="575" t="s">
        <v>392</v>
      </c>
      <c r="F212" s="575">
        <v>140</v>
      </c>
      <c r="G212" s="50" t="s">
        <v>390</v>
      </c>
    </row>
    <row r="213" spans="2:7" ht="39.75" customHeight="1" thickBot="1" x14ac:dyDescent="0.3">
      <c r="B213" s="731" t="s">
        <v>400</v>
      </c>
      <c r="C213" s="732"/>
      <c r="D213" s="55" t="s">
        <v>418</v>
      </c>
      <c r="E213" s="574" t="s">
        <v>392</v>
      </c>
      <c r="F213" s="574">
        <v>140</v>
      </c>
      <c r="G213" s="49" t="s">
        <v>390</v>
      </c>
    </row>
    <row r="214" spans="2:7" ht="30" customHeight="1" x14ac:dyDescent="0.25"/>
    <row r="215" spans="2:7" ht="30" customHeight="1" x14ac:dyDescent="0.25"/>
    <row r="216" spans="2:7" ht="30" customHeight="1" x14ac:dyDescent="0.25"/>
    <row r="217" spans="2:7" ht="30" customHeight="1" x14ac:dyDescent="0.25"/>
    <row r="218" spans="2:7" ht="30" customHeight="1" x14ac:dyDescent="0.25"/>
    <row r="219" spans="2:7" ht="30" customHeight="1" x14ac:dyDescent="0.25"/>
    <row r="220" spans="2:7" ht="30" customHeight="1" x14ac:dyDescent="0.25"/>
    <row r="221" spans="2:7" ht="30" customHeight="1" x14ac:dyDescent="0.25"/>
    <row r="222" spans="2:7" ht="30" customHeight="1" x14ac:dyDescent="0.25"/>
    <row r="223" spans="2:7" ht="30" customHeight="1" x14ac:dyDescent="0.25"/>
    <row r="224" spans="2:7" ht="30" customHeight="1" x14ac:dyDescent="0.25"/>
    <row r="262" spans="61:64" ht="35.1" customHeight="1" x14ac:dyDescent="0.25">
      <c r="BI262" s="46"/>
      <c r="BJ262" s="46"/>
      <c r="BK262" s="46"/>
      <c r="BL262" s="46"/>
    </row>
    <row r="263" spans="61:64" ht="35.1" customHeight="1" x14ac:dyDescent="0.25">
      <c r="BI263" s="46"/>
      <c r="BJ263" s="46"/>
      <c r="BK263" s="46"/>
      <c r="BL263" s="46"/>
    </row>
    <row r="264" spans="61:64" ht="35.1" customHeight="1" x14ac:dyDescent="0.25">
      <c r="BI264" s="46"/>
      <c r="BJ264" s="46"/>
      <c r="BK264" s="46"/>
      <c r="BL264" s="46"/>
    </row>
    <row r="265" spans="61:64" ht="35.1" customHeight="1" x14ac:dyDescent="0.25">
      <c r="BI265" s="46"/>
      <c r="BJ265" s="46"/>
      <c r="BK265" s="46"/>
      <c r="BL265" s="46"/>
    </row>
  </sheetData>
  <mergeCells count="172">
    <mergeCell ref="L190:L192"/>
    <mergeCell ref="L193:L195"/>
    <mergeCell ref="L187:L189"/>
    <mergeCell ref="L171:L173"/>
    <mergeCell ref="L160:L162"/>
    <mergeCell ref="L149:L151"/>
    <mergeCell ref="L165:L167"/>
    <mergeCell ref="L168:L170"/>
    <mergeCell ref="K193:K195"/>
    <mergeCell ref="K190:K192"/>
    <mergeCell ref="K187:K189"/>
    <mergeCell ref="K176:K178"/>
    <mergeCell ref="K179:K181"/>
    <mergeCell ref="K182:K184"/>
    <mergeCell ref="L182:L184"/>
    <mergeCell ref="L176:L178"/>
    <mergeCell ref="K143:K145"/>
    <mergeCell ref="K146:K148"/>
    <mergeCell ref="K149:K151"/>
    <mergeCell ref="K154:K156"/>
    <mergeCell ref="K157:K159"/>
    <mergeCell ref="K160:K162"/>
    <mergeCell ref="K165:K167"/>
    <mergeCell ref="K168:K170"/>
    <mergeCell ref="K171:K173"/>
    <mergeCell ref="A1:E1"/>
    <mergeCell ref="F1:AA1"/>
    <mergeCell ref="B212:C212"/>
    <mergeCell ref="B210:C210"/>
    <mergeCell ref="B211:C211"/>
    <mergeCell ref="B200:G200"/>
    <mergeCell ref="B201:C201"/>
    <mergeCell ref="B203:C203"/>
    <mergeCell ref="B204:C204"/>
    <mergeCell ref="B205:C205"/>
    <mergeCell ref="B206:C206"/>
    <mergeCell ref="B207:C207"/>
    <mergeCell ref="B208:C208"/>
    <mergeCell ref="B209:C209"/>
    <mergeCell ref="L154:L156"/>
    <mergeCell ref="A157:B159"/>
    <mergeCell ref="J157:J159"/>
    <mergeCell ref="L157:L159"/>
    <mergeCell ref="B88:D89"/>
    <mergeCell ref="A168:B170"/>
    <mergeCell ref="J168:J170"/>
    <mergeCell ref="A165:B167"/>
    <mergeCell ref="A154:B156"/>
    <mergeCell ref="C154:C162"/>
    <mergeCell ref="A149:B151"/>
    <mergeCell ref="J149:J151"/>
    <mergeCell ref="A140:B141"/>
    <mergeCell ref="A143:B145"/>
    <mergeCell ref="D154:D162"/>
    <mergeCell ref="E154:E162"/>
    <mergeCell ref="J154:J156"/>
    <mergeCell ref="A160:B162"/>
    <mergeCell ref="J160:J162"/>
    <mergeCell ref="A146:B148"/>
    <mergeCell ref="J143:J145"/>
    <mergeCell ref="J146:J148"/>
    <mergeCell ref="G140:G141"/>
    <mergeCell ref="A190:B192"/>
    <mergeCell ref="J190:J192"/>
    <mergeCell ref="A187:B189"/>
    <mergeCell ref="C187:C195"/>
    <mergeCell ref="D187:D195"/>
    <mergeCell ref="E187:E195"/>
    <mergeCell ref="J187:J189"/>
    <mergeCell ref="A193:B195"/>
    <mergeCell ref="J193:J195"/>
    <mergeCell ref="A182:B184"/>
    <mergeCell ref="J182:J184"/>
    <mergeCell ref="A171:B173"/>
    <mergeCell ref="J171:J173"/>
    <mergeCell ref="A176:B178"/>
    <mergeCell ref="C176:C184"/>
    <mergeCell ref="D176:D184"/>
    <mergeCell ref="E176:E184"/>
    <mergeCell ref="J176:J178"/>
    <mergeCell ref="A179:B181"/>
    <mergeCell ref="J179:J181"/>
    <mergeCell ref="C165:C173"/>
    <mergeCell ref="D165:D173"/>
    <mergeCell ref="E165:E173"/>
    <mergeCell ref="J165:J167"/>
    <mergeCell ref="C132:D132"/>
    <mergeCell ref="E132:F132"/>
    <mergeCell ref="C133:D133"/>
    <mergeCell ref="E133:F133"/>
    <mergeCell ref="E134:F134"/>
    <mergeCell ref="C135:D135"/>
    <mergeCell ref="E135:F135"/>
    <mergeCell ref="C140:C141"/>
    <mergeCell ref="C143:C151"/>
    <mergeCell ref="D143:D151"/>
    <mergeCell ref="E143:E151"/>
    <mergeCell ref="D140:D141"/>
    <mergeCell ref="E140:E141"/>
    <mergeCell ref="F140:F141"/>
    <mergeCell ref="A137:Q138"/>
    <mergeCell ref="A139:Q139"/>
    <mergeCell ref="O140:Q141"/>
    <mergeCell ref="L140:L141"/>
    <mergeCell ref="H140:H141"/>
    <mergeCell ref="I140:I141"/>
    <mergeCell ref="J140:J141"/>
    <mergeCell ref="K140:K141"/>
    <mergeCell ref="C134:D134"/>
    <mergeCell ref="N140:N141"/>
    <mergeCell ref="B114:F115"/>
    <mergeCell ref="B45:B46"/>
    <mergeCell ref="C45:C46"/>
    <mergeCell ref="D45:D46"/>
    <mergeCell ref="E45:E46"/>
    <mergeCell ref="F45:F46"/>
    <mergeCell ref="G45:G46"/>
    <mergeCell ref="F116:F117"/>
    <mergeCell ref="B90:D90"/>
    <mergeCell ref="B127:G128"/>
    <mergeCell ref="C131:D131"/>
    <mergeCell ref="E131:F131"/>
    <mergeCell ref="B129:B130"/>
    <mergeCell ref="C129:G130"/>
    <mergeCell ref="B116:B117"/>
    <mergeCell ref="C116:C117"/>
    <mergeCell ref="D116:D117"/>
    <mergeCell ref="E116:E117"/>
    <mergeCell ref="R5:R6"/>
    <mergeCell ref="V5:V6"/>
    <mergeCell ref="A49:A52"/>
    <mergeCell ref="B43:J44"/>
    <mergeCell ref="E88:G89"/>
    <mergeCell ref="E90:G90"/>
    <mergeCell ref="B5:B6"/>
    <mergeCell ref="C5:C6"/>
    <mergeCell ref="D5:D6"/>
    <mergeCell ref="E5:E6"/>
    <mergeCell ref="F5:F6"/>
    <mergeCell ref="G5:G6"/>
    <mergeCell ref="H5:H6"/>
    <mergeCell ref="H45:H46"/>
    <mergeCell ref="I45:I46"/>
    <mergeCell ref="J45:J46"/>
    <mergeCell ref="K35:K36"/>
    <mergeCell ref="S5:S6"/>
    <mergeCell ref="T5:T6"/>
    <mergeCell ref="U5:U6"/>
    <mergeCell ref="B213:C213"/>
    <mergeCell ref="N3:AC4"/>
    <mergeCell ref="X5:X6"/>
    <mergeCell ref="B3:H4"/>
    <mergeCell ref="L143:L145"/>
    <mergeCell ref="L179:L181"/>
    <mergeCell ref="L146:L148"/>
    <mergeCell ref="Y5:Y6"/>
    <mergeCell ref="Z5:Z6"/>
    <mergeCell ref="AA5:AA6"/>
    <mergeCell ref="AB5:AB6"/>
    <mergeCell ref="M59:M65"/>
    <mergeCell ref="AC5:AC6"/>
    <mergeCell ref="M43:M58"/>
    <mergeCell ref="M8:M24"/>
    <mergeCell ref="M82:M93"/>
    <mergeCell ref="M94:M105"/>
    <mergeCell ref="M27:M42"/>
    <mergeCell ref="M66:M81"/>
    <mergeCell ref="W5:W6"/>
    <mergeCell ref="N5:N6"/>
    <mergeCell ref="O5:O6"/>
    <mergeCell ref="P5:P6"/>
    <mergeCell ref="Q5:Q6"/>
  </mergeCells>
  <phoneticPr fontId="62" type="noConversion"/>
  <dataValidations count="3">
    <dataValidation type="list" allowBlank="1" showInputMessage="1" showErrorMessage="1" sqref="Q28">
      <formula1>#REF!</formula1>
    </dataValidation>
    <dataValidation type="list" allowBlank="1" showInputMessage="1" showErrorMessage="1" sqref="H48">
      <formula1>$D$202:$D$214</formula1>
    </dataValidation>
    <dataValidation type="list" allowBlank="1" showInputMessage="1" showErrorMessage="1" sqref="I48">
      <formula1>$F$202:$F$212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2" manualBreakCount="2">
    <brk id="42" max="28" man="1"/>
    <brk id="136" max="28" man="1"/>
  </rowBreaks>
  <colBreaks count="1" manualBreakCount="1">
    <brk id="42" min="1" max="103" man="1"/>
  </colBreaks>
  <ignoredErrors>
    <ignoredError sqref="C9:C39 H9:H39 C49:E49 H49:J49 C50:E50 H50:J50 C51:E51 H51:J51 C52:E52 H52:J52 C53:E53 H53:J53 C54:E54 H54:J54 C55:E55 H55:J55 C56:E56 H56:J56 C57:E57 H57:J57 C58:E58 H58:J58 C59:E59 H59:J59 C60:E60 H60:J60 C61:E61 H61:J61 C62:E62 H62:J62 C63:E63 H63:J63 C64:E64 H64:J64 C65:E65 H65:J65 C66:E66 H66:J66 C67:E67 H67:J67 C68:E68 H68:J68 C69:E69 H69:J69 C70:E70 H70:J70 C71:E71 H71:J71 C72:E72 H72:J72 C73:E73 H73:J73 C74:E74 H74:J74 C75:E75 H75:J75 C76:E76 H76:J76 C77:E77 H77:J77 C78:E78 H78:J78 C79:E79 H79:J79" unlockedFormula="1"/>
    <ignoredError sqref="O144:Q144 O155:Q155 O166:Q166 O177:Q177 O188:Q188 Q202:V206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77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76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0.05</v>
      </c>
      <c r="I81" s="635">
        <v>-0.05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0.05</v>
      </c>
      <c r="I82" s="635">
        <f>I81</f>
        <v>-0.05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0.05</v>
      </c>
      <c r="I83" s="638">
        <f>I81</f>
        <v>-0.05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2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</sheetPr>
  <dimension ref="A1:U107"/>
  <sheetViews>
    <sheetView showGridLines="0" view="pageBreakPreview" zoomScale="80" zoomScaleNormal="60" zoomScaleSheetLayoutView="80" workbookViewId="0">
      <selection activeCell="C1" sqref="C1:M1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x14ac:dyDescent="0.2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0.06</v>
      </c>
      <c r="I81" s="635">
        <v>-0.06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0.06</v>
      </c>
      <c r="I82" s="635">
        <f>I81</f>
        <v>-0.06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0.06</v>
      </c>
      <c r="I83" s="638">
        <f>I81</f>
        <v>-0.06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1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¬'!$N$142:$N$164</xm:f>
          </x14:formula1>
          <xm:sqref>F48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6.85546875" style="315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77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76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0.06</v>
      </c>
      <c r="I81" s="635">
        <v>-0.06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0.06</v>
      </c>
      <c r="I82" s="635">
        <f>I81</f>
        <v>-0.06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0.06</v>
      </c>
      <c r="I83" s="638">
        <f>I81</f>
        <v>-0.06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0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¬'!$N$142:$N$164</xm:f>
          </x14:formula1>
          <xm:sqref>F48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1056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 t="s">
        <v>125</v>
      </c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474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76" t="e">
        <f>F75/1000</f>
        <v>#N/A</v>
      </c>
      <c r="G76" s="462"/>
      <c r="H76" s="948"/>
      <c r="I76" s="476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0.08</v>
      </c>
      <c r="I81" s="635">
        <v>-0.08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0.08</v>
      </c>
      <c r="I82" s="635">
        <f>I81</f>
        <v>-0.08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0.08</v>
      </c>
      <c r="I83" s="638">
        <f>I81</f>
        <v>-0.08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C24:D24"/>
    <mergeCell ref="F24:G24"/>
    <mergeCell ref="H27:I27"/>
    <mergeCell ref="A22:N22"/>
    <mergeCell ref="C26:D26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  <mergeCell ref="B38:D38"/>
    <mergeCell ref="A78:N78"/>
    <mergeCell ref="J80:N83"/>
    <mergeCell ref="A28:A31"/>
    <mergeCell ref="C33:D33"/>
    <mergeCell ref="F33:G33"/>
    <mergeCell ref="H38:J38"/>
    <mergeCell ref="H39:J42"/>
    <mergeCell ref="A46:N46"/>
    <mergeCell ref="A36:N36"/>
    <mergeCell ref="A49:B49"/>
    <mergeCell ref="G49:H49"/>
    <mergeCell ref="A47:B48"/>
    <mergeCell ref="C47:E47"/>
    <mergeCell ref="G48:H48"/>
    <mergeCell ref="D70:E70"/>
  </mergeCells>
  <conditionalFormatting sqref="G59 G62 G66:G68">
    <cfRule type="cellIs" dxfId="19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7030A0"/>
  </sheetPr>
  <dimension ref="A1:U107"/>
  <sheetViews>
    <sheetView showGridLines="0" view="pageBreakPreview" topLeftCell="A43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1" width="14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32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22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22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22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377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  <c r="K49" s="389"/>
      <c r="L49" s="389"/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491" t="s">
        <v>125</v>
      </c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27" t="s">
        <v>80</v>
      </c>
      <c r="M62" s="230" t="s">
        <v>84</v>
      </c>
      <c r="N62" s="231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93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276" t="e">
        <f>(_xlfn.T.INV.2T(0.05,J68))</f>
        <v>#DIV/0!</v>
      </c>
      <c r="L68" s="277" t="e">
        <f>(1-_xlfn.T.DIST.2T(K68,J68))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949" t="s">
        <v>102</v>
      </c>
      <c r="J74" s="949"/>
      <c r="K74" s="950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48">
        <v>0.1</v>
      </c>
      <c r="I81" s="649">
        <v>-0.1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48">
        <f>H81</f>
        <v>0.1</v>
      </c>
      <c r="I82" s="649">
        <f>I81</f>
        <v>-0.1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0">
        <f>H81</f>
        <v>0.1</v>
      </c>
      <c r="I83" s="651">
        <f>I81</f>
        <v>-0.1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J19:J20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A20:B20"/>
    <mergeCell ref="E20:F20"/>
    <mergeCell ref="C24:D24"/>
    <mergeCell ref="F24:G24"/>
    <mergeCell ref="H27:I27"/>
    <mergeCell ref="A18:N18"/>
    <mergeCell ref="A22:N22"/>
    <mergeCell ref="C26:D26"/>
    <mergeCell ref="G49:H49"/>
    <mergeCell ref="A28:A31"/>
    <mergeCell ref="C33:D33"/>
    <mergeCell ref="F33:G33"/>
    <mergeCell ref="H38:J38"/>
    <mergeCell ref="H39:J42"/>
    <mergeCell ref="A47:B48"/>
    <mergeCell ref="C47:E47"/>
    <mergeCell ref="G48:H48"/>
    <mergeCell ref="A49:B49"/>
    <mergeCell ref="A36:N36"/>
    <mergeCell ref="A46:N46"/>
    <mergeCell ref="B38:D38"/>
    <mergeCell ref="H73:K73"/>
    <mergeCell ref="F74:G74"/>
    <mergeCell ref="H74:H76"/>
    <mergeCell ref="I74:K74"/>
    <mergeCell ref="J75:K75"/>
    <mergeCell ref="J76:K76"/>
    <mergeCell ref="A78:N78"/>
    <mergeCell ref="J80:N83"/>
    <mergeCell ref="A56:N56"/>
    <mergeCell ref="A50:B50"/>
    <mergeCell ref="G50:H50"/>
    <mergeCell ref="D53:E53"/>
    <mergeCell ref="H53:I53"/>
    <mergeCell ref="A52:N52"/>
    <mergeCell ref="D70:E70"/>
    <mergeCell ref="D71:E71"/>
    <mergeCell ref="B72:K72"/>
    <mergeCell ref="A58:B58"/>
    <mergeCell ref="C58:D58"/>
    <mergeCell ref="E58:F58"/>
    <mergeCell ref="I60:N60"/>
    <mergeCell ref="B73:E73"/>
  </mergeCells>
  <conditionalFormatting sqref="G59 G62 G66:G68">
    <cfRule type="cellIs" dxfId="18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ignoredErrors>
    <ignoredError sqref="H62" formula="1"/>
    <ignoredError sqref="C41:D41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1" width="14.710937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7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467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5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3" t="e">
        <f>F75/1000</f>
        <v>#N/A</v>
      </c>
      <c r="G76" s="462"/>
      <c r="H76" s="948"/>
      <c r="I76" s="47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0.12</v>
      </c>
      <c r="I81" s="635">
        <v>-0.12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0.12</v>
      </c>
      <c r="I82" s="635">
        <f>I81</f>
        <v>-0.12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0.12</v>
      </c>
      <c r="I83" s="638">
        <f>I81</f>
        <v>-0.12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C26:D26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A49:B49"/>
    <mergeCell ref="B38:D38"/>
    <mergeCell ref="H73:K73"/>
    <mergeCell ref="F74:G74"/>
    <mergeCell ref="H74:H76"/>
    <mergeCell ref="I74:K74"/>
    <mergeCell ref="J75:K75"/>
    <mergeCell ref="J76:K76"/>
    <mergeCell ref="A78:N78"/>
    <mergeCell ref="J80:N83"/>
    <mergeCell ref="A50:B50"/>
    <mergeCell ref="G50:H50"/>
    <mergeCell ref="A52:J52"/>
    <mergeCell ref="D53:E53"/>
    <mergeCell ref="H53:I53"/>
    <mergeCell ref="D70:E70"/>
    <mergeCell ref="D71:E71"/>
    <mergeCell ref="B72:K72"/>
    <mergeCell ref="A56:J56"/>
    <mergeCell ref="A58:B58"/>
    <mergeCell ref="C58:D58"/>
    <mergeCell ref="E58:F58"/>
    <mergeCell ref="I60:N60"/>
    <mergeCell ref="B73:E73"/>
  </mergeCells>
  <conditionalFormatting sqref="G59 G62 G66:G68">
    <cfRule type="cellIs" dxfId="17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030A0"/>
  </sheetPr>
  <dimension ref="A1:U107"/>
  <sheetViews>
    <sheetView showGridLines="0" view="pageBreakPreview" topLeftCell="A55" zoomScale="80" zoomScaleNormal="60" zoomScaleSheetLayoutView="80" workbookViewId="0">
      <selection activeCell="J55" sqref="J55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" style="315" customWidth="1"/>
    <col min="10" max="10" width="13.7109375" style="315" customWidth="1"/>
    <col min="11" max="11" width="13.5703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63" t="s">
        <v>28</v>
      </c>
      <c r="B18" s="1062"/>
      <c r="C18" s="1062"/>
      <c r="D18" s="1062"/>
      <c r="E18" s="1062"/>
      <c r="F18" s="1062"/>
      <c r="G18" s="1062"/>
      <c r="H18" s="1062"/>
      <c r="I18" s="1062"/>
      <c r="J18" s="1064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1056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5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3" t="e">
        <f>F75/1000</f>
        <v>#N/A</v>
      </c>
      <c r="G76" s="462"/>
      <c r="H76" s="948"/>
      <c r="I76" s="47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0.12</v>
      </c>
      <c r="I81" s="635">
        <v>-0.12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0.12</v>
      </c>
      <c r="I82" s="635">
        <f>I81</f>
        <v>-0.12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0.12</v>
      </c>
      <c r="I83" s="638">
        <f>I81</f>
        <v>-0.12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C26:D26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A49:B49"/>
    <mergeCell ref="B38:D38"/>
    <mergeCell ref="H73:K73"/>
    <mergeCell ref="F74:G74"/>
    <mergeCell ref="H74:H76"/>
    <mergeCell ref="I74:K74"/>
    <mergeCell ref="J75:K75"/>
    <mergeCell ref="J76:K76"/>
    <mergeCell ref="A78:N78"/>
    <mergeCell ref="J80:N83"/>
    <mergeCell ref="A50:B50"/>
    <mergeCell ref="G50:H50"/>
    <mergeCell ref="A52:J52"/>
    <mergeCell ref="D53:E53"/>
    <mergeCell ref="H53:I53"/>
    <mergeCell ref="D70:E70"/>
    <mergeCell ref="D71:E71"/>
    <mergeCell ref="B72:K72"/>
    <mergeCell ref="A56:J56"/>
    <mergeCell ref="A58:B58"/>
    <mergeCell ref="C58:D58"/>
    <mergeCell ref="E58:F58"/>
    <mergeCell ref="I60:N60"/>
    <mergeCell ref="B73:E73"/>
  </mergeCells>
  <conditionalFormatting sqref="G59 G62 G66:G68">
    <cfRule type="cellIs" dxfId="16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7030A0"/>
  </sheetPr>
  <dimension ref="A1:U107"/>
  <sheetViews>
    <sheetView showGridLines="0" view="pageBreakPreview" topLeftCell="A69" zoomScale="80" zoomScaleNormal="60" zoomScaleSheetLayoutView="80" workbookViewId="0">
      <selection activeCell="A52" sqref="A49:J52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.85546875" style="315" customWidth="1"/>
    <col min="10" max="10" width="13.7109375" style="315" customWidth="1"/>
    <col min="11" max="11" width="14.710937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8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0.16</v>
      </c>
      <c r="I81" s="635">
        <v>-0.16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0.16</v>
      </c>
      <c r="I82" s="635">
        <f>I81</f>
        <v>-0.16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0.16</v>
      </c>
      <c r="I83" s="638">
        <f>I81</f>
        <v>-0.16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C26:D26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B38:D38"/>
    <mergeCell ref="H73:K73"/>
    <mergeCell ref="F74:G74"/>
    <mergeCell ref="H74:H76"/>
    <mergeCell ref="I74:K74"/>
    <mergeCell ref="J75:K75"/>
    <mergeCell ref="J76:K76"/>
    <mergeCell ref="A78:N78"/>
    <mergeCell ref="J80:N83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D70:E70"/>
    <mergeCell ref="D71:E71"/>
    <mergeCell ref="B72:K72"/>
    <mergeCell ref="B73:E73"/>
  </mergeCells>
  <conditionalFormatting sqref="G59 G62 G66:G68">
    <cfRule type="cellIs" dxfId="15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42578125" style="315" customWidth="1"/>
    <col min="10" max="10" width="13.7109375" style="315" customWidth="1"/>
    <col min="11" max="11" width="15.1406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5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8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48">
        <v>0.2</v>
      </c>
      <c r="I81" s="649">
        <v>-0.2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48">
        <f>H81</f>
        <v>0.2</v>
      </c>
      <c r="I82" s="649">
        <f>I81</f>
        <v>-0.2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0">
        <f>H81</f>
        <v>0.2</v>
      </c>
      <c r="I83" s="651">
        <f>I81</f>
        <v>-0.2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14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85546875" style="315" customWidth="1"/>
    <col min="10" max="10" width="13.7109375" style="315" customWidth="1"/>
    <col min="11" max="11" width="14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0.25</v>
      </c>
      <c r="I81" s="635">
        <v>-0.25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0.25</v>
      </c>
      <c r="I82" s="635">
        <f>I81</f>
        <v>-0.25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0.25</v>
      </c>
      <c r="I83" s="638">
        <f>I81</f>
        <v>-0.25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13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7030A0"/>
  </sheetPr>
  <dimension ref="A1:U107"/>
  <sheetViews>
    <sheetView showGridLines="0" view="pageBreakPreview" topLeftCell="A49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7" t="s">
        <v>0</v>
      </c>
      <c r="B3" s="8" t="s">
        <v>405</v>
      </c>
      <c r="C3" s="9" t="s">
        <v>1</v>
      </c>
      <c r="D3" s="9" t="s">
        <v>406</v>
      </c>
      <c r="E3" s="9" t="s">
        <v>407</v>
      </c>
      <c r="F3" s="10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¬'!N82:V134,2,FALSE)</f>
        <v>#N/A</v>
      </c>
      <c r="C7" s="311" t="s">
        <v>8</v>
      </c>
      <c r="D7" s="312" t="e">
        <f>VLOOKUP($E$6,'DATOS ¬'!N82:V134,3,FALSE)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¬'!N82:V134,4,FALSE)</f>
        <v>#N/A</v>
      </c>
      <c r="C8" s="318" t="s">
        <v>10</v>
      </c>
      <c r="D8" s="319" t="e">
        <f>VLOOKUP($E$6,'DATOS ¬'!N82:V134,5,FALSE)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¬'!N82:V134,6,FALSE)</f>
        <v>#N/A</v>
      </c>
      <c r="C9" s="322" t="s">
        <v>11</v>
      </c>
      <c r="D9" s="323" t="e">
        <f>VLOOKUP($E$6,'DATOS ¬'!N82:V134,7,FALSE)</f>
        <v>#N/A</v>
      </c>
      <c r="F9" s="968" t="s">
        <v>12</v>
      </c>
      <c r="G9" s="969"/>
      <c r="H9" s="317" t="e">
        <f>(VLOOKUP($J$6,'DATOS ¬'!B47:I79,6,FALSE))/1000</f>
        <v>#N/A</v>
      </c>
      <c r="I9" s="319" t="s">
        <v>13</v>
      </c>
      <c r="K9" s="32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22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22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22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3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29" t="s">
        <v>47</v>
      </c>
      <c r="B36" s="930"/>
      <c r="C36" s="930"/>
      <c r="D36" s="930"/>
      <c r="E36" s="930"/>
      <c r="F36" s="930"/>
      <c r="G36" s="930"/>
      <c r="H36" s="930"/>
      <c r="I36" s="930"/>
      <c r="J36" s="930"/>
      <c r="K36" s="930"/>
      <c r="L36" s="930"/>
      <c r="M36" s="930"/>
      <c r="N36" s="931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377" t="e">
        <f>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  <c r="K49" s="389"/>
      <c r="L49" s="389"/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C43</f>
        <v>#DIV/0!</v>
      </c>
      <c r="C54" s="399" t="s">
        <v>13</v>
      </c>
      <c r="D54" s="400" t="e">
        <f>(C10+C11)/1000</f>
        <v>#N/A</v>
      </c>
      <c r="E54" s="399" t="s">
        <v>13</v>
      </c>
      <c r="F54" s="401" t="e">
        <f>(I48-I50)*(1/H10-1/C13)</f>
        <v>#DIV/0!</v>
      </c>
      <c r="G54" s="402"/>
      <c r="H54" s="403" t="e">
        <f>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410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961" t="s">
        <v>77</v>
      </c>
      <c r="J60" s="962"/>
      <c r="K60" s="962"/>
      <c r="L60" s="962"/>
      <c r="M60" s="962"/>
      <c r="N60" s="963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  <c r="O63" s="235"/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O64" s="235"/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  <c r="O65" s="235"/>
      <c r="Q65" s="343"/>
      <c r="R65" s="343"/>
      <c r="S65" s="343"/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O66" s="235"/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  <c r="R67" s="343"/>
      <c r="S67" s="343"/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  <c r="R68" s="343"/>
      <c r="S68" s="343"/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SQRT(SUMSQ(C59,C62,C66,C67,C68))</f>
        <v>#DIV/0!</v>
      </c>
      <c r="H70" s="443" t="s">
        <v>18</v>
      </c>
      <c r="K70" s="344"/>
      <c r="L70" s="344"/>
      <c r="M70" s="571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949" t="s">
        <v>102</v>
      </c>
      <c r="J74" s="949"/>
      <c r="K74" s="950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53">
        <v>0.02</v>
      </c>
      <c r="I81" s="654">
        <v>-0.02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53">
        <f>H81</f>
        <v>0.02</v>
      </c>
      <c r="I82" s="654">
        <f>I81</f>
        <v>-0.02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5">
        <f>H81</f>
        <v>0.02</v>
      </c>
      <c r="I83" s="656">
        <f>I81</f>
        <v>-0.02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39.950000000000003" customHeight="1" x14ac:dyDescent="0.2">
      <c r="A86" s="585"/>
      <c r="B86" s="585"/>
      <c r="C86" s="585"/>
      <c r="D86" s="585"/>
      <c r="E86" s="585"/>
      <c r="F86" s="588"/>
      <c r="G86" s="593"/>
      <c r="H86" s="593"/>
      <c r="I86" s="593"/>
      <c r="J86" s="593"/>
      <c r="K86" s="588"/>
      <c r="L86" s="588"/>
      <c r="M86" s="588"/>
      <c r="N86" s="585"/>
    </row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C33:D33"/>
    <mergeCell ref="F33:G33"/>
    <mergeCell ref="H38:J38"/>
    <mergeCell ref="H39:J42"/>
    <mergeCell ref="A47:B48"/>
    <mergeCell ref="C47:E47"/>
    <mergeCell ref="G48:H48"/>
    <mergeCell ref="A46:N46"/>
    <mergeCell ref="A13:B13"/>
    <mergeCell ref="F13:I13"/>
    <mergeCell ref="J19:J20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A20:B20"/>
    <mergeCell ref="E20:F20"/>
    <mergeCell ref="C24:D24"/>
    <mergeCell ref="F24:G24"/>
    <mergeCell ref="H27:I27"/>
    <mergeCell ref="A28:A31"/>
    <mergeCell ref="A22:N22"/>
    <mergeCell ref="A18:N18"/>
    <mergeCell ref="A58:B58"/>
    <mergeCell ref="C58:D58"/>
    <mergeCell ref="E58:F58"/>
    <mergeCell ref="I60:N60"/>
    <mergeCell ref="A56:N56"/>
    <mergeCell ref="I74:K74"/>
    <mergeCell ref="J75:K75"/>
    <mergeCell ref="J76:K76"/>
    <mergeCell ref="D70:E70"/>
    <mergeCell ref="D71:E71"/>
    <mergeCell ref="B72:K72"/>
    <mergeCell ref="A78:N78"/>
    <mergeCell ref="C26:D26"/>
    <mergeCell ref="B38:D38"/>
    <mergeCell ref="J80:N83"/>
    <mergeCell ref="A50:B50"/>
    <mergeCell ref="G50:H50"/>
    <mergeCell ref="D53:E53"/>
    <mergeCell ref="H53:I53"/>
    <mergeCell ref="A36:N36"/>
    <mergeCell ref="A52:N52"/>
    <mergeCell ref="G49:H49"/>
    <mergeCell ref="A49:B49"/>
    <mergeCell ref="B73:E73"/>
    <mergeCell ref="H73:K73"/>
    <mergeCell ref="F74:G74"/>
    <mergeCell ref="H74:H76"/>
  </mergeCells>
  <conditionalFormatting sqref="G59 G62 G66:G68">
    <cfRule type="cellIs" dxfId="30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7030A0"/>
  </sheetPr>
  <dimension ref="A1:U107"/>
  <sheetViews>
    <sheetView showGridLines="0" view="pageBreakPreview" zoomScale="80" zoomScaleNormal="60" zoomScaleSheetLayoutView="80" workbookViewId="0">
      <selection activeCell="J24" sqref="J24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1" width="13.285156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0.25</v>
      </c>
      <c r="I81" s="635">
        <v>-0.25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0.25</v>
      </c>
      <c r="I82" s="635">
        <f>I81</f>
        <v>-0.25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0.25</v>
      </c>
      <c r="I83" s="638">
        <f>I81</f>
        <v>-0.25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12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7030A0"/>
  </sheetPr>
  <dimension ref="A1:U107"/>
  <sheetViews>
    <sheetView showGridLines="0" view="pageBreakPreview" zoomScale="80" zoomScaleNormal="60" zoomScaleSheetLayoutView="80" workbookViewId="0">
      <selection activeCell="E27" sqref="E27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85546875" style="315" customWidth="1"/>
    <col min="10" max="10" width="13.7109375" style="315" customWidth="1"/>
    <col min="11" max="11" width="14.285156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0.3</v>
      </c>
      <c r="I81" s="635">
        <v>-0.3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0.3</v>
      </c>
      <c r="I82" s="635">
        <f>I81</f>
        <v>-0.3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0.3</v>
      </c>
      <c r="I83" s="638">
        <f>I81</f>
        <v>-0.3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11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ignoredErrors>
    <ignoredError sqref="H62" formula="1"/>
    <ignoredError sqref="C41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7109375" style="315" customWidth="1"/>
    <col min="10" max="10" width="13.7109375" style="315" customWidth="1"/>
    <col min="11" max="11" width="13.5703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77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45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6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0.5</v>
      </c>
      <c r="I81" s="635">
        <v>-0.5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0.5</v>
      </c>
      <c r="I82" s="635">
        <f>I81</f>
        <v>-0.5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0.5</v>
      </c>
      <c r="I83" s="638">
        <f>I81</f>
        <v>-0.5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10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1" width="13.5703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607"/>
      <c r="D28" s="608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609"/>
      <c r="D29" s="610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609"/>
      <c r="D30" s="610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611"/>
      <c r="D31" s="61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440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44">
        <v>1</v>
      </c>
      <c r="I81" s="645">
        <v>-1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44">
        <f>H81</f>
        <v>1</v>
      </c>
      <c r="I82" s="645">
        <f>I81</f>
        <v>-1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46">
        <f>H81</f>
        <v>1</v>
      </c>
      <c r="I83" s="647">
        <f>I81</f>
        <v>-1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9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¬'!$N$142:$N$164</xm:f>
          </x14:formula1>
          <xm:sqref>F48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.28515625" style="315" customWidth="1"/>
    <col min="10" max="10" width="13.7109375" style="315" customWidth="1"/>
    <col min="11" max="11" width="13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607"/>
      <c r="D28" s="608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609"/>
      <c r="D29" s="610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609"/>
      <c r="D30" s="610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611"/>
      <c r="D31" s="61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77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6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44">
        <v>1</v>
      </c>
      <c r="I81" s="645">
        <v>-1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44">
        <f>H81</f>
        <v>1</v>
      </c>
      <c r="I82" s="645">
        <f>I81</f>
        <v>-1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46">
        <f>H81</f>
        <v>1</v>
      </c>
      <c r="I83" s="647">
        <f>I81</f>
        <v>-1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8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.42578125" style="315" customWidth="1"/>
    <col min="10" max="10" width="13.7109375" style="315" customWidth="1"/>
    <col min="11" max="11" width="14.42578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 t="s">
        <v>125</v>
      </c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607"/>
      <c r="D28" s="608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609"/>
      <c r="D29" s="610"/>
      <c r="E29" s="343"/>
      <c r="F29" s="343"/>
      <c r="G29" s="343"/>
      <c r="H29" s="343"/>
      <c r="I29" s="343"/>
    </row>
    <row r="30" spans="1:11" s="344" customFormat="1" ht="31.5" customHeight="1" x14ac:dyDescent="0.2">
      <c r="A30" s="989"/>
      <c r="B30" s="355" t="s">
        <v>45</v>
      </c>
      <c r="C30" s="609"/>
      <c r="D30" s="610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611"/>
      <c r="D31" s="61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474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507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6" t="e">
        <f>F75/1000</f>
        <v>#N/A</v>
      </c>
      <c r="G76" s="462"/>
      <c r="H76" s="948"/>
      <c r="I76" s="476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41" t="e">
        <f>F75</f>
        <v>#N/A</v>
      </c>
      <c r="G81" s="643" t="e">
        <f>I75</f>
        <v>#DIV/0!</v>
      </c>
      <c r="H81" s="634">
        <v>2.5</v>
      </c>
      <c r="I81" s="635">
        <v>-2.5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2.5</v>
      </c>
      <c r="I82" s="635">
        <f>I81</f>
        <v>-2.5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2.5</v>
      </c>
      <c r="I83" s="638">
        <f>I81</f>
        <v>-2.5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H27:I27"/>
    <mergeCell ref="A27:B27"/>
    <mergeCell ref="C26:D26"/>
    <mergeCell ref="F19:G19"/>
    <mergeCell ref="J19:J20"/>
    <mergeCell ref="A20:B20"/>
    <mergeCell ref="E20:F20"/>
    <mergeCell ref="A22:J22"/>
    <mergeCell ref="A14:B14"/>
    <mergeCell ref="A15:B15"/>
    <mergeCell ref="A16:B16"/>
    <mergeCell ref="C16:D16"/>
    <mergeCell ref="A18:J18"/>
    <mergeCell ref="A49:B49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  <mergeCell ref="G48:H48"/>
    <mergeCell ref="H28:I28"/>
    <mergeCell ref="B38:D38"/>
    <mergeCell ref="A50:B50"/>
    <mergeCell ref="G50:H50"/>
    <mergeCell ref="A52:J52"/>
    <mergeCell ref="D53:E53"/>
    <mergeCell ref="H53:I53"/>
    <mergeCell ref="A56:J56"/>
    <mergeCell ref="A58:B58"/>
    <mergeCell ref="C58:D58"/>
    <mergeCell ref="E58:F58"/>
    <mergeCell ref="I60:N60"/>
    <mergeCell ref="A78:N78"/>
    <mergeCell ref="J80:N83"/>
    <mergeCell ref="D70:E70"/>
    <mergeCell ref="D71:E71"/>
    <mergeCell ref="B72:K72"/>
    <mergeCell ref="B73:E73"/>
    <mergeCell ref="H73:K73"/>
    <mergeCell ref="F74:G74"/>
    <mergeCell ref="H74:H76"/>
    <mergeCell ref="I74:K74"/>
    <mergeCell ref="J75:K75"/>
    <mergeCell ref="J76:K76"/>
  </mergeCells>
  <conditionalFormatting sqref="G59 G62 G66:G68">
    <cfRule type="cellIs" dxfId="7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7030A0"/>
  </sheetPr>
  <dimension ref="A1:U106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6.85546875" style="315" customWidth="1"/>
    <col min="10" max="10" width="13.7109375" style="315" customWidth="1"/>
    <col min="11" max="11" width="14.42578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607"/>
      <c r="D28" s="608"/>
      <c r="E28" s="343"/>
      <c r="F28" s="343"/>
      <c r="G28" s="343"/>
      <c r="H28" s="966" t="e">
        <f>VLOOKUP($I$26,'DATOS ¬'!$B$131:$G$135,2,FALSE)</f>
        <v>#N/A</v>
      </c>
      <c r="I28" s="967"/>
    </row>
    <row r="29" spans="1:11" s="344" customFormat="1" ht="31.5" customHeight="1" x14ac:dyDescent="0.2">
      <c r="A29" s="989"/>
      <c r="B29" s="355" t="s">
        <v>45</v>
      </c>
      <c r="C29" s="609"/>
      <c r="D29" s="610"/>
      <c r="E29" s="343"/>
      <c r="F29" s="343"/>
      <c r="G29" s="343"/>
      <c r="H29" s="343"/>
    </row>
    <row r="30" spans="1:11" s="344" customFormat="1" ht="31.5" customHeight="1" x14ac:dyDescent="0.2">
      <c r="A30" s="989"/>
      <c r="B30" s="355" t="s">
        <v>45</v>
      </c>
      <c r="C30" s="609"/>
      <c r="D30" s="610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611"/>
      <c r="D31" s="612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474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1065" t="s">
        <v>59</v>
      </c>
      <c r="B50" s="1066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12" customFormat="1" ht="51.75" customHeight="1" thickBot="1" x14ac:dyDescent="0.25">
      <c r="G69" s="234" t="e">
        <f>SUM(G59,G62,G66,G67,G68)</f>
        <v>#VALUE!</v>
      </c>
      <c r="L69" s="344"/>
      <c r="M69" s="344"/>
      <c r="S69" s="344"/>
      <c r="T69" s="344"/>
      <c r="U69" s="344"/>
    </row>
    <row r="70" spans="1:21" s="12" customFormat="1" ht="35.1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O70" s="344"/>
      <c r="P70" s="344"/>
      <c r="Q70" s="344"/>
      <c r="R70" s="344"/>
      <c r="S70" s="344"/>
      <c r="T70" s="344"/>
      <c r="U70" s="344"/>
    </row>
    <row r="71" spans="1:21" s="12" customFormat="1" ht="33.75" customHeight="1" thickBot="1" x14ac:dyDescent="4.4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L71" s="446"/>
      <c r="O71" s="344"/>
      <c r="P71" s="344"/>
      <c r="Q71" s="344"/>
      <c r="R71" s="344"/>
      <c r="S71" s="344"/>
      <c r="T71" s="344"/>
      <c r="U71" s="344"/>
    </row>
    <row r="72" spans="1:21" s="12" customFormat="1" ht="35.1" customHeight="1" thickBot="1" x14ac:dyDescent="0.2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O72" s="344"/>
      <c r="P72" s="344"/>
      <c r="Q72" s="344"/>
      <c r="R72" s="344"/>
      <c r="S72" s="344"/>
      <c r="T72" s="344"/>
      <c r="U72" s="344"/>
    </row>
    <row r="73" spans="1:21" s="12" customFormat="1" ht="40.5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35.1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0" t="e">
        <f>F75/1000</f>
        <v>#N/A</v>
      </c>
      <c r="G76" s="462"/>
      <c r="H76" s="948"/>
      <c r="I76" s="460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41" t="e">
        <f>F75</f>
        <v>#N/A</v>
      </c>
      <c r="G81" s="643" t="e">
        <f>I75</f>
        <v>#DIV/0!</v>
      </c>
      <c r="H81" s="644">
        <v>5</v>
      </c>
      <c r="I81" s="645">
        <v>-5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44">
        <f>H81</f>
        <v>5</v>
      </c>
      <c r="I82" s="645">
        <f>I81</f>
        <v>-5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46">
        <f>H81</f>
        <v>5</v>
      </c>
      <c r="I83" s="647">
        <f>I81</f>
        <v>-5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7.75" customHeight="1" x14ac:dyDescent="0.2"/>
    <row r="87" spans="1:14" s="12" customFormat="1" ht="35.1" customHeight="1" x14ac:dyDescent="0.2"/>
    <row r="88" spans="1:14" s="12" customFormat="1" ht="35.1" customHeight="1" x14ac:dyDescent="0.2"/>
    <row r="89" spans="1:14" s="12" customFormat="1" ht="35.1" customHeight="1" x14ac:dyDescent="0.2"/>
    <row r="90" spans="1:14" s="12" customFormat="1" ht="50.1" customHeight="1" x14ac:dyDescent="0.2"/>
    <row r="91" spans="1:14" s="12" customFormat="1" ht="55.5" customHeight="1" x14ac:dyDescent="0.2"/>
    <row r="92" spans="1:14" s="12" customFormat="1" ht="50.1" customHeight="1" x14ac:dyDescent="0.2"/>
    <row r="93" spans="1:14" s="12" customFormat="1" ht="31.5" customHeight="1" x14ac:dyDescent="0.2"/>
    <row r="94" spans="1:14" s="12" customFormat="1" ht="35.1" customHeight="1" x14ac:dyDescent="0.2"/>
    <row r="95" spans="1:14" s="12" customFormat="1" ht="35.1" customHeight="1" x14ac:dyDescent="0.2"/>
    <row r="96" spans="1:14" s="12" customFormat="1" ht="9.9499999999999993" customHeight="1" x14ac:dyDescent="0.2">
      <c r="G96" s="13"/>
      <c r="H96" s="13"/>
      <c r="I96" s="13"/>
      <c r="J96" s="13"/>
    </row>
    <row r="97" spans="1:12" s="12" customFormat="1" ht="35.1" customHeight="1" x14ac:dyDescent="0.2">
      <c r="J97" s="13"/>
      <c r="K97" s="13"/>
      <c r="L97" s="13"/>
    </row>
    <row r="98" spans="1:12" s="344" customFormat="1" ht="15" customHeight="1" x14ac:dyDescent="0.2">
      <c r="A98" s="343"/>
      <c r="G98" s="343"/>
      <c r="H98" s="343"/>
      <c r="I98" s="343"/>
      <c r="J98" s="343"/>
    </row>
    <row r="99" spans="1:12" s="344" customFormat="1" ht="31.5" customHeight="1" x14ac:dyDescent="0.2">
      <c r="A99" s="343"/>
      <c r="B99" s="343"/>
      <c r="C99" s="343"/>
      <c r="D99" s="343"/>
      <c r="E99" s="343"/>
      <c r="F99" s="343"/>
      <c r="G99" s="343"/>
      <c r="H99" s="343"/>
      <c r="I99" s="343"/>
      <c r="J99" s="343"/>
    </row>
    <row r="100" spans="1:12" s="344" customFormat="1" ht="31.5" customHeight="1" x14ac:dyDescent="0.2"/>
    <row r="101" spans="1:12" s="344" customFormat="1" ht="31.5" customHeight="1" x14ac:dyDescent="0.2"/>
    <row r="102" spans="1:12" s="344" customFormat="1" ht="52.5" customHeight="1" x14ac:dyDescent="0.2"/>
    <row r="103" spans="1:12" s="344" customFormat="1" ht="31.5" customHeight="1" x14ac:dyDescent="0.2">
      <c r="K103" s="299"/>
    </row>
    <row r="104" spans="1:12" s="344" customFormat="1" ht="31.5" customHeight="1" x14ac:dyDescent="0.2">
      <c r="K104" s="299"/>
    </row>
    <row r="105" spans="1:12" ht="31.5" customHeight="1" x14ac:dyDescent="0.2">
      <c r="G105" s="463"/>
    </row>
    <row r="106" spans="1:12" ht="51" customHeight="1" x14ac:dyDescent="0.2"/>
  </sheetData>
  <sheetProtection password="CF5C" sheet="1" objects="1" scenarios="1"/>
  <mergeCells count="64">
    <mergeCell ref="I60:N60"/>
    <mergeCell ref="H53:I53"/>
    <mergeCell ref="A56:J56"/>
    <mergeCell ref="A58:B58"/>
    <mergeCell ref="C58:D58"/>
    <mergeCell ref="E58:F58"/>
    <mergeCell ref="G48:H48"/>
    <mergeCell ref="A49:B49"/>
    <mergeCell ref="B73:E73"/>
    <mergeCell ref="H73:K73"/>
    <mergeCell ref="F74:G74"/>
    <mergeCell ref="H74:H76"/>
    <mergeCell ref="I74:K74"/>
    <mergeCell ref="J75:K75"/>
    <mergeCell ref="J76:K76"/>
    <mergeCell ref="D70:E70"/>
    <mergeCell ref="D71:E71"/>
    <mergeCell ref="B72:K72"/>
    <mergeCell ref="A50:B50"/>
    <mergeCell ref="G50:H50"/>
    <mergeCell ref="A52:J52"/>
    <mergeCell ref="D53:E53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F9:G9"/>
    <mergeCell ref="A10:B10"/>
    <mergeCell ref="F10:G10"/>
    <mergeCell ref="A11:B11"/>
    <mergeCell ref="F11:G11"/>
    <mergeCell ref="A1:B1"/>
    <mergeCell ref="C1:M1"/>
    <mergeCell ref="G3:H4"/>
    <mergeCell ref="A6:D6"/>
    <mergeCell ref="F6:I6"/>
    <mergeCell ref="C26:D26"/>
    <mergeCell ref="B38:D38"/>
    <mergeCell ref="A78:N78"/>
    <mergeCell ref="J80:N83"/>
    <mergeCell ref="A13:B13"/>
    <mergeCell ref="F13:I13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</mergeCells>
  <conditionalFormatting sqref="G59 G62 G66:G68">
    <cfRule type="cellIs" dxfId="6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6.85546875" style="315" customWidth="1"/>
    <col min="10" max="10" width="13.7109375" style="315" customWidth="1"/>
    <col min="11" max="11" width="14.425781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90"/>
      <c r="D28" s="57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91"/>
      <c r="D29" s="5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91"/>
      <c r="D30" s="5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92"/>
      <c r="D31" s="59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410"/>
      <c r="F38" s="410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410"/>
      <c r="F39" s="410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410"/>
      <c r="F40" s="410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410"/>
      <c r="F41" s="410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410"/>
      <c r="F42" s="410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498" t="e">
        <f>+AVERAGE(C42:D42)</f>
        <v>#DIV/0!</v>
      </c>
      <c r="D43" s="410"/>
      <c r="E43" s="410"/>
      <c r="F43" s="410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410"/>
      <c r="E44" s="410"/>
      <c r="F44" s="410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501" t="s">
        <v>401</v>
      </c>
      <c r="K67" s="658" t="s">
        <v>92</v>
      </c>
      <c r="L67" s="502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78" t="e">
        <f>(G70^4/((C59^4/F59)+(C62^4/F62)+(C66^4/F66)+(C67^4/F67)+(C68^4/F68)))</f>
        <v>#DIV/0!</v>
      </c>
      <c r="K68" s="279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0" t="e">
        <f>F75/1000</f>
        <v>#N/A</v>
      </c>
      <c r="G76" s="462"/>
      <c r="H76" s="948"/>
      <c r="I76" s="50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41" t="e">
        <f>F75</f>
        <v>#N/A</v>
      </c>
      <c r="G81" s="643" t="e">
        <f>I75</f>
        <v>#DIV/0!</v>
      </c>
      <c r="H81" s="634">
        <v>10</v>
      </c>
      <c r="I81" s="635">
        <v>-10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10</v>
      </c>
      <c r="I82" s="635">
        <f>I81</f>
        <v>-10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10</v>
      </c>
      <c r="I83" s="638">
        <f>I81</f>
        <v>-10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I60:N60"/>
    <mergeCell ref="H53:I53"/>
    <mergeCell ref="A56:J56"/>
    <mergeCell ref="A58:B58"/>
    <mergeCell ref="C58:D58"/>
    <mergeCell ref="E58:F58"/>
    <mergeCell ref="G48:H48"/>
    <mergeCell ref="A49:B49"/>
    <mergeCell ref="B73:E73"/>
    <mergeCell ref="H73:K73"/>
    <mergeCell ref="F74:G74"/>
    <mergeCell ref="H74:H76"/>
    <mergeCell ref="I74:K74"/>
    <mergeCell ref="J75:K75"/>
    <mergeCell ref="J76:K76"/>
    <mergeCell ref="D70:E70"/>
    <mergeCell ref="D71:E71"/>
    <mergeCell ref="B72:K72"/>
    <mergeCell ref="A50:B50"/>
    <mergeCell ref="G50:H50"/>
    <mergeCell ref="A52:J52"/>
    <mergeCell ref="D53:E53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F9:G9"/>
    <mergeCell ref="A10:B10"/>
    <mergeCell ref="F10:G10"/>
    <mergeCell ref="A11:B11"/>
    <mergeCell ref="F11:G11"/>
    <mergeCell ref="A1:B1"/>
    <mergeCell ref="C1:M1"/>
    <mergeCell ref="G3:H4"/>
    <mergeCell ref="A6:D6"/>
    <mergeCell ref="F6:I6"/>
    <mergeCell ref="C26:D26"/>
    <mergeCell ref="B38:D38"/>
    <mergeCell ref="A78:N78"/>
    <mergeCell ref="J80:N83"/>
    <mergeCell ref="A13:B13"/>
    <mergeCell ref="F13:I13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</mergeCells>
  <conditionalFormatting sqref="G59 G62 G66:G68">
    <cfRule type="cellIs" dxfId="5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28515625" style="315" customWidth="1"/>
    <col min="10" max="10" width="13.7109375" style="315" customWidth="1"/>
    <col min="11" max="11" width="14.8554687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90"/>
      <c r="D28" s="57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91"/>
      <c r="D29" s="5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91"/>
      <c r="D30" s="5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92"/>
      <c r="D31" s="59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410"/>
      <c r="F38" s="410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410"/>
      <c r="F39" s="410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410"/>
      <c r="F40" s="410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410"/>
      <c r="F41" s="410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410"/>
      <c r="F42" s="410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498" t="e">
        <f>+AVERAGE(C42:D42)</f>
        <v>#DIV/0!</v>
      </c>
      <c r="D43" s="410"/>
      <c r="E43" s="410"/>
      <c r="F43" s="410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99" t="e">
        <f>+STDEV(C42:D42)</f>
        <v>#DIV/0!</v>
      </c>
      <c r="D44" s="410"/>
      <c r="E44" s="410"/>
      <c r="F44" s="410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9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86" t="e">
        <f>(G70^4/((C59^4/F59)+(C62^4/F62)+(C66^4/F66)+(C67^4/F67)+(C68^4/F68)))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0" t="e">
        <f>F75/1000</f>
        <v>#N/A</v>
      </c>
      <c r="G76" s="462"/>
      <c r="H76" s="948"/>
      <c r="I76" s="476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41" t="e">
        <f>F75</f>
        <v>#N/A</v>
      </c>
      <c r="G81" s="643" t="e">
        <f>I75</f>
        <v>#DIV/0!</v>
      </c>
      <c r="H81" s="634">
        <v>10</v>
      </c>
      <c r="I81" s="635">
        <v>-10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10</v>
      </c>
      <c r="I82" s="635">
        <f>I81</f>
        <v>-10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10</v>
      </c>
      <c r="I83" s="638">
        <f>I81</f>
        <v>-10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I60:N60"/>
    <mergeCell ref="H53:I53"/>
    <mergeCell ref="A56:J56"/>
    <mergeCell ref="A58:B58"/>
    <mergeCell ref="C58:D58"/>
    <mergeCell ref="E58:F58"/>
    <mergeCell ref="G48:H48"/>
    <mergeCell ref="A49:B49"/>
    <mergeCell ref="B73:E73"/>
    <mergeCell ref="H73:K73"/>
    <mergeCell ref="F74:G74"/>
    <mergeCell ref="H74:H76"/>
    <mergeCell ref="I74:K74"/>
    <mergeCell ref="J75:K75"/>
    <mergeCell ref="J76:K76"/>
    <mergeCell ref="D70:E70"/>
    <mergeCell ref="D71:E71"/>
    <mergeCell ref="B72:K72"/>
    <mergeCell ref="A50:B50"/>
    <mergeCell ref="G50:H50"/>
    <mergeCell ref="A52:J52"/>
    <mergeCell ref="D53:E53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F9:G9"/>
    <mergeCell ref="A10:B10"/>
    <mergeCell ref="F10:G10"/>
    <mergeCell ref="A11:B11"/>
    <mergeCell ref="F11:G11"/>
    <mergeCell ref="A1:B1"/>
    <mergeCell ref="C1:M1"/>
    <mergeCell ref="G3:H4"/>
    <mergeCell ref="A6:D6"/>
    <mergeCell ref="F6:I6"/>
    <mergeCell ref="C26:D26"/>
    <mergeCell ref="B38:D38"/>
    <mergeCell ref="A78:N78"/>
    <mergeCell ref="J80:N83"/>
    <mergeCell ref="A13:B13"/>
    <mergeCell ref="F13:I13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</mergeCells>
  <conditionalFormatting sqref="G59 G62 G66:G68">
    <cfRule type="cellIs" dxfId="4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.140625" style="315" customWidth="1"/>
    <col min="10" max="10" width="13.7109375" style="315" customWidth="1"/>
    <col min="11" max="11" width="13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551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1" ht="30.95" customHeight="1" thickBot="1" x14ac:dyDescent="0.25"/>
    <row r="18" spans="1:11" ht="31.5" customHeight="1" thickBot="1" x14ac:dyDescent="0.25">
      <c r="A18" s="1053" t="s">
        <v>28</v>
      </c>
      <c r="B18" s="1054"/>
      <c r="C18" s="1054"/>
      <c r="D18" s="1054"/>
      <c r="E18" s="1054"/>
      <c r="F18" s="1054"/>
      <c r="G18" s="1054"/>
      <c r="H18" s="1054"/>
      <c r="I18" s="1054"/>
      <c r="J18" s="1055"/>
    </row>
    <row r="19" spans="1:11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1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1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1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4"/>
      <c r="K22" s="343"/>
    </row>
    <row r="23" spans="1:11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1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1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1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1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1" s="344" customFormat="1" ht="31.5" customHeight="1" thickBot="1" x14ac:dyDescent="0.25">
      <c r="A28" s="988" t="s">
        <v>43</v>
      </c>
      <c r="B28" s="354" t="s">
        <v>44</v>
      </c>
      <c r="C28" s="290"/>
      <c r="D28" s="57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1" s="344" customFormat="1" ht="31.5" customHeight="1" x14ac:dyDescent="0.2">
      <c r="A29" s="989"/>
      <c r="B29" s="355" t="s">
        <v>45</v>
      </c>
      <c r="C29" s="291"/>
      <c r="D29" s="58"/>
      <c r="E29" s="343"/>
      <c r="F29" s="343"/>
      <c r="G29" s="343"/>
      <c r="H29" s="343"/>
      <c r="I29" s="343"/>
      <c r="J29" s="343"/>
    </row>
    <row r="30" spans="1:11" s="344" customFormat="1" ht="31.5" customHeight="1" x14ac:dyDescent="0.2">
      <c r="A30" s="989"/>
      <c r="B30" s="355" t="s">
        <v>45</v>
      </c>
      <c r="C30" s="291"/>
      <c r="D30" s="58"/>
      <c r="E30" s="343"/>
      <c r="F30" s="343"/>
      <c r="G30" s="343"/>
      <c r="H30" s="343"/>
      <c r="I30" s="343"/>
      <c r="J30" s="343"/>
    </row>
    <row r="31" spans="1:11" s="344" customFormat="1" ht="31.5" customHeight="1" thickBot="1" x14ac:dyDescent="0.25">
      <c r="A31" s="990"/>
      <c r="B31" s="356" t="s">
        <v>44</v>
      </c>
      <c r="C31" s="292"/>
      <c r="D31" s="59"/>
      <c r="E31" s="343"/>
      <c r="F31" s="343"/>
      <c r="G31" s="343"/>
      <c r="H31" s="343"/>
      <c r="I31" s="343"/>
      <c r="J31" s="343"/>
    </row>
    <row r="32" spans="1:11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0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0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0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0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4"/>
    </row>
    <row r="37" spans="1:10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0" s="344" customFormat="1" ht="31.5" customHeight="1" thickBot="1" x14ac:dyDescent="0.25">
      <c r="A38" s="343"/>
      <c r="B38" s="910" t="s">
        <v>48</v>
      </c>
      <c r="C38" s="912"/>
      <c r="D38" s="911"/>
      <c r="E38" s="410"/>
      <c r="F38" s="410"/>
      <c r="G38" s="343"/>
      <c r="H38" s="1010" t="s">
        <v>49</v>
      </c>
      <c r="I38" s="1011"/>
      <c r="J38" s="1012"/>
    </row>
    <row r="39" spans="1:10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410"/>
      <c r="F39" s="410"/>
      <c r="G39" s="343"/>
      <c r="H39" s="1013"/>
      <c r="I39" s="1014"/>
      <c r="J39" s="1015"/>
    </row>
    <row r="40" spans="1:10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410"/>
      <c r="F40" s="410"/>
      <c r="G40" s="343"/>
      <c r="H40" s="1016"/>
      <c r="I40" s="1017"/>
      <c r="J40" s="1018"/>
    </row>
    <row r="41" spans="1:10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410"/>
      <c r="F41" s="410"/>
      <c r="G41" s="343"/>
      <c r="H41" s="1016"/>
      <c r="I41" s="1017"/>
      <c r="J41" s="1018"/>
    </row>
    <row r="42" spans="1:10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410"/>
      <c r="F42" s="410"/>
      <c r="G42" s="343"/>
      <c r="H42" s="1019"/>
      <c r="I42" s="1020"/>
      <c r="J42" s="1021"/>
    </row>
    <row r="43" spans="1:10" s="344" customFormat="1" ht="31.5" customHeight="1" thickBot="1" x14ac:dyDescent="0.25">
      <c r="A43" s="343"/>
      <c r="B43" s="374" t="s">
        <v>50</v>
      </c>
      <c r="C43" s="498" t="e">
        <f>+AVERAGE(C42:D42)</f>
        <v>#DIV/0!</v>
      </c>
      <c r="D43" s="410"/>
      <c r="E43" s="410"/>
      <c r="F43" s="410"/>
      <c r="G43" s="343"/>
      <c r="H43" s="343"/>
      <c r="I43" s="343"/>
      <c r="J43" s="343"/>
    </row>
    <row r="44" spans="1:10" s="344" customFormat="1" ht="31.5" customHeight="1" thickBot="1" x14ac:dyDescent="0.25">
      <c r="A44" s="343"/>
      <c r="B44" s="376" t="s">
        <v>51</v>
      </c>
      <c r="C44" s="499" t="e">
        <f>+STDEV(C42:D42)</f>
        <v>#DIV/0!</v>
      </c>
      <c r="D44" s="410"/>
      <c r="E44" s="410"/>
      <c r="F44" s="410"/>
      <c r="G44" s="343"/>
      <c r="H44" s="343"/>
      <c r="I44" s="343"/>
      <c r="J44" s="343"/>
    </row>
    <row r="45" spans="1:10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0" s="344" customFormat="1" ht="31.5" customHeight="1" thickBot="1" x14ac:dyDescent="0.25">
      <c r="A46" s="1053" t="s">
        <v>52</v>
      </c>
      <c r="B46" s="1054"/>
      <c r="C46" s="1062"/>
      <c r="D46" s="1062"/>
      <c r="E46" s="1062"/>
      <c r="F46" s="1054"/>
      <c r="G46" s="1054"/>
      <c r="H46" s="1054"/>
      <c r="I46" s="1054"/>
      <c r="J46" s="1055"/>
    </row>
    <row r="47" spans="1:10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0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1053" t="s">
        <v>61</v>
      </c>
      <c r="B52" s="1054"/>
      <c r="C52" s="1054"/>
      <c r="D52" s="1054"/>
      <c r="E52" s="1054"/>
      <c r="F52" s="1054"/>
      <c r="G52" s="1054"/>
      <c r="H52" s="1054"/>
      <c r="I52" s="1054"/>
      <c r="J52" s="1055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9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86" t="e">
        <f>(G70^4/((C59^4/F59)+(C62^4/F62)+(C66^4/F66)+(C67^4/F67)+(C68^4/F68)))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0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60" t="e">
        <f>F75/1000</f>
        <v>#N/A</v>
      </c>
      <c r="G76" s="462"/>
      <c r="H76" s="948"/>
      <c r="I76" s="460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41" t="e">
        <f>F75</f>
        <v>#N/A</v>
      </c>
      <c r="G81" s="642" t="e">
        <f>I75</f>
        <v>#DIV/0!</v>
      </c>
      <c r="H81" s="634">
        <v>25</v>
      </c>
      <c r="I81" s="635">
        <v>-25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25</v>
      </c>
      <c r="I82" s="635">
        <f>I81</f>
        <v>-25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25</v>
      </c>
      <c r="I83" s="638">
        <f>I81</f>
        <v>-25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I60:N60"/>
    <mergeCell ref="H53:I53"/>
    <mergeCell ref="A56:J56"/>
    <mergeCell ref="A58:B58"/>
    <mergeCell ref="C58:D58"/>
    <mergeCell ref="E58:F58"/>
    <mergeCell ref="G48:H48"/>
    <mergeCell ref="A49:B49"/>
    <mergeCell ref="B73:E73"/>
    <mergeCell ref="H73:K73"/>
    <mergeCell ref="F74:G74"/>
    <mergeCell ref="H74:H76"/>
    <mergeCell ref="I74:K74"/>
    <mergeCell ref="J75:K75"/>
    <mergeCell ref="J76:K76"/>
    <mergeCell ref="D70:E70"/>
    <mergeCell ref="D71:E71"/>
    <mergeCell ref="B72:K72"/>
    <mergeCell ref="A50:B50"/>
    <mergeCell ref="G50:H50"/>
    <mergeCell ref="A52:J52"/>
    <mergeCell ref="D53:E53"/>
    <mergeCell ref="A12:B12"/>
    <mergeCell ref="A27:B27"/>
    <mergeCell ref="H28:I28"/>
    <mergeCell ref="A14:B14"/>
    <mergeCell ref="A15:B15"/>
    <mergeCell ref="A16:B16"/>
    <mergeCell ref="C16:D16"/>
    <mergeCell ref="A18:J18"/>
    <mergeCell ref="F19:G19"/>
    <mergeCell ref="J19:J20"/>
    <mergeCell ref="A20:B20"/>
    <mergeCell ref="E20:F20"/>
    <mergeCell ref="A22:J22"/>
    <mergeCell ref="C24:D24"/>
    <mergeCell ref="F24:G24"/>
    <mergeCell ref="H27:I27"/>
    <mergeCell ref="F9:G9"/>
    <mergeCell ref="A10:B10"/>
    <mergeCell ref="F10:G10"/>
    <mergeCell ref="A11:B11"/>
    <mergeCell ref="F11:G11"/>
    <mergeCell ref="A1:B1"/>
    <mergeCell ref="C1:M1"/>
    <mergeCell ref="G3:H4"/>
    <mergeCell ref="A6:D6"/>
    <mergeCell ref="F6:I6"/>
    <mergeCell ref="C26:D26"/>
    <mergeCell ref="B38:D38"/>
    <mergeCell ref="A78:N78"/>
    <mergeCell ref="J80:N83"/>
    <mergeCell ref="A13:B13"/>
    <mergeCell ref="F13:I13"/>
    <mergeCell ref="G49:H49"/>
    <mergeCell ref="A28:A31"/>
    <mergeCell ref="C33:D33"/>
    <mergeCell ref="F33:G33"/>
    <mergeCell ref="A36:J36"/>
    <mergeCell ref="H38:J38"/>
    <mergeCell ref="H39:J42"/>
    <mergeCell ref="A46:J46"/>
    <mergeCell ref="A47:B48"/>
    <mergeCell ref="C47:E47"/>
  </mergeCells>
  <conditionalFormatting sqref="G59 G62 G66:G68">
    <cfRule type="cellIs" dxfId="3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¬'!$B$7:$J$29,8,FALSE)</f>
        <v>#N/A</v>
      </c>
      <c r="D4" s="308" t="e">
        <f>VLOOKUP($G$3,'DATOS ¬'!$B$7:$J$29,6,FALSE)</f>
        <v>#N/A</v>
      </c>
      <c r="E4" s="307" t="e">
        <f>VLOOKUP($G$3,'DATOS ¬'!$B$7:$J$29,7,FALSE)</f>
        <v>#N/A</v>
      </c>
      <c r="F4" s="306" t="e">
        <f>VLOOKUP($G$3,'DATOS ¬'!$B$7:$J$29,4,FALSE)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7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17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1034" t="e">
        <f>VLOOKUP($I$26,'DATOS ¬'!$B$131:$G$135,2,FALSE)</f>
        <v>#N/A</v>
      </c>
      <c r="I28" s="1035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+AVERAGE(C28,C31)</f>
        <v>#DIV/0!</v>
      </c>
      <c r="D40" s="366" t="e">
        <f>+AVERAGE(D28,D31)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+AVERAGE(C29:C30)</f>
        <v>#DIV/0!</v>
      </c>
      <c r="D41" s="370" t="e">
        <f>+AVERAGE(D29:D30)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+C41-C40</f>
        <v>#DIV/0!</v>
      </c>
      <c r="D42" s="373" t="e">
        <f>+D41-D40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+AVERAGE(C42:E42)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+STDEV(C42:E42)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467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5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73" t="e">
        <f>F75/1000</f>
        <v>#N/A</v>
      </c>
      <c r="G76" s="462"/>
      <c r="H76" s="948"/>
      <c r="I76" s="47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52" t="e">
        <f>I75</f>
        <v>#DIV/0!</v>
      </c>
      <c r="H81" s="653">
        <v>0.02</v>
      </c>
      <c r="I81" s="654">
        <v>-0.02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53">
        <f>H81</f>
        <v>0.02</v>
      </c>
      <c r="I82" s="654">
        <f>I81</f>
        <v>-0.02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5">
        <f>H81</f>
        <v>0.02</v>
      </c>
      <c r="I83" s="656">
        <f>I81</f>
        <v>-0.02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5.1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22:N22"/>
    <mergeCell ref="A36:N36"/>
    <mergeCell ref="A46:N46"/>
    <mergeCell ref="A52:N52"/>
    <mergeCell ref="A27:B27"/>
    <mergeCell ref="H28:I28"/>
    <mergeCell ref="C24:D24"/>
    <mergeCell ref="F24:G24"/>
    <mergeCell ref="H27:I27"/>
    <mergeCell ref="A49:B49"/>
    <mergeCell ref="G49:H49"/>
    <mergeCell ref="A28:A31"/>
    <mergeCell ref="C33:D33"/>
    <mergeCell ref="F33:G33"/>
    <mergeCell ref="H38:J38"/>
    <mergeCell ref="H39:J42"/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14:B14"/>
    <mergeCell ref="A15:B15"/>
    <mergeCell ref="A16:B16"/>
    <mergeCell ref="C16:D16"/>
    <mergeCell ref="F19:G19"/>
    <mergeCell ref="A18:N18"/>
    <mergeCell ref="J19:J20"/>
    <mergeCell ref="A20:B20"/>
    <mergeCell ref="E20:F20"/>
    <mergeCell ref="A58:B58"/>
    <mergeCell ref="C58:D58"/>
    <mergeCell ref="E58:F58"/>
    <mergeCell ref="A56:N56"/>
    <mergeCell ref="C26:D26"/>
    <mergeCell ref="B38:D38"/>
    <mergeCell ref="A50:B50"/>
    <mergeCell ref="A47:B48"/>
    <mergeCell ref="C47:E47"/>
    <mergeCell ref="G48:H48"/>
    <mergeCell ref="G50:H50"/>
    <mergeCell ref="D53:E53"/>
    <mergeCell ref="H53:I53"/>
    <mergeCell ref="A78:N78"/>
    <mergeCell ref="J80:N83"/>
    <mergeCell ref="D70:E70"/>
    <mergeCell ref="D71:E71"/>
    <mergeCell ref="B72:K72"/>
    <mergeCell ref="B73:E73"/>
    <mergeCell ref="H73:K73"/>
    <mergeCell ref="I60:N60"/>
    <mergeCell ref="F74:G74"/>
    <mergeCell ref="H74:H76"/>
    <mergeCell ref="I74:K74"/>
    <mergeCell ref="J75:K75"/>
    <mergeCell ref="J76:K76"/>
  </mergeCells>
  <conditionalFormatting sqref="G59 G62 G66:G68">
    <cfRule type="cellIs" dxfId="29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7.7109375" style="315" customWidth="1"/>
    <col min="10" max="10" width="13.7109375" style="315" customWidth="1"/>
    <col min="11" max="11" width="13.2851562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¬'!N7:V134,2,FALSE)</f>
        <v>#N/A</v>
      </c>
      <c r="C7" s="311" t="s">
        <v>8</v>
      </c>
      <c r="D7" s="312" t="e">
        <f>VLOOKUP($E$6,'DATOS ¬'!N7:V134,3,FALSE)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¬'!N7:V134,4,FALSE)</f>
        <v>#N/A</v>
      </c>
      <c r="C8" s="318" t="s">
        <v>10</v>
      </c>
      <c r="D8" s="319" t="e">
        <f>VLOOKUP($E$6,'DATOS ¬'!N7:V134,5,FALSE)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¬'!N7:V134,6,FALSE)</f>
        <v>#N/A</v>
      </c>
      <c r="C9" s="322" t="s">
        <v>11</v>
      </c>
      <c r="D9" s="323" t="e">
        <f>VLOOKUP($E$6,'DATOS ¬'!N7:V134,7,FALSE)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¬'!N7:AC134,13,FALSE)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¬'!N7:AC134,14,FALSE)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¬'!N7:AC134,15,FALSE)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¬'!N7:AC134,16,FALSE)</f>
        <v>#N/A</v>
      </c>
      <c r="D16" s="1061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90"/>
      <c r="D28" s="57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91"/>
      <c r="D29" s="58"/>
      <c r="E29" s="343"/>
      <c r="F29" s="343"/>
      <c r="G29" s="343"/>
      <c r="J29" s="343"/>
    </row>
    <row r="30" spans="1:14" s="344" customFormat="1" ht="31.5" customHeight="1" x14ac:dyDescent="0.2">
      <c r="A30" s="989"/>
      <c r="B30" s="355" t="s">
        <v>45</v>
      </c>
      <c r="C30" s="291"/>
      <c r="D30" s="58"/>
      <c r="E30" s="343"/>
      <c r="F30" s="343"/>
      <c r="G30" s="343"/>
      <c r="J30" s="343"/>
    </row>
    <row r="31" spans="1:14" s="344" customFormat="1" ht="31.5" customHeight="1" thickBot="1" x14ac:dyDescent="0.25">
      <c r="A31" s="990"/>
      <c r="B31" s="356" t="s">
        <v>44</v>
      </c>
      <c r="C31" s="292"/>
      <c r="D31" s="59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410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410"/>
      <c r="F38" s="410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410"/>
      <c r="F39" s="410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410"/>
      <c r="F40" s="410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410"/>
      <c r="F41" s="410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410"/>
      <c r="F42" s="410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498" t="e">
        <f>+AVERAGE(C42:D42)</f>
        <v>#DIV/0!</v>
      </c>
      <c r="D43" s="410"/>
      <c r="E43" s="410"/>
      <c r="F43" s="410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511" t="e">
        <f>+STDEV(C42:D42)</f>
        <v>#DIV/0!</v>
      </c>
      <c r="D44" s="410"/>
      <c r="E44" s="410"/>
      <c r="F44" s="410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549">
        <f t="shared" si="0"/>
        <v>199.99999999999997</v>
      </c>
      <c r="G61" s="566"/>
      <c r="H61" s="492" t="e">
        <f t="shared" si="1"/>
        <v>#VALUE!</v>
      </c>
      <c r="I61" s="19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568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 t="shared" si="0"/>
        <v>199.99999999999997</v>
      </c>
      <c r="G63" s="567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 t="shared" si="0"/>
        <v>199.99999999999997</v>
      </c>
      <c r="G64" s="273"/>
      <c r="H64" s="492" t="e">
        <f t="shared" si="1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 t="shared" si="0"/>
        <v>199.99999999999997</v>
      </c>
      <c r="G65" s="273"/>
      <c r="H65" s="492" t="e">
        <f t="shared" si="1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435" t="s">
        <v>401</v>
      </c>
      <c r="K67" s="657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508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32" t="e">
        <f>G70^4/((C59^4/F59)+(C62^4/F62)+(C66^4/F66)+(C67^4/F67)+(C68^4/F68))</f>
        <v>#DIV/0!</v>
      </c>
      <c r="K68" s="504" t="e">
        <f>TINV(0.05,J68)</f>
        <v>#DIV/0!</v>
      </c>
      <c r="L68" s="505" t="e">
        <f>1-TDIST(K68,J68,2)</f>
        <v>#DIV/0!</v>
      </c>
    </row>
    <row r="69" spans="1:21" s="344" customFormat="1" ht="65.25" customHeight="1" thickBot="1" x14ac:dyDescent="0.25">
      <c r="G69" s="234" t="e">
        <f>SUM(G59,G62,G66,G67,G68)</f>
        <v>#VALUE!</v>
      </c>
      <c r="H69" s="12"/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1067"/>
      <c r="G74" s="1067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81" t="e">
        <f>E75*1000-B75*1000</f>
        <v>#N/A</v>
      </c>
      <c r="G75" s="369"/>
      <c r="H75" s="947"/>
      <c r="I75" s="500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3" t="e">
        <f>F75/1000</f>
        <v>#N/A</v>
      </c>
      <c r="G76" s="462"/>
      <c r="H76" s="948"/>
      <c r="I76" s="460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F76</f>
        <v>#N/A</v>
      </c>
      <c r="G81" s="633" t="e">
        <f>I76</f>
        <v>#DIV/0!</v>
      </c>
      <c r="H81" s="634">
        <v>50</v>
      </c>
      <c r="I81" s="635">
        <v>-50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50</v>
      </c>
      <c r="I82" s="635">
        <f>I81</f>
        <v>-50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50</v>
      </c>
      <c r="I83" s="638">
        <f>I81</f>
        <v>-50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50:B50"/>
    <mergeCell ref="G50:H50"/>
    <mergeCell ref="D53:E53"/>
    <mergeCell ref="H53:I53"/>
    <mergeCell ref="F74:G74"/>
    <mergeCell ref="H74:H76"/>
    <mergeCell ref="I74:K74"/>
    <mergeCell ref="J75:K75"/>
    <mergeCell ref="J76:K76"/>
    <mergeCell ref="D70:E70"/>
    <mergeCell ref="D71:E71"/>
    <mergeCell ref="B72:K72"/>
    <mergeCell ref="B73:E73"/>
    <mergeCell ref="H73:K73"/>
    <mergeCell ref="A56:N56"/>
    <mergeCell ref="A52:N52"/>
    <mergeCell ref="A14:B14"/>
    <mergeCell ref="A15:B15"/>
    <mergeCell ref="A16:B16"/>
    <mergeCell ref="C16:D16"/>
    <mergeCell ref="F19:G19"/>
    <mergeCell ref="A18:N18"/>
    <mergeCell ref="J19:J20"/>
    <mergeCell ref="A20:B20"/>
    <mergeCell ref="E20:F20"/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C24:D24"/>
    <mergeCell ref="F24:G24"/>
    <mergeCell ref="A28:A31"/>
    <mergeCell ref="C26:D26"/>
    <mergeCell ref="B38:D38"/>
    <mergeCell ref="A46:N46"/>
    <mergeCell ref="A36:N36"/>
    <mergeCell ref="A27:B27"/>
    <mergeCell ref="H28:I28"/>
    <mergeCell ref="H27:I27"/>
    <mergeCell ref="A78:N78"/>
    <mergeCell ref="J80:N83"/>
    <mergeCell ref="A22:N22"/>
    <mergeCell ref="C33:D33"/>
    <mergeCell ref="F33:G33"/>
    <mergeCell ref="H38:J38"/>
    <mergeCell ref="H39:J42"/>
    <mergeCell ref="A47:B48"/>
    <mergeCell ref="C47:E47"/>
    <mergeCell ref="G48:H48"/>
    <mergeCell ref="A58:B58"/>
    <mergeCell ref="C58:D58"/>
    <mergeCell ref="E58:F58"/>
    <mergeCell ref="I60:N60"/>
    <mergeCell ref="A49:B49"/>
    <mergeCell ref="G49:H49"/>
  </mergeCells>
  <conditionalFormatting sqref="G59 G62 G66:G68">
    <cfRule type="cellIs" dxfId="2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¬'!$B$20:$B$36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7030A0"/>
  </sheetPr>
  <dimension ref="A1:U106"/>
  <sheetViews>
    <sheetView showGridLines="0" view="pageBreakPreview" topLeftCell="A2" zoomScale="80" zoomScaleNormal="60" zoomScaleSheetLayoutView="80" workbookViewId="0">
      <selection activeCell="J13" sqref="J13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8.140625" style="315" customWidth="1"/>
    <col min="10" max="10" width="13.7109375" style="315" customWidth="1"/>
    <col min="11" max="11" width="1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8">
        <f>G3</f>
        <v>0</v>
      </c>
    </row>
    <row r="7" spans="1:16" ht="31.5" customHeight="1" x14ac:dyDescent="0.2">
      <c r="A7" s="309" t="s">
        <v>7</v>
      </c>
      <c r="B7" s="310" t="e">
        <f>VLOOKUP($E$6,'DATOS ¬'!N25:V134,2,FALSE)</f>
        <v>#N/A</v>
      </c>
      <c r="C7" s="311" t="s">
        <v>8</v>
      </c>
      <c r="D7" s="312" t="e">
        <f>VLOOKUP($E$6,'DATOS ¬'!N25:V134,3,FALSE)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¬'!N25:V134,4,FALSE)</f>
        <v>#N/A</v>
      </c>
      <c r="C8" s="318" t="s">
        <v>10</v>
      </c>
      <c r="D8" s="319" t="e">
        <f>VLOOKUP($E$6,'DATOS ¬'!N25:V134,5,FALSE)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¬'!N25:V134,6,FALSE)</f>
        <v>#N/A</v>
      </c>
      <c r="C9" s="322" t="s">
        <v>11</v>
      </c>
      <c r="D9" s="323" t="e">
        <f>VLOOKUP($E$6,'DATOS ¬'!N25:V134,7,FALSE)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489" t="e">
        <f>VLOOKUP($E$6,'DATOS ¬'!N25:AC134,8,FALSE)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317" t="e">
        <f>VLOOKUP($E$6,'DATOS ¬'!N25:AC134,10,FALSE)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317" t="e">
        <f>VLOOKUP($E$6,'DATOS ¬'!N25:AC134,12,FALSE)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¬'!N25:AC134,13,FALSE)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¬'!N25:AC134,14,FALSE)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¬'!N25:AC134,15,FALSE)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¬'!N25:AC134,16,FALSE)</f>
        <v>#N/A</v>
      </c>
      <c r="D16" s="1061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613"/>
      <c r="D28" s="614"/>
      <c r="E28" s="343"/>
      <c r="F28" s="343"/>
      <c r="G28" s="343"/>
      <c r="H28" s="966" t="e">
        <f>VLOOKUP($I$26,'DATOS ¬'!$B$131:$G$135,2,FALSE)</f>
        <v>#N/A</v>
      </c>
      <c r="I28" s="967"/>
    </row>
    <row r="29" spans="1:14" s="344" customFormat="1" ht="31.5" customHeight="1" x14ac:dyDescent="0.2">
      <c r="A29" s="989"/>
      <c r="B29" s="355" t="s">
        <v>45</v>
      </c>
      <c r="C29" s="615"/>
      <c r="D29" s="616"/>
      <c r="E29" s="343"/>
      <c r="F29" s="343"/>
      <c r="G29" s="343"/>
      <c r="H29" s="343"/>
      <c r="I29" s="343"/>
    </row>
    <row r="30" spans="1:14" s="344" customFormat="1" ht="31.5" customHeight="1" x14ac:dyDescent="0.2">
      <c r="A30" s="989"/>
      <c r="B30" s="355" t="s">
        <v>45</v>
      </c>
      <c r="C30" s="615"/>
      <c r="D30" s="616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617"/>
      <c r="D31" s="618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601" t="s">
        <v>33</v>
      </c>
      <c r="D33" s="602"/>
      <c r="E33" s="1"/>
      <c r="F33" s="603" t="s">
        <v>34</v>
      </c>
      <c r="G33" s="604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410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410"/>
      <c r="F38" s="410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410"/>
      <c r="F39" s="410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410"/>
      <c r="F40" s="410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410"/>
      <c r="F41" s="410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410"/>
      <c r="F42" s="410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498" t="e">
        <f>+AVERAGE(C42:D42)</f>
        <v>#DIV/0!</v>
      </c>
      <c r="D43" s="410"/>
      <c r="E43" s="410"/>
      <c r="F43" s="410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511" t="e">
        <f>+STDEV(C42:D42)</f>
        <v>#DIV/0!</v>
      </c>
      <c r="D44" s="410"/>
      <c r="E44" s="410"/>
      <c r="F44" s="410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B26</f>
        <v>2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75</v>
      </c>
      <c r="F60" s="23" t="s">
        <v>76</v>
      </c>
      <c r="G60" s="273"/>
      <c r="H60" s="492" t="e">
        <f t="shared" ref="H60:H65" si="0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418" t="e">
        <f>VLOOKUP($E$6,'DATOS ¬'!N25:AC134,11,FALSE)</f>
        <v>#N/A</v>
      </c>
      <c r="D61" s="419" t="s">
        <v>18</v>
      </c>
      <c r="E61" s="223" t="s">
        <v>75</v>
      </c>
      <c r="F61" s="24" t="s">
        <v>76</v>
      </c>
      <c r="G61" s="273"/>
      <c r="H61" s="492" t="e">
        <f t="shared" si="0"/>
        <v>#VALUE!</v>
      </c>
      <c r="I61" s="284" t="s">
        <v>79</v>
      </c>
      <c r="J61" s="285" t="str">
        <f>IFERROR(SQRT(SUMSQ(H59,H62,H66,H67,H68))/MAX(C59,C62,C66,C67,C68),"--")</f>
        <v>--</v>
      </c>
      <c r="K61" s="420" t="str">
        <f>IF((J61)&lt;=(L59),"1,65","2")</f>
        <v>2</v>
      </c>
      <c r="L61" s="230" t="s">
        <v>80</v>
      </c>
      <c r="M61" s="228" t="s">
        <v>81</v>
      </c>
      <c r="N61" s="231" t="s">
        <v>402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90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75</v>
      </c>
      <c r="F63" s="23" t="s">
        <v>76</v>
      </c>
      <c r="G63" s="273"/>
      <c r="H63" s="492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75</v>
      </c>
      <c r="F64" s="25" t="s">
        <v>76</v>
      </c>
      <c r="G64" s="273"/>
      <c r="H64" s="492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75</v>
      </c>
      <c r="F65" s="24" t="s">
        <v>76</v>
      </c>
      <c r="G65" s="273"/>
      <c r="H65" s="492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90" t="e">
        <f>IF(C67=MAX($C$59,$C$62,$C$66,$C$67,$C$68),"",C67)</f>
        <v>#N/A</v>
      </c>
      <c r="J67" s="501" t="s">
        <v>91</v>
      </c>
      <c r="K67" s="658" t="s">
        <v>92</v>
      </c>
      <c r="L67" s="502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0.37/SQRT(45)</f>
        <v>5.5156343444994808E-2</v>
      </c>
      <c r="D68" s="434" t="s">
        <v>18</v>
      </c>
      <c r="E68" s="226" t="s">
        <v>72</v>
      </c>
      <c r="F68" s="440">
        <v>50</v>
      </c>
      <c r="G68" s="274" t="e">
        <f t="shared" si="1"/>
        <v>#VALUE!</v>
      </c>
      <c r="H68" s="490" t="e">
        <f>IF(C68=MAX($C$59,$C$62,$C$66,$C$67,$C$68),"",C68)</f>
        <v>#DIV/0!</v>
      </c>
      <c r="J68" s="278" t="e">
        <f>(G70^4/((C59^4/F59)+(C62^4/F62)+(C66^4/F66)+(C67^4/F67)+(C68^4/F68)))</f>
        <v>#DIV/0!</v>
      </c>
      <c r="K68" s="279" t="e">
        <f>(_xlfn.T.INV.2T(0.05,J68))</f>
        <v>#DIV/0!</v>
      </c>
      <c r="L68" s="280" t="e">
        <f>(1-_xlfn.T.DIST.2T(K68,J68))</f>
        <v>#DIV/0!</v>
      </c>
    </row>
    <row r="69" spans="1:21" s="12" customFormat="1" ht="51.75" customHeight="1" thickBot="1" x14ac:dyDescent="0.25">
      <c r="G69" s="234" t="e">
        <f>SUM(G59,G62,G66,G67,G68)</f>
        <v>#VALUE!</v>
      </c>
      <c r="M69" s="344"/>
      <c r="S69" s="344"/>
      <c r="T69" s="344"/>
      <c r="U69" s="344"/>
    </row>
    <row r="70" spans="1:21" s="12" customFormat="1" ht="35.1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L70" s="344"/>
      <c r="O70" s="344"/>
      <c r="P70" s="344"/>
      <c r="Q70" s="344"/>
      <c r="R70" s="344"/>
      <c r="S70" s="344"/>
      <c r="T70" s="344"/>
      <c r="U70" s="344"/>
    </row>
    <row r="71" spans="1:21" s="12" customFormat="1" ht="33.75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L71" s="14"/>
      <c r="O71" s="344"/>
      <c r="P71" s="344"/>
      <c r="Q71" s="344"/>
      <c r="R71" s="344"/>
      <c r="S71" s="344"/>
      <c r="T71" s="344"/>
      <c r="U71" s="344"/>
    </row>
    <row r="72" spans="1:21" s="12" customFormat="1" ht="35.1" customHeight="1" thickBot="1" x14ac:dyDescent="0.25">
      <c r="C72" s="929" t="s">
        <v>97</v>
      </c>
      <c r="D72" s="930"/>
      <c r="E72" s="930"/>
      <c r="F72" s="930"/>
      <c r="G72" s="930"/>
      <c r="H72" s="930"/>
      <c r="I72" s="930"/>
      <c r="J72" s="930"/>
      <c r="K72" s="930"/>
      <c r="L72" s="931"/>
      <c r="O72" s="344"/>
      <c r="P72" s="344"/>
      <c r="Q72" s="344"/>
      <c r="R72" s="344"/>
      <c r="S72" s="344"/>
      <c r="T72" s="344"/>
      <c r="U72" s="344"/>
    </row>
    <row r="73" spans="1:21" s="12" customFormat="1" ht="40.5" customHeight="1" thickBot="1" x14ac:dyDescent="0.25">
      <c r="C73" s="939" t="s">
        <v>98</v>
      </c>
      <c r="D73" s="940"/>
      <c r="E73" s="940"/>
      <c r="F73" s="941"/>
      <c r="G73" s="447"/>
      <c r="H73" s="448"/>
      <c r="I73" s="942"/>
      <c r="J73" s="943"/>
      <c r="K73" s="943"/>
      <c r="L73" s="944"/>
      <c r="O73" s="344"/>
      <c r="P73" s="344"/>
      <c r="Q73" s="344"/>
      <c r="R73" s="344"/>
      <c r="S73" s="344"/>
      <c r="T73" s="344"/>
      <c r="U73" s="344"/>
    </row>
    <row r="74" spans="1:21" s="12" customFormat="1" ht="35.1" customHeight="1" x14ac:dyDescent="0.2">
      <c r="C74" s="528"/>
      <c r="D74" s="449" t="s">
        <v>99</v>
      </c>
      <c r="E74" s="450" t="s">
        <v>100</v>
      </c>
      <c r="F74" s="451"/>
      <c r="G74" s="945"/>
      <c r="H74" s="945"/>
      <c r="I74" s="946" t="s">
        <v>101</v>
      </c>
      <c r="J74" s="1032" t="s">
        <v>102</v>
      </c>
      <c r="K74" s="1032"/>
      <c r="L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C75" s="494" t="e">
        <f>C10</f>
        <v>#N/A</v>
      </c>
      <c r="D75" s="453" t="e">
        <f>C11</f>
        <v>#N/A</v>
      </c>
      <c r="E75" s="454" t="e">
        <f>H54</f>
        <v>#DIV/0!</v>
      </c>
      <c r="F75" s="495" t="e">
        <f>C75+(D75/1000)+(E75/1000)</f>
        <v>#N/A</v>
      </c>
      <c r="G75" s="81" t="e">
        <f>F75*1000-C75*1000</f>
        <v>#N/A</v>
      </c>
      <c r="H75" s="369"/>
      <c r="I75" s="947"/>
      <c r="J75" s="500" t="e">
        <f>G71</f>
        <v>#DIV/0!</v>
      </c>
      <c r="K75" s="951"/>
      <c r="L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C76" s="496" t="e">
        <f>C75</f>
        <v>#N/A</v>
      </c>
      <c r="D76" s="459" t="e">
        <f>D75</f>
        <v>#N/A</v>
      </c>
      <c r="E76" s="459" t="e">
        <f>E75</f>
        <v>#DIV/0!</v>
      </c>
      <c r="F76" s="497" t="e">
        <f>C76+(D76/1000)+(E76/1000)</f>
        <v>#N/A</v>
      </c>
      <c r="G76" s="460" t="e">
        <f>G75/1000</f>
        <v>#N/A</v>
      </c>
      <c r="H76" s="462"/>
      <c r="I76" s="948"/>
      <c r="J76" s="460" t="e">
        <f>J75/1000</f>
        <v>#DIV/0!</v>
      </c>
      <c r="K76" s="953"/>
      <c r="L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G76</f>
        <v>#N/A</v>
      </c>
      <c r="G81" s="633" t="e">
        <f>J76</f>
        <v>#DIV/0!</v>
      </c>
      <c r="H81" s="634">
        <v>100</v>
      </c>
      <c r="I81" s="635">
        <v>-100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100</v>
      </c>
      <c r="I82" s="635">
        <f>I81</f>
        <v>-100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100</v>
      </c>
      <c r="I83" s="638">
        <f>I81</f>
        <v>-100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39.950000000000003" customHeight="1" x14ac:dyDescent="0.2">
      <c r="C86" s="15"/>
    </row>
    <row r="87" spans="1:14" s="12" customFormat="1" ht="35.1" customHeight="1" x14ac:dyDescent="0.2"/>
    <row r="88" spans="1:14" s="12" customFormat="1" ht="35.1" customHeight="1" x14ac:dyDescent="0.2"/>
    <row r="89" spans="1:14" s="12" customFormat="1" ht="35.1" customHeight="1" x14ac:dyDescent="0.2"/>
    <row r="90" spans="1:14" s="12" customFormat="1" ht="50.1" customHeight="1" x14ac:dyDescent="0.2"/>
    <row r="91" spans="1:14" s="12" customFormat="1" ht="55.5" customHeight="1" x14ac:dyDescent="0.2"/>
    <row r="92" spans="1:14" s="12" customFormat="1" ht="50.1" customHeight="1" x14ac:dyDescent="0.2"/>
    <row r="93" spans="1:14" s="12" customFormat="1" ht="31.5" customHeight="1" x14ac:dyDescent="0.2"/>
    <row r="94" spans="1:14" s="12" customFormat="1" ht="35.1" customHeight="1" x14ac:dyDescent="0.2"/>
    <row r="95" spans="1:14" s="12" customFormat="1" ht="35.1" customHeight="1" x14ac:dyDescent="0.2"/>
    <row r="96" spans="1:14" s="12" customFormat="1" ht="9.9499999999999993" customHeight="1" x14ac:dyDescent="0.2">
      <c r="G96" s="13"/>
      <c r="H96" s="13"/>
      <c r="I96" s="13"/>
      <c r="J96" s="13"/>
    </row>
    <row r="97" spans="1:12" s="12" customFormat="1" ht="35.1" customHeight="1" x14ac:dyDescent="0.2">
      <c r="J97" s="13"/>
      <c r="K97" s="13"/>
      <c r="L97" s="13"/>
    </row>
    <row r="98" spans="1:12" s="344" customFormat="1" ht="15" customHeight="1" x14ac:dyDescent="0.2">
      <c r="A98" s="343"/>
      <c r="G98" s="343"/>
      <c r="H98" s="343"/>
      <c r="I98" s="343"/>
      <c r="J98" s="343"/>
    </row>
    <row r="99" spans="1:12" s="344" customFormat="1" ht="31.5" customHeight="1" x14ac:dyDescent="0.2">
      <c r="A99" s="343"/>
      <c r="B99" s="343"/>
      <c r="C99" s="343"/>
      <c r="D99" s="343"/>
      <c r="E99" s="343"/>
      <c r="F99" s="343"/>
      <c r="G99" s="343"/>
      <c r="H99" s="343"/>
      <c r="I99" s="343"/>
      <c r="J99" s="343"/>
    </row>
    <row r="100" spans="1:12" s="344" customFormat="1" ht="31.5" customHeight="1" x14ac:dyDescent="0.2"/>
    <row r="101" spans="1:12" s="344" customFormat="1" ht="31.5" customHeight="1" x14ac:dyDescent="0.2"/>
    <row r="102" spans="1:12" s="344" customFormat="1" ht="52.5" customHeight="1" x14ac:dyDescent="0.2"/>
    <row r="103" spans="1:12" s="344" customFormat="1" ht="31.5" customHeight="1" x14ac:dyDescent="0.2">
      <c r="K103" s="299"/>
    </row>
    <row r="104" spans="1:12" s="344" customFormat="1" ht="31.5" customHeight="1" x14ac:dyDescent="0.2">
      <c r="K104" s="299"/>
    </row>
    <row r="105" spans="1:12" ht="31.5" customHeight="1" x14ac:dyDescent="0.2">
      <c r="G105" s="463"/>
    </row>
    <row r="106" spans="1:12" ht="51" customHeight="1" x14ac:dyDescent="0.2"/>
  </sheetData>
  <sheetProtection password="CF5C" sheet="1" objects="1" scenarios="1" selectLockedCells="1"/>
  <mergeCells count="62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F19:G19"/>
    <mergeCell ref="H27:I27"/>
    <mergeCell ref="C16:D16"/>
    <mergeCell ref="A18:N18"/>
    <mergeCell ref="A22:N22"/>
    <mergeCell ref="J19:J20"/>
    <mergeCell ref="A20:B20"/>
    <mergeCell ref="E20:F20"/>
    <mergeCell ref="C24:D24"/>
    <mergeCell ref="F24:G24"/>
    <mergeCell ref="C26:D26"/>
    <mergeCell ref="C73:F73"/>
    <mergeCell ref="I73:L73"/>
    <mergeCell ref="G74:H74"/>
    <mergeCell ref="I74:I76"/>
    <mergeCell ref="J74:L74"/>
    <mergeCell ref="K75:L75"/>
    <mergeCell ref="K76:L76"/>
    <mergeCell ref="C72:L72"/>
    <mergeCell ref="A58:B58"/>
    <mergeCell ref="C58:D58"/>
    <mergeCell ref="E58:F58"/>
    <mergeCell ref="I60:N60"/>
    <mergeCell ref="G49:H49"/>
    <mergeCell ref="A47:B48"/>
    <mergeCell ref="C47:E47"/>
    <mergeCell ref="G48:H48"/>
    <mergeCell ref="A49:B49"/>
    <mergeCell ref="B38:D38"/>
    <mergeCell ref="A78:N78"/>
    <mergeCell ref="J80:N83"/>
    <mergeCell ref="A28:A31"/>
    <mergeCell ref="H38:J38"/>
    <mergeCell ref="H39:J42"/>
    <mergeCell ref="A36:N36"/>
    <mergeCell ref="A46:N46"/>
    <mergeCell ref="D53:E53"/>
    <mergeCell ref="H53:I53"/>
    <mergeCell ref="D70:E70"/>
    <mergeCell ref="D71:E71"/>
    <mergeCell ref="A56:N56"/>
    <mergeCell ref="A52:N52"/>
    <mergeCell ref="A50:B50"/>
    <mergeCell ref="G50:H50"/>
  </mergeCells>
  <conditionalFormatting sqref="G59 G62 G66:G68">
    <cfRule type="cellIs" dxfId="1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ignoredErrors>
    <ignoredError sqref="C41:D41" formulaRange="1"/>
    <ignoredError sqref="H6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¬'!$B$37:$B$40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  <x14:dataValidation type="list" allowBlank="1" showInputMessage="1" showErrorMessage="1">
          <x14:formula1>
            <xm:f>'DATOS ¬'!$N$7:$N$81</xm:f>
          </x14:formula1>
          <xm:sqref>E6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5">
    <tabColor rgb="FF7030A0"/>
  </sheetPr>
  <dimension ref="A1:U107"/>
  <sheetViews>
    <sheetView showGridLines="0" tabSelected="1" zoomScale="60" zoomScaleNormal="60" workbookViewId="0">
      <selection activeCell="J13" sqref="J13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5.85546875" style="315" customWidth="1"/>
    <col min="10" max="10" width="13.7109375" style="315" customWidth="1"/>
    <col min="11" max="11" width="12.85546875" style="299" customWidth="1"/>
    <col min="12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¬'!B7:J40,2,FALSE)</f>
        <v>#N/A</v>
      </c>
      <c r="B4" s="307" t="e">
        <f>VLOOKUP($G$3,'DATOS ¬'!$B$7:$J$40,3,FALSE)</f>
        <v>#N/A</v>
      </c>
      <c r="C4" s="308" t="e">
        <f>VLOOKUP($G$3,'DATOS ¬'!$B$7:$J$40,4,FALSE)</f>
        <v>#N/A</v>
      </c>
      <c r="D4" s="308" t="e">
        <f>VLOOKUP($G$3,'DATOS ¬'!$B$7:$J$40,5,FALSE)</f>
        <v>#N/A</v>
      </c>
      <c r="E4" s="307" t="e">
        <f>VLOOKUP($G$3,'DATOS ¬'!$B$7:$J$40,6,FALSE)</f>
        <v>#N/A</v>
      </c>
      <c r="F4" s="306" t="e">
        <f>VLOOKUP($G$3,'DATOS ¬'!$B$7:$J$40,7,FALSE)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510">
        <f>G3</f>
        <v>0</v>
      </c>
    </row>
    <row r="7" spans="1:16" ht="31.5" customHeight="1" x14ac:dyDescent="0.2">
      <c r="A7" s="309" t="s">
        <v>7</v>
      </c>
      <c r="B7" s="310" t="e">
        <f>VLOOKUP($E$6,'DATOS ¬'!N25:V134,2,FALSE)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17" t="e">
        <f>VLOOKUP($J$6,'DATOS ¬'!B47:I79,6,FALSE)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317" t="e">
        <f>VLOOKUP($E$6,'DATOS ¬'!N27:AC134,8,FALSE)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22</v>
      </c>
      <c r="J10" s="328"/>
    </row>
    <row r="11" spans="1:16" s="326" customFormat="1" ht="31.5" customHeight="1" thickBot="1" x14ac:dyDescent="0.3">
      <c r="A11" s="968" t="s">
        <v>17</v>
      </c>
      <c r="B11" s="969"/>
      <c r="C11" s="526" t="e">
        <f>VLOOKUP($E$6,'DATOS ¬'!N27:AC134,10,FALSE)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22</v>
      </c>
      <c r="J11" s="328"/>
    </row>
    <row r="12" spans="1:16" s="326" customFormat="1" ht="31.5" customHeight="1" thickBot="1" x14ac:dyDescent="0.3">
      <c r="A12" s="968" t="s">
        <v>20</v>
      </c>
      <c r="B12" s="969"/>
      <c r="C12" s="526" t="e">
        <f>VLOOKUP($E$6,'DATOS ¬'!N27:AC134,12,FALSE)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327" t="e">
        <f>VLOOKUP($E$6,'DATOS ¬'!N27:AC134,13,FALSE)</f>
        <v>#N/A</v>
      </c>
      <c r="D13" s="319" t="s">
        <v>22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317" t="e">
        <f>VLOOKUP($E$6,'DATOS ¬'!N27:AC134,14,FALSE)</f>
        <v>#N/A</v>
      </c>
      <c r="D14" s="319" t="s">
        <v>22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317" t="e">
        <f>VLOOKUP($E$6,'DATOS ¬'!N27:AC134,15,FALSE)</f>
        <v>#N/A</v>
      </c>
      <c r="D15" s="319" t="s">
        <v>22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1060" t="e">
        <f>VLOOKUP($E$6,'DATOS ¬'!N27:AC134,16,FALSE)</f>
        <v>#N/A</v>
      </c>
      <c r="D16" s="1061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thickBot="1" x14ac:dyDescent="0.25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1056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x14ac:dyDescent="0.2">
      <c r="A22" s="1068" t="s">
        <v>36</v>
      </c>
      <c r="B22" s="1069"/>
      <c r="C22" s="1069"/>
      <c r="D22" s="1069"/>
      <c r="E22" s="1069"/>
      <c r="F22" s="1069"/>
      <c r="G22" s="1069"/>
      <c r="H22" s="1069"/>
      <c r="I22" s="1069"/>
      <c r="J22" s="1069"/>
      <c r="K22" s="1069"/>
      <c r="L22" s="1069"/>
      <c r="M22" s="1069"/>
      <c r="N22" s="1070"/>
    </row>
    <row r="23" spans="1:14" s="343" customFormat="1" ht="2.25" customHeight="1" thickBot="1" x14ac:dyDescent="0.25">
      <c r="A23" s="1071"/>
      <c r="B23" s="1072"/>
      <c r="C23" s="1072"/>
      <c r="D23" s="1072"/>
      <c r="E23" s="1072"/>
      <c r="F23" s="1072"/>
      <c r="G23" s="1072"/>
      <c r="H23" s="1072"/>
      <c r="I23" s="1072"/>
      <c r="J23" s="1072"/>
      <c r="K23" s="1072"/>
      <c r="L23" s="1072"/>
      <c r="M23" s="1072"/>
      <c r="N23" s="1073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501" t="s">
        <v>38</v>
      </c>
      <c r="B26" s="619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  <c r="M38" s="344" t="s">
        <v>125</v>
      </c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474" t="e">
        <f>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511" t="e">
        <f>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74" t="s">
        <v>53</v>
      </c>
      <c r="B47" s="1075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76"/>
      <c r="B48" s="1077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466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512" t="e">
        <f>+C43</f>
        <v>#DIV/0!</v>
      </c>
      <c r="C54" s="468" t="s">
        <v>13</v>
      </c>
      <c r="D54" s="475" t="e">
        <f>+C10+C11/1000</f>
        <v>#N/A</v>
      </c>
      <c r="E54" s="468" t="s">
        <v>13</v>
      </c>
      <c r="F54" s="469" t="e">
        <f>+(I48-I50)*(1/H10-1/C13)</f>
        <v>#DIV/0!</v>
      </c>
      <c r="G54" s="402"/>
      <c r="H54" s="393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H58" s="570"/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22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90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620" t="s">
        <v>72</v>
      </c>
      <c r="F60" s="548">
        <f t="shared" ref="F60:F67" si="0">0.5*(5%)^-2</f>
        <v>199.99999999999997</v>
      </c>
      <c r="G60" s="273"/>
      <c r="H60" s="492" t="e">
        <f t="shared" ref="H60:H65" si="1">IFERROR(C60/$G$70,"--")^2</f>
        <v>#VALUE!</v>
      </c>
      <c r="I60" s="1057" t="s">
        <v>77</v>
      </c>
      <c r="J60" s="1058"/>
      <c r="K60" s="1058"/>
      <c r="L60" s="1058"/>
      <c r="M60" s="1058"/>
      <c r="N60" s="1059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¬'!N27:AC134,11,FALSE)</f>
        <v>#N/A</v>
      </c>
      <c r="D61" s="419" t="s">
        <v>18</v>
      </c>
      <c r="E61" s="621" t="s">
        <v>75</v>
      </c>
      <c r="F61" s="549">
        <f t="shared" si="0"/>
        <v>199.99999999999997</v>
      </c>
      <c r="G61" s="273"/>
      <c r="H61" s="492" t="e">
        <f t="shared" si="1"/>
        <v>#VALUE!</v>
      </c>
      <c r="I61" s="284" t="s">
        <v>79</v>
      </c>
      <c r="J61" s="285" t="str">
        <f>IFERROR(SQRT(SUMSQ(H59,H62,H66,H67,H68))/MAX(C59,C62,C66,C67,C68),"--")</f>
        <v>--</v>
      </c>
      <c r="K61" s="513" t="str">
        <f>IF((J61)&lt;=(L59),"1,65","2")</f>
        <v>2</v>
      </c>
      <c r="L61" s="227" t="s">
        <v>80</v>
      </c>
      <c r="M61" s="228" t="s">
        <v>81</v>
      </c>
      <c r="N61" s="229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22">
        <f t="shared" si="0"/>
        <v>199.99999999999997</v>
      </c>
      <c r="G62" s="274" t="e">
        <f t="shared" ref="G62:G68" si="2">IFERROR(C62/$G$70,"--")^2</f>
        <v>#VALUE!</v>
      </c>
      <c r="H62" s="490" t="e">
        <f>IF(C62=MAX($C$59,$C$62,$C$66,$C$67,$C$68),"",C62)</f>
        <v>#N/A</v>
      </c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622" t="s">
        <v>72</v>
      </c>
      <c r="F63" s="548">
        <f t="shared" si="0"/>
        <v>199.99999999999997</v>
      </c>
      <c r="G63" s="273"/>
      <c r="H63" s="492" t="e">
        <f t="shared" si="1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623" t="s">
        <v>72</v>
      </c>
      <c r="F64" s="550">
        <f t="shared" si="0"/>
        <v>199.99999999999997</v>
      </c>
      <c r="G64" s="273"/>
      <c r="H64" s="492" t="e">
        <f t="shared" si="1"/>
        <v>#VALUE!</v>
      </c>
      <c r="P64" s="299"/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624" t="s">
        <v>72</v>
      </c>
      <c r="F65" s="549">
        <f t="shared" si="0"/>
        <v>199.99999999999997</v>
      </c>
      <c r="G65" s="273"/>
      <c r="H65" s="492" t="e">
        <f t="shared" si="1"/>
        <v>#VALUE!</v>
      </c>
      <c r="P65" s="299"/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22">
        <f t="shared" si="0"/>
        <v>199.99999999999997</v>
      </c>
      <c r="G66" s="274" t="e">
        <f t="shared" si="2"/>
        <v>#VALUE!</v>
      </c>
      <c r="H66" s="490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06" t="s">
        <v>90</v>
      </c>
      <c r="B67" s="421"/>
      <c r="C67" s="408" t="e">
        <f>+(G15/2/3^0.5)*2^0.5*1000</f>
        <v>#N/A</v>
      </c>
      <c r="D67" s="430" t="s">
        <v>18</v>
      </c>
      <c r="E67" s="222" t="s">
        <v>75</v>
      </c>
      <c r="F67" s="222">
        <f t="shared" si="0"/>
        <v>199.99999999999997</v>
      </c>
      <c r="G67" s="274" t="e">
        <f t="shared" si="2"/>
        <v>#VALUE!</v>
      </c>
      <c r="H67" s="490" t="e">
        <f>IF(C67=MAX($C$59,$C$62,$C$66,$C$67,$C$68),"",C67)</f>
        <v>#N/A</v>
      </c>
      <c r="J67" s="660" t="s">
        <v>401</v>
      </c>
      <c r="K67" s="657" t="s">
        <v>92</v>
      </c>
      <c r="L67" s="657" t="s">
        <v>93</v>
      </c>
    </row>
    <row r="68" spans="1:21" s="344" customFormat="1" ht="65.25" customHeight="1" thickBot="1" x14ac:dyDescent="0.3">
      <c r="A68" s="406" t="s">
        <v>94</v>
      </c>
      <c r="B68" s="421"/>
      <c r="C68" s="514">
        <f>0.37/SQRT(45)</f>
        <v>5.5156343444994808E-2</v>
      </c>
      <c r="D68" s="430" t="s">
        <v>18</v>
      </c>
      <c r="E68" s="222" t="s">
        <v>72</v>
      </c>
      <c r="F68" s="20">
        <v>50</v>
      </c>
      <c r="G68" s="274" t="e">
        <f t="shared" si="2"/>
        <v>#VALUE!</v>
      </c>
      <c r="H68" s="490" t="e">
        <f>IF(C68=MAX($C$59,$C$62,$C$66,$C$67,$C$68),"",C68)</f>
        <v>#DIV/0!</v>
      </c>
      <c r="J68" s="275" t="e">
        <f>(G70^4/((C59^4/F59)+(C62^4/F62)+(C66^4/F66)+(C67^4/F67)+(C68^4/F68)))</f>
        <v>#DIV/0!</v>
      </c>
      <c r="K68" s="276" t="e">
        <f>(_xlfn.T.INV.2T(0.05,J68))</f>
        <v>#DIV/0!</v>
      </c>
      <c r="L68" s="277" t="e">
        <f>(1-_xlfn.T.DIST.2T(K68,J68))</f>
        <v>#DIV/0!</v>
      </c>
    </row>
    <row r="69" spans="1:21" s="344" customFormat="1" ht="65.25" customHeight="1" thickBot="1" x14ac:dyDescent="0.25">
      <c r="F69" s="515"/>
      <c r="G69" s="234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949" t="s">
        <v>102</v>
      </c>
      <c r="J74" s="949"/>
      <c r="K74" s="950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94" t="e">
        <f>C10</f>
        <v>#N/A</v>
      </c>
      <c r="C75" s="453" t="e">
        <f>C11</f>
        <v>#N/A</v>
      </c>
      <c r="D75" s="454" t="e">
        <f>H54</f>
        <v>#DIV/0!</v>
      </c>
      <c r="E75" s="495" t="e">
        <f>B75+(C75/1000)+(D75/1000)</f>
        <v>#N/A</v>
      </c>
      <c r="F75" s="495" t="e">
        <f>E75*1000-B75*1000</f>
        <v>#N/A</v>
      </c>
      <c r="G75" s="369"/>
      <c r="H75" s="947"/>
      <c r="I75" s="506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96" t="e">
        <f>B75</f>
        <v>#N/A</v>
      </c>
      <c r="C76" s="459" t="e">
        <f>C75</f>
        <v>#N/A</v>
      </c>
      <c r="D76" s="459" t="e">
        <f>D75</f>
        <v>#DIV/0!</v>
      </c>
      <c r="E76" s="497" t="e">
        <f>B76+(C76/1000)+(D76/1000)</f>
        <v>#N/A</v>
      </c>
      <c r="F76" s="473" t="e">
        <f>F75/1000</f>
        <v>#N/A</v>
      </c>
      <c r="G76" s="462"/>
      <c r="H76" s="948"/>
      <c r="I76" s="47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0.1</v>
      </c>
      <c r="I81" s="635">
        <v>-0.1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0.1</v>
      </c>
      <c r="I82" s="635">
        <f>I81</f>
        <v>-0.1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0.1</v>
      </c>
      <c r="I83" s="638">
        <f>I81</f>
        <v>-0.1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 selectLockedCells="1"/>
  <mergeCells count="64">
    <mergeCell ref="A52:N52"/>
    <mergeCell ref="A47:B48"/>
    <mergeCell ref="A50:B50"/>
    <mergeCell ref="G50:H50"/>
    <mergeCell ref="J19:J20"/>
    <mergeCell ref="C26:D26"/>
    <mergeCell ref="B38:D38"/>
    <mergeCell ref="H27:I27"/>
    <mergeCell ref="A36:N36"/>
    <mergeCell ref="A46:N46"/>
    <mergeCell ref="E58:F58"/>
    <mergeCell ref="I60:N60"/>
    <mergeCell ref="F74:G74"/>
    <mergeCell ref="H74:H76"/>
    <mergeCell ref="I74:K74"/>
    <mergeCell ref="J75:K75"/>
    <mergeCell ref="J76:K76"/>
    <mergeCell ref="D70:E70"/>
    <mergeCell ref="D71:E71"/>
    <mergeCell ref="B72:K72"/>
    <mergeCell ref="B73:E73"/>
    <mergeCell ref="H73:K7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78:N78"/>
    <mergeCell ref="A15:B15"/>
    <mergeCell ref="A20:B20"/>
    <mergeCell ref="E20:F20"/>
    <mergeCell ref="C24:D24"/>
    <mergeCell ref="F24:G24"/>
    <mergeCell ref="A16:B16"/>
    <mergeCell ref="C16:D16"/>
    <mergeCell ref="F19:G19"/>
    <mergeCell ref="A18:N18"/>
    <mergeCell ref="A22:N23"/>
    <mergeCell ref="A58:B58"/>
    <mergeCell ref="J80:N83"/>
    <mergeCell ref="A56:N56"/>
    <mergeCell ref="A13:B13"/>
    <mergeCell ref="F13:I13"/>
    <mergeCell ref="A28:A31"/>
    <mergeCell ref="C33:D33"/>
    <mergeCell ref="F33:G33"/>
    <mergeCell ref="H38:J38"/>
    <mergeCell ref="H39:J42"/>
    <mergeCell ref="C47:E47"/>
    <mergeCell ref="G48:H48"/>
    <mergeCell ref="A49:B49"/>
    <mergeCell ref="G49:H49"/>
    <mergeCell ref="D53:E53"/>
    <mergeCell ref="H53:I53"/>
    <mergeCell ref="C58:D58"/>
  </mergeCells>
  <conditionalFormatting sqref="G59 G62 G66:G68">
    <cfRule type="cellIs" dxfId="0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(2023-06-06)
</oddFooter>
  </headerFooter>
  <rowBreaks count="1" manualBreakCount="1">
    <brk id="3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'DATOS ¬'!$B$7:$B$40</xm:f>
          </x14:formula1>
          <xm:sqref>G3:H4</xm:sqref>
        </x14:dataValidation>
        <x14:dataValidation type="list" allowBlank="1" showInputMessage="1" showErrorMessage="1">
          <x14:formula1>
            <xm:f>'DATOS ¬'!$N$25:$N$134</xm:f>
          </x14:formula1>
          <xm:sqref>E6</xm:sqref>
        </x14:dataValidation>
        <x14:dataValidation type="list" allowBlank="1" showInputMessage="1" showErrorMessage="1">
          <x14:formula1>
            <xm:f>'DATOS ¬'!$N$142:$N$164</xm:f>
          </x14:formula1>
          <xm:sqref>F48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¬'!$I$201:$I$206</xm:f>
          </x14:formula1>
          <xm:sqref>J19:J20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7030A0"/>
  </sheetPr>
  <dimension ref="A1:U107"/>
  <sheetViews>
    <sheetView showGridLines="0" view="pageBreakPreview" topLeftCell="A4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17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thickBot="1" x14ac:dyDescent="0.25"/>
    <row r="18" spans="1:14" ht="31.5" customHeight="1" thickBot="1" x14ac:dyDescent="0.25">
      <c r="A18" s="932" t="s">
        <v>28</v>
      </c>
      <c r="B18" s="933"/>
      <c r="C18" s="933"/>
      <c r="D18" s="933"/>
      <c r="E18" s="933"/>
      <c r="F18" s="933"/>
      <c r="G18" s="933"/>
      <c r="H18" s="933"/>
      <c r="I18" s="933"/>
      <c r="J18" s="933"/>
      <c r="K18" s="933"/>
      <c r="L18" s="933"/>
      <c r="M18" s="933"/>
      <c r="N18" s="934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1036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343"/>
      <c r="B35" s="343"/>
      <c r="C35" s="343"/>
      <c r="D35" s="343"/>
      <c r="E35" s="343"/>
      <c r="F35" s="343"/>
      <c r="G35" s="343"/>
      <c r="H35" s="343"/>
      <c r="I35" s="343"/>
      <c r="J35" s="343"/>
    </row>
    <row r="36" spans="1:14" s="344" customFormat="1" ht="32.25" customHeight="1" thickBot="1" x14ac:dyDescent="0.25">
      <c r="A36" s="932" t="s">
        <v>47</v>
      </c>
      <c r="B36" s="933"/>
      <c r="C36" s="933"/>
      <c r="D36" s="933"/>
      <c r="E36" s="933"/>
      <c r="F36" s="933"/>
      <c r="G36" s="933"/>
      <c r="H36" s="933"/>
      <c r="I36" s="933"/>
      <c r="J36" s="933"/>
      <c r="K36" s="933"/>
      <c r="L36" s="933"/>
      <c r="M36" s="933"/>
      <c r="N36" s="934"/>
    </row>
    <row r="37" spans="1:14" s="344" customFormat="1" ht="3.75" customHeight="1" thickBot="1" x14ac:dyDescent="0.25">
      <c r="A37" s="343"/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thickBot="1" x14ac:dyDescent="0.25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932" t="s">
        <v>52</v>
      </c>
      <c r="B46" s="933"/>
      <c r="C46" s="933"/>
      <c r="D46" s="933"/>
      <c r="E46" s="933"/>
      <c r="F46" s="933"/>
      <c r="G46" s="933"/>
      <c r="H46" s="933"/>
      <c r="I46" s="933"/>
      <c r="J46" s="933"/>
      <c r="K46" s="933"/>
      <c r="L46" s="933"/>
      <c r="M46" s="933"/>
      <c r="N46" s="934"/>
    </row>
    <row r="47" spans="1:14" s="344" customFormat="1" ht="31.5" customHeight="1" thickBot="1" x14ac:dyDescent="0.25">
      <c r="A47" s="1022" t="s">
        <v>53</v>
      </c>
      <c r="B47" s="1023"/>
      <c r="C47" s="1026" t="s">
        <v>54</v>
      </c>
      <c r="D47" s="1027"/>
      <c r="E47" s="1028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thickBot="1" x14ac:dyDescent="0.25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thickBot="1" x14ac:dyDescent="0.25">
      <c r="A52" s="932" t="s">
        <v>61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4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32" t="e">
        <f>G70^4/((C59^4/F59)+(C62^4/F62)+(C66^4/F66)+(C67^4/F67)+(C68^4/F68))</f>
        <v>#DIV/0!</v>
      </c>
      <c r="K68" s="276" t="e">
        <f>(_xlfn.T.INV.2T(0.05,J68))</f>
        <v>#DIV/0!</v>
      </c>
      <c r="L68" s="277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73" t="e">
        <f>F75/1000</f>
        <v>#N/A</v>
      </c>
      <c r="G76" s="462"/>
      <c r="H76" s="948"/>
      <c r="I76" s="47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53">
        <v>0.02</v>
      </c>
      <c r="I81" s="654">
        <v>-0.02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53">
        <f>H81</f>
        <v>0.02</v>
      </c>
      <c r="I82" s="654">
        <f>I81</f>
        <v>-0.02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5">
        <f>H81</f>
        <v>0.02</v>
      </c>
      <c r="I83" s="656">
        <f>I81</f>
        <v>-0.02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22:N22"/>
    <mergeCell ref="A36:N36"/>
    <mergeCell ref="A46:N46"/>
    <mergeCell ref="A52:N52"/>
    <mergeCell ref="A27:B27"/>
    <mergeCell ref="H28:I28"/>
    <mergeCell ref="C24:D24"/>
    <mergeCell ref="F24:G24"/>
    <mergeCell ref="H27:I27"/>
    <mergeCell ref="A49:B49"/>
    <mergeCell ref="G49:H49"/>
    <mergeCell ref="A28:A31"/>
    <mergeCell ref="C33:D33"/>
    <mergeCell ref="F33:G33"/>
    <mergeCell ref="H38:J38"/>
    <mergeCell ref="H39:J42"/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14:B14"/>
    <mergeCell ref="A15:B15"/>
    <mergeCell ref="A16:B16"/>
    <mergeCell ref="C16:D16"/>
    <mergeCell ref="F19:G19"/>
    <mergeCell ref="A18:N18"/>
    <mergeCell ref="J19:J20"/>
    <mergeCell ref="A20:B20"/>
    <mergeCell ref="E20:F20"/>
    <mergeCell ref="A58:B58"/>
    <mergeCell ref="C58:D58"/>
    <mergeCell ref="E58:F58"/>
    <mergeCell ref="A56:N56"/>
    <mergeCell ref="C26:D26"/>
    <mergeCell ref="B38:D38"/>
    <mergeCell ref="A50:B50"/>
    <mergeCell ref="A47:B48"/>
    <mergeCell ref="C47:E47"/>
    <mergeCell ref="G48:H48"/>
    <mergeCell ref="G50:H50"/>
    <mergeCell ref="D53:E53"/>
    <mergeCell ref="H53:I53"/>
    <mergeCell ref="A78:N78"/>
    <mergeCell ref="J80:N83"/>
    <mergeCell ref="D70:E70"/>
    <mergeCell ref="D71:E71"/>
    <mergeCell ref="B72:K72"/>
    <mergeCell ref="B73:E73"/>
    <mergeCell ref="H73:K73"/>
    <mergeCell ref="I60:N60"/>
    <mergeCell ref="F74:G74"/>
    <mergeCell ref="H74:H76"/>
    <mergeCell ref="I74:K74"/>
    <mergeCell ref="J75:K75"/>
    <mergeCell ref="J76:K76"/>
  </mergeCells>
  <conditionalFormatting sqref="G59 G62 G66:G68">
    <cfRule type="cellIs" dxfId="28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17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thickBot="1" x14ac:dyDescent="0.25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484" t="s">
        <v>8</v>
      </c>
      <c r="B19" s="485" t="e">
        <f>VLOOKUP($J$19,'DATOS ¬'!I202:V206,2,FALSE)</f>
        <v>#N/A</v>
      </c>
      <c r="C19" s="486" t="s">
        <v>29</v>
      </c>
      <c r="D19" s="487" t="e">
        <f>VLOOKUP(J19,'DATOS ¬'!I202:V206,3,FALSE)</f>
        <v>#N/A</v>
      </c>
      <c r="E19" s="488" t="s">
        <v>2</v>
      </c>
      <c r="F19" s="976" t="e">
        <f>VLOOKUP(J19,'DATOS ¬'!I202:V206,5,FALSE)</f>
        <v>#N/A</v>
      </c>
      <c r="G19" s="977"/>
      <c r="H19" s="486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1042" t="s">
        <v>36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</row>
    <row r="23" spans="1:14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4" s="344" customFormat="1" ht="32.25" customHeight="1" thickBot="1" x14ac:dyDescent="0.25">
      <c r="A36" s="1042" t="s">
        <v>47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</row>
    <row r="37" spans="1:14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x14ac:dyDescent="0.2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1042" t="s">
        <v>52</v>
      </c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</row>
    <row r="47" spans="1:14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x14ac:dyDescent="0.2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x14ac:dyDescent="0.2">
      <c r="A52" s="1042" t="s">
        <v>61</v>
      </c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13</v>
      </c>
      <c r="D54" s="469" t="e">
        <f>+C10+C11/1000</f>
        <v>#N/A</v>
      </c>
      <c r="E54" s="468" t="s">
        <v>13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32" t="e">
        <f>G70^4/((C59^4/F59)+(C62^4/F62)+(C66^4/F66)+(C67^4/F67)+(C68^4/F68))</f>
        <v>#DIV/0!</v>
      </c>
      <c r="K68" s="276" t="e">
        <f>(_xlfn.T.INV.2T(0.05,J68))</f>
        <v>#DIV/0!</v>
      </c>
      <c r="L68" s="277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8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52" t="e">
        <f>I75</f>
        <v>#DIV/0!</v>
      </c>
      <c r="H81" s="653">
        <v>0.02</v>
      </c>
      <c r="I81" s="654">
        <v>-0.02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53">
        <f>H81</f>
        <v>0.02</v>
      </c>
      <c r="I82" s="654">
        <f>I81</f>
        <v>-0.02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55">
        <f>H81</f>
        <v>0.02</v>
      </c>
      <c r="I83" s="656">
        <f>I81</f>
        <v>-0.02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22:N22"/>
    <mergeCell ref="A36:N36"/>
    <mergeCell ref="A46:N46"/>
    <mergeCell ref="A52:N52"/>
    <mergeCell ref="A27:B27"/>
    <mergeCell ref="H28:I28"/>
    <mergeCell ref="C24:D24"/>
    <mergeCell ref="F24:G24"/>
    <mergeCell ref="H27:I27"/>
    <mergeCell ref="A49:B49"/>
    <mergeCell ref="G49:H49"/>
    <mergeCell ref="A28:A31"/>
    <mergeCell ref="C33:D33"/>
    <mergeCell ref="F33:G33"/>
    <mergeCell ref="H38:J38"/>
    <mergeCell ref="H39:J42"/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14:B14"/>
    <mergeCell ref="A15:B15"/>
    <mergeCell ref="A16:B16"/>
    <mergeCell ref="C16:D16"/>
    <mergeCell ref="F19:G19"/>
    <mergeCell ref="A18:N18"/>
    <mergeCell ref="J19:J20"/>
    <mergeCell ref="A20:B20"/>
    <mergeCell ref="E20:F20"/>
    <mergeCell ref="A58:B58"/>
    <mergeCell ref="C58:D58"/>
    <mergeCell ref="E58:F58"/>
    <mergeCell ref="A56:N56"/>
    <mergeCell ref="C26:D26"/>
    <mergeCell ref="B38:D38"/>
    <mergeCell ref="A50:B50"/>
    <mergeCell ref="A47:B48"/>
    <mergeCell ref="C47:E47"/>
    <mergeCell ref="G48:H48"/>
    <mergeCell ref="G50:H50"/>
    <mergeCell ref="D53:E53"/>
    <mergeCell ref="H53:I53"/>
    <mergeCell ref="A78:N78"/>
    <mergeCell ref="J80:N83"/>
    <mergeCell ref="D70:E70"/>
    <mergeCell ref="D71:E71"/>
    <mergeCell ref="B72:K72"/>
    <mergeCell ref="B73:E73"/>
    <mergeCell ref="H73:K73"/>
    <mergeCell ref="I60:N60"/>
    <mergeCell ref="F74:G74"/>
    <mergeCell ref="H74:H76"/>
    <mergeCell ref="I74:K74"/>
    <mergeCell ref="J75:K75"/>
    <mergeCell ref="J76:K76"/>
  </mergeCells>
  <conditionalFormatting sqref="G59 G62 G66:G68">
    <cfRule type="cellIs" dxfId="27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x14ac:dyDescent="0.2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thickBot="1" x14ac:dyDescent="0.25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932" t="s">
        <v>36</v>
      </c>
      <c r="B22" s="933"/>
      <c r="C22" s="933"/>
      <c r="D22" s="933"/>
      <c r="E22" s="933"/>
      <c r="F22" s="933"/>
      <c r="G22" s="933"/>
      <c r="H22" s="933"/>
      <c r="I22" s="933"/>
      <c r="J22" s="933"/>
      <c r="K22" s="933"/>
      <c r="L22" s="933"/>
      <c r="M22" s="933"/>
      <c r="N22" s="934"/>
    </row>
    <row r="23" spans="1:14" s="343" customFormat="1" ht="2.25" customHeight="1" thickBot="1" x14ac:dyDescent="0.25">
      <c r="A23" s="345"/>
      <c r="B23" s="346"/>
      <c r="C23" s="346"/>
      <c r="D23" s="346"/>
      <c r="E23" s="346"/>
      <c r="F23" s="346"/>
      <c r="G23" s="346"/>
      <c r="H23" s="346"/>
      <c r="I23" s="346"/>
      <c r="J23" s="347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4" s="344" customFormat="1" ht="32.25" customHeight="1" thickBot="1" x14ac:dyDescent="0.25">
      <c r="A36" s="1042" t="s">
        <v>47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</row>
    <row r="37" spans="1:14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377" t="e">
        <f>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x14ac:dyDescent="0.2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1042" t="s">
        <v>52</v>
      </c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</row>
    <row r="47" spans="1:14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x14ac:dyDescent="0.2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x14ac:dyDescent="0.2">
      <c r="A52" s="1042" t="s">
        <v>61</v>
      </c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83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2.5000000000000001E-2</v>
      </c>
      <c r="I81" s="635">
        <v>-2.5000000000000001E-2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2.5000000000000001E-2</v>
      </c>
      <c r="I82" s="635">
        <f>I81</f>
        <v>-2.5000000000000001E-2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2.5000000000000001E-2</v>
      </c>
      <c r="I83" s="638">
        <f>I81</f>
        <v>-2.5000000000000001E-2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6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7030A0"/>
  </sheetPr>
  <dimension ref="A1:U107"/>
  <sheetViews>
    <sheetView showGridLines="0" view="pageBreakPreview" zoomScale="80" zoomScaleNormal="60" zoomScaleSheetLayoutView="80" workbookViewId="0">
      <selection activeCell="J33" sqref="J33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482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x14ac:dyDescent="0.2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1042" t="s">
        <v>36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</row>
    <row r="23" spans="1:14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>
        <v>0</v>
      </c>
      <c r="D28" s="21">
        <v>0</v>
      </c>
      <c r="E28" s="343"/>
      <c r="F28" s="343"/>
      <c r="G28" s="343"/>
      <c r="H28" s="966" t="e">
        <f>VLOOKUP($I$26,'DATOS ¬'!$B$131:$G$135,2,FALSE)</f>
        <v>#N/A</v>
      </c>
      <c r="I28" s="967"/>
    </row>
    <row r="29" spans="1:14" s="344" customFormat="1" ht="31.5" customHeight="1" x14ac:dyDescent="0.2">
      <c r="A29" s="989"/>
      <c r="B29" s="355" t="s">
        <v>45</v>
      </c>
      <c r="C29" s="210">
        <v>5.0000000000000002E-5</v>
      </c>
      <c r="D29" s="18">
        <v>5.0000000000000002E-5</v>
      </c>
      <c r="E29" s="343"/>
      <c r="F29" s="343"/>
      <c r="G29" s="343"/>
      <c r="H29" s="343"/>
      <c r="I29" s="343"/>
    </row>
    <row r="30" spans="1:14" s="344" customFormat="1" ht="31.5" customHeight="1" x14ac:dyDescent="0.2">
      <c r="A30" s="989"/>
      <c r="B30" s="355" t="s">
        <v>45</v>
      </c>
      <c r="C30" s="210">
        <v>4.0000000000000003E-5</v>
      </c>
      <c r="D30" s="18">
        <v>5.0000000000000002E-5</v>
      </c>
      <c r="E30" s="343"/>
      <c r="F30" s="343"/>
      <c r="G30" s="343"/>
      <c r="H30" s="343"/>
      <c r="I30" s="343"/>
    </row>
    <row r="31" spans="1:14" s="344" customFormat="1" ht="31.5" customHeight="1" thickBot="1" x14ac:dyDescent="0.25">
      <c r="A31" s="990"/>
      <c r="B31" s="356" t="s">
        <v>44</v>
      </c>
      <c r="C31" s="211">
        <v>0</v>
      </c>
      <c r="D31" s="22">
        <v>0</v>
      </c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4" s="344" customFormat="1" ht="32.25" customHeight="1" thickBot="1" x14ac:dyDescent="0.25">
      <c r="A36" s="1042" t="s">
        <v>47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</row>
    <row r="37" spans="1:14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>
        <f>AVERAGE(C28,C31)</f>
        <v>0</v>
      </c>
      <c r="D40" s="366">
        <f>AVERAGE(D28,D31)</f>
        <v>0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>
        <f>AVERAGE(C29:C30)</f>
        <v>4.5000000000000003E-5</v>
      </c>
      <c r="D41" s="370">
        <f>AVERAGE(D29:D30)</f>
        <v>5.0000000000000002E-5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>
        <f>C41-C40</f>
        <v>4.5000000000000003E-5</v>
      </c>
      <c r="D42" s="373">
        <f>D41-D40</f>
        <v>5.0000000000000002E-5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>
        <f>+AVERAGE(C42:D42)</f>
        <v>4.7500000000000003E-5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>
        <f>+STDEV(C42:D42)</f>
        <v>3.5355339059327374E-6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x14ac:dyDescent="0.2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1042" t="s">
        <v>52</v>
      </c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</row>
    <row r="47" spans="1:14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x14ac:dyDescent="0.2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x14ac:dyDescent="0.2">
      <c r="A52" s="1042" t="s">
        <v>61</v>
      </c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>
        <f>+C43</f>
        <v>4.7500000000000003E-5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#N/A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>
        <f>+C44/B26^0.5*1000</f>
        <v>2.4999999999999996E-3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#N/A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#N/A</v>
      </c>
      <c r="J68" s="289" t="e">
        <f>G70^4/((C59^4/F59)+(C62^4/F62)+(C66^4/F66)+(C67^4/F67)+(C68^4/F68))</f>
        <v>#N/A</v>
      </c>
      <c r="K68" s="287" t="e">
        <f>(_xlfn.T.INV.2T(0.05,J68))</f>
        <v>#N/A</v>
      </c>
      <c r="L68" s="280" t="e">
        <f>(1-_xlfn.T.DIST.2T(K68,J68))</f>
        <v>#N/A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#N/A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#N/A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#N/A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#N/A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#N/A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#N/A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585"/>
      <c r="B79" s="585"/>
      <c r="C79" s="585"/>
      <c r="D79" s="585"/>
      <c r="E79" s="585"/>
      <c r="F79" s="585"/>
      <c r="G79" s="569"/>
      <c r="H79" s="569"/>
      <c r="I79" s="569"/>
      <c r="J79" s="585"/>
      <c r="K79" s="585"/>
      <c r="L79" s="585"/>
      <c r="M79" s="585"/>
      <c r="N79" s="585"/>
    </row>
    <row r="80" spans="1:21" s="12" customFormat="1" ht="39.950000000000003" customHeight="1" thickBot="1" x14ac:dyDescent="0.25">
      <c r="A80" s="585"/>
      <c r="B80" s="585"/>
      <c r="C80" s="585"/>
      <c r="D80" s="585"/>
      <c r="E80" s="585"/>
      <c r="F80" s="594" t="s">
        <v>413</v>
      </c>
      <c r="G80" s="595" t="s">
        <v>414</v>
      </c>
      <c r="H80" s="596" t="s">
        <v>415</v>
      </c>
      <c r="I80" s="586" t="s">
        <v>416</v>
      </c>
      <c r="J80" s="1044" t="s">
        <v>417</v>
      </c>
      <c r="K80" s="1045"/>
      <c r="L80" s="1045"/>
      <c r="M80" s="1045"/>
      <c r="N80" s="1046"/>
    </row>
    <row r="81" spans="1:14" s="12" customFormat="1" ht="39.950000000000003" customHeight="1" thickBot="1" x14ac:dyDescent="0.25">
      <c r="A81" s="587"/>
      <c r="B81" s="585"/>
      <c r="C81" s="585"/>
      <c r="D81" s="585"/>
      <c r="E81" s="585"/>
      <c r="F81" s="600" t="e">
        <f>F75</f>
        <v>#N/A</v>
      </c>
      <c r="G81" s="599" t="e">
        <f>I75</f>
        <v>#N/A</v>
      </c>
      <c r="H81" s="597">
        <v>0.03</v>
      </c>
      <c r="I81" s="589">
        <v>-0.03</v>
      </c>
      <c r="J81" s="1047"/>
      <c r="K81" s="1048"/>
      <c r="L81" s="1048"/>
      <c r="M81" s="1048"/>
      <c r="N81" s="1049"/>
    </row>
    <row r="82" spans="1:14" s="12" customFormat="1" ht="39.950000000000003" customHeight="1" x14ac:dyDescent="0.2">
      <c r="A82" s="585"/>
      <c r="B82" s="585"/>
      <c r="C82" s="585"/>
      <c r="D82" s="585"/>
      <c r="E82" s="585"/>
      <c r="F82" s="588"/>
      <c r="G82" s="588"/>
      <c r="H82" s="597">
        <f>H81</f>
        <v>0.03</v>
      </c>
      <c r="I82" s="589">
        <f>I81</f>
        <v>-0.03</v>
      </c>
      <c r="J82" s="1047"/>
      <c r="K82" s="1048"/>
      <c r="L82" s="1048"/>
      <c r="M82" s="1048"/>
      <c r="N82" s="1049"/>
    </row>
    <row r="83" spans="1:14" s="12" customFormat="1" ht="39.950000000000003" customHeight="1" thickBot="1" x14ac:dyDescent="0.25">
      <c r="A83" s="585"/>
      <c r="B83" s="585"/>
      <c r="C83" s="585"/>
      <c r="D83" s="585"/>
      <c r="E83" s="585"/>
      <c r="F83" s="588"/>
      <c r="G83" s="588"/>
      <c r="H83" s="598">
        <f>H81</f>
        <v>0.03</v>
      </c>
      <c r="I83" s="590">
        <f>I81</f>
        <v>-0.03</v>
      </c>
      <c r="J83" s="1050"/>
      <c r="K83" s="1051"/>
      <c r="L83" s="1051"/>
      <c r="M83" s="1051"/>
      <c r="N83" s="1052"/>
    </row>
    <row r="84" spans="1:14" s="12" customFormat="1" ht="39.950000000000003" customHeight="1" x14ac:dyDescent="0.2">
      <c r="A84" s="585"/>
      <c r="B84" s="585"/>
      <c r="C84" s="585"/>
      <c r="D84" s="585"/>
      <c r="E84" s="585"/>
      <c r="F84" s="588"/>
      <c r="G84" s="588"/>
      <c r="H84" s="588"/>
      <c r="I84" s="588"/>
      <c r="J84" s="591"/>
      <c r="K84" s="591"/>
      <c r="L84" s="592"/>
      <c r="M84" s="592"/>
      <c r="N84" s="585"/>
    </row>
    <row r="85" spans="1:14" s="12" customFormat="1" ht="39.950000000000003" customHeight="1" x14ac:dyDescent="0.2">
      <c r="A85" s="585"/>
      <c r="B85" s="585"/>
      <c r="C85" s="585"/>
      <c r="D85" s="585"/>
      <c r="E85" s="585"/>
      <c r="F85" s="588"/>
      <c r="G85" s="588"/>
      <c r="H85" s="588"/>
      <c r="I85" s="588"/>
      <c r="J85" s="592"/>
      <c r="K85" s="592"/>
      <c r="L85" s="592"/>
      <c r="M85" s="592"/>
      <c r="N85" s="58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5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7030A0"/>
  </sheetPr>
  <dimension ref="A1:U107"/>
  <sheetViews>
    <sheetView showGridLines="0" view="pageBreakPreview" topLeftCell="A28" zoomScale="80" zoomScaleNormal="60" zoomScaleSheetLayoutView="80" workbookViewId="0">
      <selection activeCell="A78" sqref="A78:N78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x14ac:dyDescent="0.2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1042" t="s">
        <v>36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</row>
    <row r="23" spans="1:14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  <c r="J28" s="343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4" s="344" customFormat="1" ht="32.25" customHeight="1" thickBot="1" x14ac:dyDescent="0.25">
      <c r="A36" s="1042" t="s">
        <v>47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</row>
    <row r="37" spans="1:14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x14ac:dyDescent="0.2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1042" t="s">
        <v>52</v>
      </c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</row>
    <row r="47" spans="1:14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x14ac:dyDescent="0.2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x14ac:dyDescent="0.2">
      <c r="A52" s="1042" t="s">
        <v>61</v>
      </c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x14ac:dyDescent="0.2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x14ac:dyDescent="0.2">
      <c r="A56" s="1042" t="s">
        <v>67</v>
      </c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509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0.03</v>
      </c>
      <c r="I81" s="635">
        <v>-0.03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0.03</v>
      </c>
      <c r="I82" s="635">
        <f>I81</f>
        <v>-0.03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0.03</v>
      </c>
      <c r="I83" s="638">
        <f>I81</f>
        <v>-0.03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4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7030A0"/>
  </sheetPr>
  <dimension ref="A1:U107"/>
  <sheetViews>
    <sheetView showGridLines="0" view="pageBreakPreview" zoomScale="80" zoomScaleNormal="60" zoomScaleSheetLayoutView="80" workbookViewId="0">
      <selection activeCell="F9" sqref="F9:G9"/>
    </sheetView>
  </sheetViews>
  <sheetFormatPr baseColWidth="10" defaultColWidth="11.42578125" defaultRowHeight="31.5" customHeight="1" x14ac:dyDescent="0.2"/>
  <cols>
    <col min="1" max="6" width="18.7109375" style="315" customWidth="1"/>
    <col min="7" max="7" width="15.7109375" style="315" customWidth="1"/>
    <col min="8" max="8" width="16.5703125" style="315" customWidth="1"/>
    <col min="9" max="9" width="13.85546875" style="315" bestFit="1" customWidth="1"/>
    <col min="10" max="10" width="13.7109375" style="315" customWidth="1"/>
    <col min="11" max="19" width="11.42578125" style="299"/>
    <col min="20" max="20" width="15.85546875" style="299" bestFit="1" customWidth="1"/>
    <col min="21" max="21" width="14.42578125" style="299" bestFit="1" customWidth="1"/>
    <col min="22" max="16384" width="11.42578125" style="299"/>
  </cols>
  <sheetData>
    <row r="1" spans="1:16" ht="84" customHeight="1" thickBot="1" x14ac:dyDescent="0.25">
      <c r="A1" s="996"/>
      <c r="B1" s="997"/>
      <c r="C1" s="998" t="s">
        <v>404</v>
      </c>
      <c r="D1" s="999"/>
      <c r="E1" s="999"/>
      <c r="F1" s="999"/>
      <c r="G1" s="999"/>
      <c r="H1" s="999"/>
      <c r="I1" s="999"/>
      <c r="J1" s="999"/>
      <c r="K1" s="999"/>
      <c r="L1" s="999"/>
      <c r="M1" s="1000"/>
      <c r="N1" s="298"/>
      <c r="O1" s="298"/>
      <c r="P1" s="298"/>
    </row>
    <row r="2" spans="1:16" s="12" customFormat="1" ht="9.75" customHeight="1" thickBot="1" x14ac:dyDescent="0.25">
      <c r="A2" s="300"/>
      <c r="B2" s="300"/>
      <c r="C2" s="13"/>
      <c r="D2" s="13"/>
      <c r="E2" s="13"/>
      <c r="F2" s="13"/>
      <c r="G2" s="13"/>
      <c r="H2" s="13"/>
      <c r="K2" s="301"/>
      <c r="M2" s="298"/>
    </row>
    <row r="3" spans="1:16" s="301" customFormat="1" ht="35.25" customHeight="1" thickBot="1" x14ac:dyDescent="0.25">
      <c r="A3" s="302" t="s">
        <v>0</v>
      </c>
      <c r="B3" s="303" t="s">
        <v>405</v>
      </c>
      <c r="C3" s="304" t="s">
        <v>1</v>
      </c>
      <c r="D3" s="304" t="s">
        <v>406</v>
      </c>
      <c r="E3" s="304" t="s">
        <v>407</v>
      </c>
      <c r="F3" s="305" t="s">
        <v>408</v>
      </c>
      <c r="G3" s="1001"/>
      <c r="H3" s="1002"/>
      <c r="K3" s="12"/>
      <c r="M3" s="298"/>
    </row>
    <row r="4" spans="1:16" s="12" customFormat="1" ht="32.25" customHeight="1" thickBot="1" x14ac:dyDescent="0.25">
      <c r="A4" s="306" t="e">
        <f>VLOOKUP($G$3,'DATOS ¬'!B7:J29,2,FALSE)</f>
        <v>#N/A</v>
      </c>
      <c r="B4" s="307" t="e">
        <f>VLOOKUP($G$3,'DATOS ¬'!$B$7:$J$29,3,FALSE)</f>
        <v>#N/A</v>
      </c>
      <c r="C4" s="308" t="e">
        <f>VLOOKUP($G$3,'DATOS ¬'!$B$7:$J$29,4,FALSE)</f>
        <v>#N/A</v>
      </c>
      <c r="D4" s="308" t="e">
        <f>VLOOKUP($G$3,'DATOS ¬'!$B$7:$J$29,5,FALSE)</f>
        <v>#N/A</v>
      </c>
      <c r="E4" s="307" t="e">
        <f>VLOOKUP($G$3,'DATOS ¬'!$B$7:$J$29,6,FALSE)</f>
        <v>#N/A</v>
      </c>
      <c r="F4" s="306" t="e">
        <f>VLOOKUP($G$3,'DATOS ¬'!$B$7:$J$29,7,FALSE)</f>
        <v>#N/A</v>
      </c>
      <c r="G4" s="1003"/>
      <c r="H4" s="1004"/>
      <c r="K4" s="299"/>
    </row>
    <row r="5" spans="1:16" ht="6.75" customHeight="1" thickBot="1" x14ac:dyDescent="0.25">
      <c r="A5" s="13"/>
      <c r="B5" s="13"/>
      <c r="C5" s="13"/>
      <c r="D5" s="299"/>
      <c r="E5" s="299"/>
      <c r="F5" s="13"/>
      <c r="G5" s="13"/>
      <c r="H5" s="13"/>
      <c r="I5" s="299"/>
      <c r="J5" s="299"/>
    </row>
    <row r="6" spans="1:16" ht="31.5" customHeight="1" thickBot="1" x14ac:dyDescent="0.25">
      <c r="A6" s="1005" t="s">
        <v>4</v>
      </c>
      <c r="B6" s="1006"/>
      <c r="C6" s="1006"/>
      <c r="D6" s="1007"/>
      <c r="E6" s="4"/>
      <c r="F6" s="1005" t="s">
        <v>6</v>
      </c>
      <c r="G6" s="1006"/>
      <c r="H6" s="1006"/>
      <c r="I6" s="1007"/>
      <c r="J6" s="76">
        <f>G3</f>
        <v>0</v>
      </c>
    </row>
    <row r="7" spans="1:16" ht="31.5" customHeight="1" x14ac:dyDescent="0.2">
      <c r="A7" s="309" t="s">
        <v>7</v>
      </c>
      <c r="B7" s="310" t="e">
        <f>VLOOKUP($E$6,'DATOS ¬'!N27:V134,2,FALSE)</f>
        <v>#N/A</v>
      </c>
      <c r="C7" s="311" t="s">
        <v>8</v>
      </c>
      <c r="D7" s="312" t="e">
        <f>VLOOKUP($E$6,'DATOS ¬'!N27:V134,3,FALSE)</f>
        <v>#N/A</v>
      </c>
      <c r="E7" s="313"/>
      <c r="F7" s="309" t="s">
        <v>7</v>
      </c>
      <c r="G7" s="310" t="e">
        <f>VLOOKUP($J$6,'DATOS ¬'!B47:I79,2,FALSE)</f>
        <v>#N/A</v>
      </c>
      <c r="H7" s="314" t="s">
        <v>8</v>
      </c>
      <c r="I7" s="312" t="e">
        <f>VLOOKUP($J$6,'DATOS ¬'!B47:I79,3,FALSE)</f>
        <v>#N/A</v>
      </c>
    </row>
    <row r="8" spans="1:16" ht="31.5" customHeight="1" x14ac:dyDescent="0.2">
      <c r="A8" s="316" t="s">
        <v>9</v>
      </c>
      <c r="B8" s="317" t="e">
        <f>VLOOKUP($E$6,'DATOS ¬'!N27:V134,4,FALSE)</f>
        <v>#N/A</v>
      </c>
      <c r="C8" s="318" t="s">
        <v>10</v>
      </c>
      <c r="D8" s="319" t="e">
        <f>VLOOKUP($E$6,'DATOS ¬'!N27:V134,5,FALSE)</f>
        <v>#N/A</v>
      </c>
      <c r="E8" s="313"/>
      <c r="F8" s="316" t="s">
        <v>9</v>
      </c>
      <c r="G8" s="317" t="e">
        <f>VLOOKUP($J$6,'DATOS ¬'!B47:I79,4,FALSE)</f>
        <v>#N/A</v>
      </c>
      <c r="H8" s="318" t="s">
        <v>10</v>
      </c>
      <c r="I8" s="320" t="e">
        <f>VLOOKUP($J$6,'DATOS ¬'!B47:I79,5,FALSE)</f>
        <v>#N/A</v>
      </c>
    </row>
    <row r="9" spans="1:16" ht="31.5" customHeight="1" x14ac:dyDescent="0.2">
      <c r="A9" s="321" t="s">
        <v>2</v>
      </c>
      <c r="B9" s="317" t="e">
        <f>VLOOKUP($E$6,'DATOS ¬'!N27:V134,6,FALSE)</f>
        <v>#N/A</v>
      </c>
      <c r="C9" s="322" t="s">
        <v>11</v>
      </c>
      <c r="D9" s="323" t="e">
        <f>VLOOKUP($E$6,'DATOS ¬'!N27:V134,7,FALSE)</f>
        <v>#N/A</v>
      </c>
      <c r="F9" s="968" t="s">
        <v>12</v>
      </c>
      <c r="G9" s="969"/>
      <c r="H9" s="325" t="e">
        <f>(VLOOKUP($J$6,'DATOS ¬'!B47:I79,6,FALSE))/1000</f>
        <v>#N/A</v>
      </c>
      <c r="I9" s="319" t="s">
        <v>13</v>
      </c>
      <c r="K9" s="464"/>
    </row>
    <row r="10" spans="1:16" s="326" customFormat="1" ht="31.5" customHeight="1" x14ac:dyDescent="0.25">
      <c r="A10" s="968" t="s">
        <v>14</v>
      </c>
      <c r="B10" s="969"/>
      <c r="C10" s="11" t="e">
        <f>(VLOOKUP($E$6,'DATOS ¬'!N82:AC134,8,FALSE))/1000</f>
        <v>#N/A</v>
      </c>
      <c r="D10" s="319" t="s">
        <v>13</v>
      </c>
      <c r="F10" s="968" t="s">
        <v>15</v>
      </c>
      <c r="G10" s="969"/>
      <c r="H10" s="327" t="e">
        <f>VLOOKUP($J$6,'DATOS ¬'!B47:I79,7,FALSE)</f>
        <v>#N/A</v>
      </c>
      <c r="I10" s="319" t="s">
        <v>16</v>
      </c>
      <c r="J10" s="328"/>
    </row>
    <row r="11" spans="1:16" s="326" customFormat="1" ht="31.5" customHeight="1" thickBot="1" x14ac:dyDescent="0.3">
      <c r="A11" s="968" t="s">
        <v>17</v>
      </c>
      <c r="B11" s="969"/>
      <c r="C11" s="11" t="e">
        <f>VLOOKUP($E$6,'DATOS ¬'!N82:AC134,10,FALSE)</f>
        <v>#N/A</v>
      </c>
      <c r="D11" s="319" t="s">
        <v>18</v>
      </c>
      <c r="E11" s="329"/>
      <c r="F11" s="1008" t="s">
        <v>19</v>
      </c>
      <c r="G11" s="1009"/>
      <c r="H11" s="330" t="e">
        <f>VLOOKUP($J$6,'DATOS ¬'!B47:I79,8,FALSE)</f>
        <v>#N/A</v>
      </c>
      <c r="I11" s="331" t="s">
        <v>16</v>
      </c>
      <c r="J11" s="328"/>
    </row>
    <row r="12" spans="1:16" s="326" customFormat="1" ht="31.5" customHeight="1" thickBot="1" x14ac:dyDescent="0.3">
      <c r="A12" s="968" t="s">
        <v>20</v>
      </c>
      <c r="B12" s="969"/>
      <c r="C12" s="11" t="e">
        <f>VLOOKUP($E$6,'DATOS ¬'!N82:AC134,12,FALSE)</f>
        <v>#N/A</v>
      </c>
      <c r="D12" s="319" t="s">
        <v>18</v>
      </c>
      <c r="E12" s="328"/>
      <c r="F12" s="328"/>
      <c r="G12" s="328"/>
      <c r="H12" s="328"/>
    </row>
    <row r="13" spans="1:16" s="326" customFormat="1" ht="31.5" customHeight="1" thickBot="1" x14ac:dyDescent="0.3">
      <c r="A13" s="968" t="s">
        <v>21</v>
      </c>
      <c r="B13" s="969"/>
      <c r="C13" s="47" t="e">
        <f>VLOOKUP($E$6,'DATOS ¬'!N82:AC134,13,FALSE)</f>
        <v>#N/A</v>
      </c>
      <c r="D13" s="319" t="s">
        <v>16</v>
      </c>
      <c r="E13" s="328"/>
      <c r="F13" s="991" t="s">
        <v>23</v>
      </c>
      <c r="G13" s="992"/>
      <c r="H13" s="992"/>
      <c r="I13" s="993"/>
      <c r="J13" s="5"/>
    </row>
    <row r="14" spans="1:16" s="326" customFormat="1" ht="31.5" customHeight="1" x14ac:dyDescent="0.2">
      <c r="A14" s="968" t="s">
        <v>24</v>
      </c>
      <c r="B14" s="969"/>
      <c r="C14" s="11" t="e">
        <f>VLOOKUP($E$6,'DATOS ¬'!N82:AC134,14,FALSE)</f>
        <v>#N/A</v>
      </c>
      <c r="D14" s="319" t="s">
        <v>16</v>
      </c>
      <c r="E14" s="328"/>
      <c r="F14" s="309" t="s">
        <v>8</v>
      </c>
      <c r="G14" s="310" t="e">
        <f>VLOOKUP($J$13,'DATOS ¬'!$B$117:$E$124,2,FALSE)</f>
        <v>#N/A</v>
      </c>
      <c r="H14" s="314" t="s">
        <v>9</v>
      </c>
      <c r="I14" s="310" t="e">
        <f>VLOOKUP($J$13,'DATOS ¬'!$B$117:$F$124,3,FALSE)</f>
        <v>#N/A</v>
      </c>
      <c r="J14" s="332"/>
      <c r="K14" s="299"/>
    </row>
    <row r="15" spans="1:16" ht="31.5" customHeight="1" thickBot="1" x14ac:dyDescent="0.25">
      <c r="A15" s="970" t="s">
        <v>25</v>
      </c>
      <c r="B15" s="971"/>
      <c r="C15" s="547" t="e">
        <f>VLOOKUP($E$6,'DATOS ¬'!N82:AC134,15,FALSE)</f>
        <v>#N/A</v>
      </c>
      <c r="D15" s="319" t="s">
        <v>16</v>
      </c>
      <c r="F15" s="333" t="s">
        <v>26</v>
      </c>
      <c r="G15" s="330" t="e">
        <f>VLOOKUP($J$13,'DATOS ¬'!$B$117:$E$124,4,FALSE)</f>
        <v>#N/A</v>
      </c>
      <c r="H15" s="330" t="s">
        <v>13</v>
      </c>
      <c r="I15" s="334" t="s">
        <v>27</v>
      </c>
      <c r="J15" s="331" t="e">
        <f>VLOOKUP($J$13,'DATOS ¬'!$B$117:$F$124,5,FALSE)</f>
        <v>#N/A</v>
      </c>
    </row>
    <row r="16" spans="1:16" ht="30.95" customHeight="1" thickBot="1" x14ac:dyDescent="0.25">
      <c r="A16" s="972" t="s">
        <v>27</v>
      </c>
      <c r="B16" s="973"/>
      <c r="C16" s="974" t="e">
        <f>VLOOKUP($E$6,'DATOS ¬'!N82:AC134,16,FALSE)</f>
        <v>#N/A</v>
      </c>
      <c r="D16" s="975"/>
      <c r="F16" s="299"/>
      <c r="G16" s="299"/>
      <c r="H16" s="299"/>
      <c r="I16" s="299"/>
      <c r="J16" s="299"/>
    </row>
    <row r="17" spans="1:14" ht="30.95" customHeight="1" x14ac:dyDescent="0.2"/>
    <row r="18" spans="1:14" ht="31.5" customHeight="1" x14ac:dyDescent="0.2">
      <c r="A18" s="1042" t="s">
        <v>28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</row>
    <row r="19" spans="1:14" ht="46.5" customHeight="1" thickBot="1" x14ac:dyDescent="0.25">
      <c r="A19" s="335" t="s">
        <v>8</v>
      </c>
      <c r="B19" s="336" t="e">
        <f>VLOOKUP($J$19,'DATOS ¬'!I202:V206,2,FALSE)</f>
        <v>#N/A</v>
      </c>
      <c r="C19" s="337" t="s">
        <v>29</v>
      </c>
      <c r="D19" s="338" t="e">
        <f>VLOOKUP(J19,'DATOS ¬'!I202:V206,3,FALSE)</f>
        <v>#N/A</v>
      </c>
      <c r="E19" s="339" t="s">
        <v>2</v>
      </c>
      <c r="F19" s="976" t="e">
        <f>VLOOKUP(J19,'DATOS ¬'!I202:V206,5,FALSE)</f>
        <v>#N/A</v>
      </c>
      <c r="G19" s="977"/>
      <c r="H19" s="337" t="s">
        <v>30</v>
      </c>
      <c r="I19" s="340" t="e">
        <f>VLOOKUP(J19,'DATOS ¬'!I202:V206,4,FALSE)</f>
        <v>#N/A</v>
      </c>
      <c r="J19" s="994"/>
    </row>
    <row r="20" spans="1:14" ht="31.5" customHeight="1" thickBot="1" x14ac:dyDescent="0.25">
      <c r="A20" s="978" t="s">
        <v>32</v>
      </c>
      <c r="B20" s="979"/>
      <c r="C20" s="341" t="s">
        <v>33</v>
      </c>
      <c r="D20" s="336" t="e">
        <f>VLOOKUP(J19,'DATOS ¬'!I202:V206,6,FALSE)</f>
        <v>#N/A</v>
      </c>
      <c r="E20" s="980" t="s">
        <v>34</v>
      </c>
      <c r="F20" s="981"/>
      <c r="G20" s="336" t="e">
        <f>VLOOKUP(J19,'DATOS ¬'!I202:V206,7,FALSE)</f>
        <v>#N/A</v>
      </c>
      <c r="H20" s="337" t="s">
        <v>35</v>
      </c>
      <c r="I20" s="342" t="e">
        <f>VLOOKUP(J19,'DATOS ¬'!I202:V206,8,FALSE)</f>
        <v>#N/A</v>
      </c>
      <c r="J20" s="995"/>
    </row>
    <row r="21" spans="1:14" s="344" customFormat="1" ht="15" customHeight="1" x14ac:dyDescent="0.2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299"/>
    </row>
    <row r="22" spans="1:14" s="344" customFormat="1" ht="31.5" customHeight="1" thickBot="1" x14ac:dyDescent="0.25">
      <c r="A22" s="1042" t="s">
        <v>36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</row>
    <row r="23" spans="1:14" s="343" customFormat="1" ht="2.25" customHeight="1" thickBot="1" x14ac:dyDescent="0.25">
      <c r="A23" s="478"/>
      <c r="B23" s="479"/>
      <c r="C23" s="479"/>
      <c r="D23" s="479"/>
      <c r="E23" s="479"/>
      <c r="F23" s="479"/>
      <c r="G23" s="479"/>
      <c r="H23" s="479"/>
      <c r="I23" s="479"/>
      <c r="J23" s="480"/>
      <c r="K23" s="344"/>
    </row>
    <row r="24" spans="1:14" s="344" customFormat="1" ht="31.5" customHeight="1" thickBot="1" x14ac:dyDescent="0.25">
      <c r="A24" s="348" t="s">
        <v>37</v>
      </c>
      <c r="B24" s="212"/>
      <c r="C24" s="982" t="s">
        <v>33</v>
      </c>
      <c r="D24" s="983"/>
      <c r="E24" s="1"/>
      <c r="F24" s="984" t="s">
        <v>34</v>
      </c>
      <c r="G24" s="985"/>
      <c r="H24" s="2"/>
      <c r="I24" s="349" t="s">
        <v>35</v>
      </c>
      <c r="J24" s="48"/>
    </row>
    <row r="25" spans="1:14" s="344" customFormat="1" ht="15" customHeight="1" thickBot="1" x14ac:dyDescent="0.25">
      <c r="A25" s="343"/>
      <c r="B25" s="343"/>
      <c r="C25" s="343"/>
      <c r="D25" s="343"/>
      <c r="E25" s="343"/>
      <c r="F25" s="343"/>
      <c r="I25" s="343"/>
    </row>
    <row r="26" spans="1:14" s="344" customFormat="1" ht="29.25" customHeight="1" thickBot="1" x14ac:dyDescent="0.25">
      <c r="A26" s="350" t="s">
        <v>38</v>
      </c>
      <c r="B26" s="351">
        <v>2</v>
      </c>
      <c r="C26" s="910" t="s">
        <v>39</v>
      </c>
      <c r="D26" s="911"/>
      <c r="E26" s="343"/>
      <c r="F26" s="343"/>
      <c r="H26" s="343"/>
      <c r="I26" s="6"/>
    </row>
    <row r="27" spans="1:14" s="344" customFormat="1" ht="31.5" customHeight="1" thickBot="1" x14ac:dyDescent="0.25">
      <c r="A27" s="964" t="s">
        <v>41</v>
      </c>
      <c r="B27" s="965"/>
      <c r="C27" s="352">
        <v>1</v>
      </c>
      <c r="D27" s="352">
        <v>2</v>
      </c>
      <c r="E27" s="343"/>
      <c r="F27" s="343"/>
      <c r="H27" s="986" t="s">
        <v>42</v>
      </c>
      <c r="I27" s="987"/>
    </row>
    <row r="28" spans="1:14" s="344" customFormat="1" ht="31.5" customHeight="1" thickBot="1" x14ac:dyDescent="0.25">
      <c r="A28" s="988" t="s">
        <v>43</v>
      </c>
      <c r="B28" s="354" t="s">
        <v>44</v>
      </c>
      <c r="C28" s="209"/>
      <c r="D28" s="21"/>
      <c r="E28" s="343"/>
      <c r="F28" s="343"/>
      <c r="G28" s="343"/>
      <c r="H28" s="966" t="e">
        <f>VLOOKUP($I$26,'DATOS ¬'!$B$131:$G$135,2,FALSE)</f>
        <v>#N/A</v>
      </c>
      <c r="I28" s="967"/>
    </row>
    <row r="29" spans="1:14" s="344" customFormat="1" ht="31.5" customHeight="1" x14ac:dyDescent="0.2">
      <c r="A29" s="989"/>
      <c r="B29" s="355" t="s">
        <v>45</v>
      </c>
      <c r="C29" s="210"/>
      <c r="D29" s="18"/>
      <c r="E29" s="343"/>
      <c r="F29" s="343"/>
      <c r="G29" s="343"/>
      <c r="H29" s="343"/>
      <c r="I29" s="343"/>
      <c r="J29" s="343"/>
    </row>
    <row r="30" spans="1:14" s="344" customFormat="1" ht="31.5" customHeight="1" x14ac:dyDescent="0.2">
      <c r="A30" s="989"/>
      <c r="B30" s="355" t="s">
        <v>45</v>
      </c>
      <c r="C30" s="210"/>
      <c r="D30" s="18"/>
      <c r="E30" s="343"/>
      <c r="F30" s="343"/>
      <c r="G30" s="343"/>
      <c r="H30" s="343"/>
      <c r="I30" s="343"/>
      <c r="J30" s="343"/>
    </row>
    <row r="31" spans="1:14" s="344" customFormat="1" ht="31.5" customHeight="1" thickBot="1" x14ac:dyDescent="0.25">
      <c r="A31" s="990"/>
      <c r="B31" s="356" t="s">
        <v>44</v>
      </c>
      <c r="C31" s="211"/>
      <c r="D31" s="22"/>
      <c r="E31" s="343"/>
      <c r="F31" s="343"/>
      <c r="G31" s="343"/>
      <c r="H31" s="343"/>
      <c r="I31" s="343"/>
      <c r="J31" s="343"/>
    </row>
    <row r="32" spans="1:14" s="344" customFormat="1" ht="15" customHeight="1" thickBot="1" x14ac:dyDescent="0.25">
      <c r="A32" s="343"/>
      <c r="B32" s="343"/>
      <c r="C32" s="343"/>
      <c r="D32" s="343"/>
      <c r="E32" s="343"/>
      <c r="F32" s="343"/>
      <c r="G32" s="343"/>
      <c r="H32" s="343"/>
      <c r="I32" s="343"/>
      <c r="J32" s="343"/>
    </row>
    <row r="33" spans="1:14" s="344" customFormat="1" ht="31.5" customHeight="1" thickBot="1" x14ac:dyDescent="0.25">
      <c r="A33" s="357" t="s">
        <v>46</v>
      </c>
      <c r="B33" s="212"/>
      <c r="C33" s="982" t="s">
        <v>33</v>
      </c>
      <c r="D33" s="983"/>
      <c r="E33" s="1"/>
      <c r="F33" s="984" t="s">
        <v>34</v>
      </c>
      <c r="G33" s="985"/>
      <c r="H33" s="2"/>
      <c r="I33" s="358" t="s">
        <v>35</v>
      </c>
      <c r="J33" s="3"/>
    </row>
    <row r="34" spans="1:14" s="344" customFormat="1" ht="12" customHeight="1" x14ac:dyDescent="0.2">
      <c r="A34" s="359"/>
      <c r="B34" s="359"/>
      <c r="C34" s="359"/>
      <c r="D34" s="359"/>
      <c r="E34" s="359"/>
      <c r="F34" s="359"/>
      <c r="G34" s="359"/>
      <c r="H34" s="359"/>
      <c r="I34" s="359"/>
      <c r="J34" s="359"/>
    </row>
    <row r="35" spans="1:14" s="344" customFormat="1" ht="15" customHeight="1" thickBot="1" x14ac:dyDescent="0.25">
      <c r="A35" s="481"/>
      <c r="B35" s="481"/>
      <c r="C35" s="481"/>
      <c r="D35" s="481"/>
      <c r="E35" s="481"/>
      <c r="F35" s="481"/>
      <c r="G35" s="481"/>
      <c r="H35" s="481"/>
      <c r="I35" s="481"/>
      <c r="J35" s="481"/>
    </row>
    <row r="36" spans="1:14" s="344" customFormat="1" ht="32.25" customHeight="1" thickBot="1" x14ac:dyDescent="0.25">
      <c r="A36" s="1042" t="s">
        <v>47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</row>
    <row r="37" spans="1:14" s="344" customFormat="1" ht="3.75" customHeight="1" thickBot="1" x14ac:dyDescent="0.25">
      <c r="A37" s="359"/>
      <c r="B37" s="343"/>
      <c r="C37" s="343"/>
      <c r="D37" s="343"/>
      <c r="E37" s="343"/>
      <c r="F37" s="343"/>
      <c r="G37" s="343"/>
      <c r="H37" s="343"/>
      <c r="I37" s="343"/>
      <c r="J37" s="359"/>
    </row>
    <row r="38" spans="1:14" s="344" customFormat="1" ht="31.5" customHeight="1" thickBot="1" x14ac:dyDescent="0.25">
      <c r="A38" s="343"/>
      <c r="B38" s="910" t="s">
        <v>48</v>
      </c>
      <c r="C38" s="912"/>
      <c r="D38" s="911"/>
      <c r="E38" s="343"/>
      <c r="F38" s="343"/>
      <c r="G38" s="343"/>
      <c r="H38" s="1010" t="s">
        <v>49</v>
      </c>
      <c r="I38" s="1011"/>
      <c r="J38" s="1012"/>
    </row>
    <row r="39" spans="1:14" s="344" customFormat="1" ht="31.5" customHeight="1" thickBot="1" x14ac:dyDescent="0.25">
      <c r="A39" s="343"/>
      <c r="B39" s="360" t="s">
        <v>41</v>
      </c>
      <c r="C39" s="361">
        <v>1</v>
      </c>
      <c r="D39" s="362">
        <v>2</v>
      </c>
      <c r="E39" s="343"/>
      <c r="F39" s="343"/>
      <c r="G39" s="343"/>
      <c r="H39" s="1013"/>
      <c r="I39" s="1014"/>
      <c r="J39" s="1015"/>
    </row>
    <row r="40" spans="1:14" s="344" customFormat="1" ht="31.5" customHeight="1" x14ac:dyDescent="0.2">
      <c r="A40" s="363"/>
      <c r="B40" s="364"/>
      <c r="C40" s="365" t="e">
        <f>AVERAGE(C28,C31)</f>
        <v>#DIV/0!</v>
      </c>
      <c r="D40" s="366" t="e">
        <f>AVERAGE(D28,D31)</f>
        <v>#DIV/0!</v>
      </c>
      <c r="E40" s="343"/>
      <c r="F40" s="343"/>
      <c r="G40" s="343"/>
      <c r="H40" s="1016"/>
      <c r="I40" s="1017"/>
      <c r="J40" s="1018"/>
    </row>
    <row r="41" spans="1:14" s="344" customFormat="1" ht="31.5" customHeight="1" x14ac:dyDescent="0.2">
      <c r="A41" s="363"/>
      <c r="B41" s="367"/>
      <c r="C41" s="368" t="e">
        <f>AVERAGE(C29:C30)</f>
        <v>#DIV/0!</v>
      </c>
      <c r="D41" s="370" t="e">
        <f>AVERAGE(D29:D30)</f>
        <v>#DIV/0!</v>
      </c>
      <c r="E41" s="343"/>
      <c r="F41" s="343"/>
      <c r="G41" s="343"/>
      <c r="H41" s="1016"/>
      <c r="I41" s="1017"/>
      <c r="J41" s="1018"/>
    </row>
    <row r="42" spans="1:14" s="344" customFormat="1" ht="31.5" customHeight="1" thickBot="1" x14ac:dyDescent="0.25">
      <c r="A42" s="363"/>
      <c r="B42" s="371"/>
      <c r="C42" s="372" t="e">
        <f>C41-C40</f>
        <v>#DIV/0!</v>
      </c>
      <c r="D42" s="373" t="e">
        <f>D41-D40</f>
        <v>#DIV/0!</v>
      </c>
      <c r="E42" s="343"/>
      <c r="F42" s="343"/>
      <c r="G42" s="343"/>
      <c r="H42" s="1019"/>
      <c r="I42" s="1020"/>
      <c r="J42" s="1021"/>
    </row>
    <row r="43" spans="1:14" s="344" customFormat="1" ht="31.5" customHeight="1" thickBot="1" x14ac:dyDescent="0.25">
      <c r="A43" s="343"/>
      <c r="B43" s="374" t="s">
        <v>50</v>
      </c>
      <c r="C43" s="375" t="e">
        <f>+AVERAGE(C42:D42)</f>
        <v>#DIV/0!</v>
      </c>
      <c r="D43" s="343"/>
      <c r="E43" s="343"/>
      <c r="F43" s="343"/>
      <c r="G43" s="343"/>
      <c r="H43" s="343"/>
      <c r="I43" s="343"/>
      <c r="J43" s="343"/>
    </row>
    <row r="44" spans="1:14" s="344" customFormat="1" ht="31.5" customHeight="1" thickBot="1" x14ac:dyDescent="0.25">
      <c r="A44" s="343"/>
      <c r="B44" s="376" t="s">
        <v>51</v>
      </c>
      <c r="C44" s="465" t="e">
        <f>+STDEV(C42:D42)</f>
        <v>#DIV/0!</v>
      </c>
      <c r="D44" s="343"/>
      <c r="E44" s="343"/>
      <c r="F44" s="343"/>
      <c r="G44" s="343"/>
      <c r="H44" s="343"/>
      <c r="I44" s="343"/>
      <c r="J44" s="343"/>
    </row>
    <row r="45" spans="1:14" s="344" customFormat="1" ht="15" customHeight="1" x14ac:dyDescent="0.2">
      <c r="A45" s="343"/>
      <c r="B45" s="343"/>
      <c r="C45" s="343"/>
      <c r="D45" s="343"/>
      <c r="E45" s="343"/>
      <c r="F45" s="343"/>
      <c r="G45" s="378"/>
      <c r="H45" s="343"/>
      <c r="I45" s="343"/>
      <c r="J45" s="343"/>
    </row>
    <row r="46" spans="1:14" s="344" customFormat="1" ht="31.5" customHeight="1" thickBot="1" x14ac:dyDescent="0.25">
      <c r="A46" s="1042" t="s">
        <v>52</v>
      </c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</row>
    <row r="47" spans="1:14" s="344" customFormat="1" ht="31.5" customHeight="1" thickBot="1" x14ac:dyDescent="0.25">
      <c r="A47" s="1037" t="s">
        <v>53</v>
      </c>
      <c r="B47" s="1038"/>
      <c r="C47" s="1039" t="s">
        <v>54</v>
      </c>
      <c r="D47" s="1040"/>
      <c r="E47" s="1041"/>
      <c r="F47" s="343"/>
      <c r="G47" s="343"/>
      <c r="H47" s="343"/>
      <c r="I47" s="343"/>
      <c r="J47" s="343"/>
    </row>
    <row r="48" spans="1:14" s="344" customFormat="1" ht="36.75" customHeight="1" thickBot="1" x14ac:dyDescent="0.25">
      <c r="A48" s="1024"/>
      <c r="B48" s="1025"/>
      <c r="C48" s="379" t="s">
        <v>33</v>
      </c>
      <c r="D48" s="380" t="s">
        <v>34</v>
      </c>
      <c r="E48" s="381" t="s">
        <v>35</v>
      </c>
      <c r="G48" s="924" t="s">
        <v>55</v>
      </c>
      <c r="H48" s="925"/>
      <c r="I48" s="382" t="e">
        <f>+(0.34848*E50-0.009*D50*EXP(0.061*C50))/(273.15+C50)</f>
        <v>#DIV/0!</v>
      </c>
      <c r="J48" s="383" t="s">
        <v>56</v>
      </c>
    </row>
    <row r="49" spans="1:21" s="344" customFormat="1" ht="33" customHeight="1" thickBot="1" x14ac:dyDescent="0.25">
      <c r="A49" s="937" t="s">
        <v>57</v>
      </c>
      <c r="B49" s="938"/>
      <c r="C49" s="384" t="e">
        <f>+AVERAGE(E33,E24)</f>
        <v>#DIV/0!</v>
      </c>
      <c r="D49" s="385" t="e">
        <f>+AVERAGE(H33,H24)</f>
        <v>#DIV/0!</v>
      </c>
      <c r="E49" s="386" t="e">
        <f>+AVERAGE(J33,J24)</f>
        <v>#DIV/0!</v>
      </c>
      <c r="G49" s="935" t="s">
        <v>58</v>
      </c>
      <c r="H49" s="936"/>
      <c r="I49" s="387" t="e">
        <f>I48*((0.0001)^2+(0.001*I20/2)^2+(-0.0034*D20/2)^2+(-0.01*G20/2)^2)^0.5</f>
        <v>#DIV/0!</v>
      </c>
      <c r="J49" s="388" t="s">
        <v>56</v>
      </c>
    </row>
    <row r="50" spans="1:21" s="344" customFormat="1" ht="36.75" customHeight="1" thickBot="1" x14ac:dyDescent="0.25">
      <c r="A50" s="922" t="s">
        <v>59</v>
      </c>
      <c r="B50" s="923"/>
      <c r="C50" s="390" t="e">
        <f>C49+(VLOOKUP(J19,'DATOS ¬'!I202:V206,9,FALSE))*C49+(VLOOKUP(J19,'DATOS ¬'!I202:V206,10,FALSE))</f>
        <v>#DIV/0!</v>
      </c>
      <c r="D50" s="391" t="e">
        <f>D49+(VLOOKUP(J19,'DATOS ¬'!I202:V206,11,FALSE))*D49+(VLOOKUP(J19,'DATOS ¬'!I202:V206,12,FALSE))</f>
        <v>#DIV/0!</v>
      </c>
      <c r="E50" s="392" t="e">
        <f>E49+(VLOOKUP(J19,'DATOS ¬'!I202:V206,13,FALSE))*E49+(VLOOKUP(J19,'DATOS ¬'!I202:V206,14,FALSE))</f>
        <v>#DIV/0!</v>
      </c>
      <c r="G50" s="924" t="s">
        <v>60</v>
      </c>
      <c r="H50" s="925"/>
      <c r="I50" s="393">
        <v>1.2</v>
      </c>
      <c r="J50" s="388" t="s">
        <v>56</v>
      </c>
    </row>
    <row r="51" spans="1:21" s="344" customFormat="1" ht="15" customHeight="1" x14ac:dyDescent="0.2">
      <c r="A51" s="343"/>
      <c r="B51" s="343"/>
      <c r="C51" s="343"/>
      <c r="D51" s="343"/>
      <c r="E51" s="343"/>
      <c r="F51" s="343"/>
      <c r="G51" s="343"/>
      <c r="H51" s="343"/>
      <c r="I51" s="343"/>
      <c r="J51" s="343"/>
    </row>
    <row r="52" spans="1:21" s="344" customFormat="1" ht="31.5" customHeight="1" x14ac:dyDescent="0.2">
      <c r="A52" s="1042" t="s">
        <v>61</v>
      </c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</row>
    <row r="53" spans="1:21" s="344" customFormat="1" ht="31.5" customHeight="1" x14ac:dyDescent="0.35">
      <c r="A53" s="343"/>
      <c r="B53" s="394" t="s">
        <v>62</v>
      </c>
      <c r="C53" s="395"/>
      <c r="D53" s="926" t="s">
        <v>63</v>
      </c>
      <c r="E53" s="926"/>
      <c r="F53" s="396" t="s">
        <v>64</v>
      </c>
      <c r="G53" s="397" t="s">
        <v>65</v>
      </c>
      <c r="H53" s="927" t="s">
        <v>66</v>
      </c>
      <c r="I53" s="928"/>
      <c r="J53" s="343"/>
    </row>
    <row r="54" spans="1:21" s="344" customFormat="1" ht="31.5" customHeight="1" thickBot="1" x14ac:dyDescent="0.25">
      <c r="A54" s="343"/>
      <c r="B54" s="398" t="e">
        <f>+C43</f>
        <v>#DIV/0!</v>
      </c>
      <c r="C54" s="468" t="s">
        <v>18</v>
      </c>
      <c r="D54" s="469" t="e">
        <f>+C10+C11/1000</f>
        <v>#N/A</v>
      </c>
      <c r="E54" s="468" t="s">
        <v>18</v>
      </c>
      <c r="F54" s="470" t="e">
        <f>+(I48-I50)*(1/H10-1/C13)</f>
        <v>#DIV/0!</v>
      </c>
      <c r="G54" s="402"/>
      <c r="H54" s="471" t="e">
        <f>+(B54+D54*F54)*1000</f>
        <v>#DIV/0!</v>
      </c>
      <c r="I54" s="388" t="s">
        <v>18</v>
      </c>
      <c r="J54" s="343"/>
    </row>
    <row r="55" spans="1:21" s="344" customFormat="1" ht="15" customHeight="1" thickBot="1" x14ac:dyDescent="0.25">
      <c r="A55" s="343"/>
      <c r="B55" s="343"/>
      <c r="C55" s="343"/>
      <c r="D55" s="343"/>
      <c r="E55" s="343"/>
      <c r="F55" s="343"/>
      <c r="G55" s="343"/>
      <c r="H55" s="343"/>
      <c r="I55" s="343"/>
      <c r="J55" s="343"/>
    </row>
    <row r="56" spans="1:21" s="344" customFormat="1" ht="31.5" customHeight="1" thickBot="1" x14ac:dyDescent="0.25">
      <c r="A56" s="932" t="s">
        <v>67</v>
      </c>
      <c r="B56" s="933"/>
      <c r="C56" s="933"/>
      <c r="D56" s="933"/>
      <c r="E56" s="933"/>
      <c r="F56" s="933"/>
      <c r="G56" s="933"/>
      <c r="H56" s="933"/>
      <c r="I56" s="933"/>
      <c r="J56" s="933"/>
      <c r="K56" s="933"/>
      <c r="L56" s="933"/>
      <c r="M56" s="933"/>
      <c r="N56" s="934"/>
    </row>
    <row r="57" spans="1:21" s="344" customFormat="1" ht="15" customHeight="1" thickBot="1" x14ac:dyDescent="0.25">
      <c r="A57" s="343"/>
      <c r="B57" s="343"/>
      <c r="C57" s="343"/>
      <c r="D57" s="343"/>
      <c r="E57" s="343"/>
    </row>
    <row r="58" spans="1:21" s="344" customFormat="1" ht="31.5" customHeight="1" thickBot="1" x14ac:dyDescent="0.25">
      <c r="A58" s="955" t="s">
        <v>54</v>
      </c>
      <c r="B58" s="956"/>
      <c r="C58" s="957" t="s">
        <v>68</v>
      </c>
      <c r="D58" s="958"/>
      <c r="E58" s="959" t="s">
        <v>69</v>
      </c>
      <c r="F58" s="960"/>
      <c r="G58" s="404" t="s">
        <v>70</v>
      </c>
      <c r="J58" s="405"/>
      <c r="Q58" s="343"/>
      <c r="R58" s="343"/>
      <c r="S58" s="343"/>
      <c r="T58" s="343"/>
      <c r="U58" s="343"/>
    </row>
    <row r="59" spans="1:21" s="344" customFormat="1" ht="57.95" customHeight="1" thickBot="1" x14ac:dyDescent="0.25">
      <c r="A59" s="406" t="s">
        <v>71</v>
      </c>
      <c r="B59" s="407"/>
      <c r="C59" s="408" t="e">
        <f>+C44/B26^0.5*1000</f>
        <v>#DIV/0!</v>
      </c>
      <c r="D59" s="352" t="s">
        <v>18</v>
      </c>
      <c r="E59" s="222" t="s">
        <v>72</v>
      </c>
      <c r="F59" s="20">
        <f>$B$26-1</f>
        <v>1</v>
      </c>
      <c r="G59" s="274" t="e">
        <f>IFERROR(C59/$G$70,"--")^2</f>
        <v>#VALUE!</v>
      </c>
      <c r="H59" s="409" t="e">
        <f>IF(C59=MAX($C$59,$C$62,$C$66,$C$67,$C$68),"",C59)</f>
        <v>#DIV/0!</v>
      </c>
      <c r="I59" s="343"/>
      <c r="L59" s="26">
        <v>0.3</v>
      </c>
      <c r="M59" s="27">
        <v>1.65</v>
      </c>
      <c r="N59" s="16"/>
    </row>
    <row r="60" spans="1:21" s="344" customFormat="1" ht="57.95" customHeight="1" thickBot="1" x14ac:dyDescent="0.25">
      <c r="A60" s="411" t="s">
        <v>73</v>
      </c>
      <c r="B60" s="412" t="s">
        <v>74</v>
      </c>
      <c r="C60" s="413" t="e">
        <f>+C12/2</f>
        <v>#N/A</v>
      </c>
      <c r="D60" s="414" t="s">
        <v>18</v>
      </c>
      <c r="E60" s="221" t="s">
        <v>72</v>
      </c>
      <c r="F60" s="548">
        <f>0.5*(5%)^-2</f>
        <v>199.99999999999997</v>
      </c>
      <c r="G60" s="273"/>
      <c r="H60" s="415" t="e">
        <f t="shared" ref="H60:H65" si="0">IFERROR(C60/$G$70,"--")^2</f>
        <v>#VALUE!</v>
      </c>
      <c r="I60" s="1029" t="s">
        <v>77</v>
      </c>
      <c r="J60" s="1030"/>
      <c r="K60" s="1030"/>
      <c r="L60" s="1030"/>
      <c r="M60" s="1030"/>
      <c r="N60" s="1031"/>
    </row>
    <row r="61" spans="1:21" s="344" customFormat="1" ht="57.95" customHeight="1" thickBot="1" x14ac:dyDescent="0.25">
      <c r="A61" s="416" t="s">
        <v>78</v>
      </c>
      <c r="B61" s="417"/>
      <c r="C61" s="527" t="e">
        <f>VLOOKUP($E$6,'DATOS ¬'!N25:AC134,11,FALSE)</f>
        <v>#N/A</v>
      </c>
      <c r="D61" s="419" t="s">
        <v>18</v>
      </c>
      <c r="E61" s="223" t="s">
        <v>75</v>
      </c>
      <c r="F61" s="549">
        <f>0.5*(5%)^-2</f>
        <v>199.99999999999997</v>
      </c>
      <c r="G61" s="273"/>
      <c r="H61" s="415" t="e">
        <f t="shared" si="0"/>
        <v>#VALUE!</v>
      </c>
      <c r="I61" s="19" t="s">
        <v>79</v>
      </c>
      <c r="J61" s="285" t="str">
        <f>IFERROR(SQRT(SUMSQ(H59,H62,H66,H67,H68))/MAX(C59,C62,C66,C67,C68),"--")</f>
        <v>--</v>
      </c>
      <c r="K61" s="472" t="str">
        <f>IF((J61)&lt;=(L59),"1,65","2")</f>
        <v>2</v>
      </c>
      <c r="L61" s="227" t="s">
        <v>80</v>
      </c>
      <c r="M61" s="228" t="s">
        <v>81</v>
      </c>
      <c r="N61" s="231" t="s">
        <v>82</v>
      </c>
    </row>
    <row r="62" spans="1:21" s="344" customFormat="1" ht="57.95" customHeight="1" thickBot="1" x14ac:dyDescent="0.3">
      <c r="A62" s="406" t="s">
        <v>83</v>
      </c>
      <c r="B62" s="421"/>
      <c r="C62" s="422" t="e">
        <f>+SQRT(SUMSQ(C60:C61))</f>
        <v>#N/A</v>
      </c>
      <c r="D62" s="352" t="s">
        <v>18</v>
      </c>
      <c r="E62" s="222" t="s">
        <v>72</v>
      </c>
      <c r="F62" s="20">
        <v>200</v>
      </c>
      <c r="G62" s="274" t="e">
        <f t="shared" ref="G62:G68" si="1">IFERROR(C62/$G$70,"--")^2</f>
        <v>#VALUE!</v>
      </c>
      <c r="H62" s="409" t="e">
        <f>IF(C62=MAX($C$59,$C$62,$C$66,$C$67,$C$68),"",C62)</f>
        <v>#N/A</v>
      </c>
      <c r="I62" s="17"/>
      <c r="J62" s="17"/>
      <c r="K62" s="17"/>
      <c r="L62" s="281" t="s">
        <v>80</v>
      </c>
      <c r="M62" s="282" t="s">
        <v>84</v>
      </c>
      <c r="N62" s="283" t="s">
        <v>85</v>
      </c>
    </row>
    <row r="63" spans="1:21" s="344" customFormat="1" ht="57.95" customHeight="1" thickBot="1" x14ac:dyDescent="0.25">
      <c r="A63" s="411" t="s">
        <v>86</v>
      </c>
      <c r="B63" s="412"/>
      <c r="C63" s="423" t="e">
        <f>+I49</f>
        <v>#DIV/0!</v>
      </c>
      <c r="D63" s="413" t="s">
        <v>56</v>
      </c>
      <c r="E63" s="224" t="s">
        <v>72</v>
      </c>
      <c r="F63" s="548">
        <f>0.5*(5%)^-2</f>
        <v>199.99999999999997</v>
      </c>
      <c r="G63" s="273"/>
      <c r="H63" s="415" t="e">
        <f t="shared" si="0"/>
        <v>#VALUE!</v>
      </c>
    </row>
    <row r="64" spans="1:21" s="344" customFormat="1" ht="57.95" customHeight="1" thickBot="1" x14ac:dyDescent="0.25">
      <c r="A64" s="424" t="s">
        <v>87</v>
      </c>
      <c r="B64" s="425"/>
      <c r="C64" s="426" t="e">
        <f>+H11/2</f>
        <v>#N/A</v>
      </c>
      <c r="D64" s="427" t="s">
        <v>56</v>
      </c>
      <c r="E64" s="81" t="s">
        <v>72</v>
      </c>
      <c r="F64" s="550">
        <f>0.5*(5%)^-2</f>
        <v>199.99999999999997</v>
      </c>
      <c r="G64" s="273"/>
      <c r="H64" s="415" t="e">
        <f t="shared" si="0"/>
        <v>#VALUE!</v>
      </c>
      <c r="Q64" s="343"/>
      <c r="R64" s="343"/>
      <c r="S64" s="343"/>
      <c r="T64" s="343"/>
      <c r="U64" s="343"/>
    </row>
    <row r="65" spans="1:21" s="344" customFormat="1" ht="57.95" customHeight="1" thickBot="1" x14ac:dyDescent="0.25">
      <c r="A65" s="416" t="s">
        <v>88</v>
      </c>
      <c r="B65" s="428"/>
      <c r="C65" s="429" t="e">
        <f>+C14/2</f>
        <v>#N/A</v>
      </c>
      <c r="D65" s="419" t="s">
        <v>56</v>
      </c>
      <c r="E65" s="225" t="s">
        <v>72</v>
      </c>
      <c r="F65" s="549">
        <f>0.5*(5%)^-2</f>
        <v>199.99999999999997</v>
      </c>
      <c r="G65" s="273"/>
      <c r="H65" s="415" t="e">
        <f t="shared" si="0"/>
        <v>#VALUE!</v>
      </c>
    </row>
    <row r="66" spans="1:21" s="344" customFormat="1" ht="57.95" customHeight="1" thickBot="1" x14ac:dyDescent="0.3">
      <c r="A66" s="406" t="s">
        <v>89</v>
      </c>
      <c r="B66" s="421"/>
      <c r="C66" s="422" t="e">
        <f>+SQRT(ABS(((C10/1000+C11/1000000)*(C13-H10)/(C13*H10)*C63)^2+((C10/1000+C11/1000000)*(I48-I50))^2*C64^2/H10^4+(C10/1000+C11/1000000)^2*(I48-I50)*((I48-I50)-2*(C15-I50))*C65^2/C13^4))*1000000</f>
        <v>#N/A</v>
      </c>
      <c r="D66" s="430" t="s">
        <v>18</v>
      </c>
      <c r="E66" s="222" t="s">
        <v>72</v>
      </c>
      <c r="F66" s="20">
        <f>0.5*(5%)^-2</f>
        <v>199.99999999999997</v>
      </c>
      <c r="G66" s="274" t="e">
        <f t="shared" si="1"/>
        <v>#VALUE!</v>
      </c>
      <c r="H66" s="409" t="e">
        <f>IF(C66=MAX($C$59,$C$62,$C$66,$C$67,$C$68),"",C66)</f>
        <v>#N/A</v>
      </c>
      <c r="Q66" s="343"/>
      <c r="R66" s="343"/>
      <c r="S66" s="343"/>
      <c r="T66" s="343"/>
      <c r="U66" s="343"/>
    </row>
    <row r="67" spans="1:21" s="344" customFormat="1" ht="57.95" customHeight="1" thickBot="1" x14ac:dyDescent="0.3">
      <c r="A67" s="431" t="s">
        <v>90</v>
      </c>
      <c r="B67" s="432"/>
      <c r="C67" s="433" t="e">
        <f>+(G15/2/3^0.5)*2^0.5*1000</f>
        <v>#N/A</v>
      </c>
      <c r="D67" s="434" t="s">
        <v>18</v>
      </c>
      <c r="E67" s="226" t="s">
        <v>75</v>
      </c>
      <c r="F67" s="20">
        <f>0.5*(5%)^-2</f>
        <v>199.99999999999997</v>
      </c>
      <c r="G67" s="274" t="e">
        <f t="shared" si="1"/>
        <v>#VALUE!</v>
      </c>
      <c r="H67" s="409" t="e">
        <f>IF(C67=MAX($C$59,$C$62,$C$66,$C$67,$C$68),"",C67)</f>
        <v>#N/A</v>
      </c>
      <c r="J67" s="435" t="s">
        <v>401</v>
      </c>
      <c r="K67" s="288" t="s">
        <v>92</v>
      </c>
      <c r="L67" s="436" t="s">
        <v>93</v>
      </c>
    </row>
    <row r="68" spans="1:21" s="344" customFormat="1" ht="65.25" customHeight="1" thickBot="1" x14ac:dyDescent="0.3">
      <c r="A68" s="437" t="s">
        <v>94</v>
      </c>
      <c r="B68" s="438"/>
      <c r="C68" s="439">
        <f>0.01/SQRT(45)</f>
        <v>1.4907119849998597E-3</v>
      </c>
      <c r="D68" s="434" t="s">
        <v>18</v>
      </c>
      <c r="E68" s="226" t="s">
        <v>72</v>
      </c>
      <c r="F68" s="508">
        <v>50</v>
      </c>
      <c r="G68" s="274" t="e">
        <f t="shared" si="1"/>
        <v>#VALUE!</v>
      </c>
      <c r="H68" s="409" t="e">
        <f>IF(C68=MAX($C$59,$C$62,$C$66,$C$67,$C$68),"",C68)</f>
        <v>#DIV/0!</v>
      </c>
      <c r="J68" s="289" t="e">
        <f>G70^4/((C59^4/F59)+(C62^4/F62)+(C66^4/F66)+(C67^4/F67)+(C68^4/F68))</f>
        <v>#DIV/0!</v>
      </c>
      <c r="K68" s="287" t="e">
        <f>(_xlfn.T.INV.2T(0.05,J68))</f>
        <v>#DIV/0!</v>
      </c>
      <c r="L68" s="280" t="e">
        <f>(1-_xlfn.T.DIST.2T(K68,J68))</f>
        <v>#DIV/0!</v>
      </c>
    </row>
    <row r="69" spans="1:21" s="344" customFormat="1" ht="65.25" customHeight="1" thickBot="1" x14ac:dyDescent="0.25">
      <c r="G69" s="233" t="e">
        <f>SUM(G59,G62,G66,G67,G68)</f>
        <v>#VALUE!</v>
      </c>
    </row>
    <row r="70" spans="1:21" s="12" customFormat="1" ht="51.75" customHeight="1" thickBot="1" x14ac:dyDescent="0.3">
      <c r="D70" s="937" t="s">
        <v>95</v>
      </c>
      <c r="E70" s="938"/>
      <c r="F70" s="441"/>
      <c r="G70" s="442" t="e">
        <f>+SQRT(SUMSQ(C59,C62,C66,C67,C68))</f>
        <v>#DIV/0!</v>
      </c>
      <c r="H70" s="443" t="s">
        <v>18</v>
      </c>
      <c r="K70" s="344"/>
      <c r="L70" s="344"/>
      <c r="M70" s="344"/>
      <c r="S70" s="344"/>
      <c r="T70" s="344"/>
      <c r="U70" s="344"/>
    </row>
    <row r="71" spans="1:21" s="12" customFormat="1" ht="35.1" customHeight="1" thickBot="1" x14ac:dyDescent="0.25">
      <c r="D71" s="937" t="s">
        <v>96</v>
      </c>
      <c r="E71" s="938"/>
      <c r="F71" s="444"/>
      <c r="G71" s="442" t="e">
        <f>+G70*2</f>
        <v>#DIV/0!</v>
      </c>
      <c r="H71" s="445" t="s">
        <v>18</v>
      </c>
      <c r="K71" s="14"/>
      <c r="O71" s="344"/>
      <c r="P71" s="344"/>
      <c r="Q71" s="344"/>
      <c r="R71" s="344"/>
      <c r="S71" s="344"/>
      <c r="T71" s="344"/>
      <c r="U71" s="344"/>
    </row>
    <row r="72" spans="1:21" s="12" customFormat="1" ht="33.75" customHeight="1" thickBot="1" x14ac:dyDescent="4.45">
      <c r="B72" s="929" t="s">
        <v>97</v>
      </c>
      <c r="C72" s="930"/>
      <c r="D72" s="930"/>
      <c r="E72" s="930"/>
      <c r="F72" s="930"/>
      <c r="G72" s="930"/>
      <c r="H72" s="930"/>
      <c r="I72" s="930"/>
      <c r="J72" s="930"/>
      <c r="K72" s="931"/>
      <c r="L72" s="446"/>
      <c r="O72" s="344"/>
      <c r="P72" s="344"/>
      <c r="Q72" s="344"/>
      <c r="R72" s="344"/>
      <c r="S72" s="344"/>
      <c r="T72" s="344"/>
      <c r="U72" s="344"/>
    </row>
    <row r="73" spans="1:21" s="12" customFormat="1" ht="35.1" customHeight="1" thickBot="1" x14ac:dyDescent="0.25">
      <c r="B73" s="939" t="s">
        <v>98</v>
      </c>
      <c r="C73" s="940"/>
      <c r="D73" s="940"/>
      <c r="E73" s="941"/>
      <c r="F73" s="447"/>
      <c r="G73" s="448"/>
      <c r="H73" s="942"/>
      <c r="I73" s="943"/>
      <c r="J73" s="943"/>
      <c r="K73" s="944"/>
      <c r="O73" s="344"/>
      <c r="P73" s="344"/>
      <c r="Q73" s="344"/>
      <c r="R73" s="344"/>
      <c r="S73" s="344"/>
      <c r="T73" s="344"/>
      <c r="U73" s="344"/>
    </row>
    <row r="74" spans="1:21" s="12" customFormat="1" ht="40.5" customHeight="1" x14ac:dyDescent="0.2">
      <c r="B74" s="528"/>
      <c r="C74" s="449" t="s">
        <v>99</v>
      </c>
      <c r="D74" s="450" t="s">
        <v>100</v>
      </c>
      <c r="E74" s="451"/>
      <c r="F74" s="945"/>
      <c r="G74" s="945"/>
      <c r="H74" s="946" t="s">
        <v>101</v>
      </c>
      <c r="I74" s="1032" t="s">
        <v>102</v>
      </c>
      <c r="J74" s="1032"/>
      <c r="K74" s="1033"/>
      <c r="O74" s="344"/>
      <c r="P74" s="344"/>
      <c r="Q74" s="344"/>
      <c r="R74" s="344"/>
      <c r="S74" s="344"/>
      <c r="T74" s="344"/>
      <c r="U74" s="344"/>
    </row>
    <row r="75" spans="1:21" s="12" customFormat="1" ht="35.1" customHeight="1" x14ac:dyDescent="0.2">
      <c r="B75" s="452" t="e">
        <f>C10</f>
        <v>#N/A</v>
      </c>
      <c r="C75" s="453" t="e">
        <f>C11</f>
        <v>#N/A</v>
      </c>
      <c r="D75" s="454" t="e">
        <f>H54</f>
        <v>#DIV/0!</v>
      </c>
      <c r="E75" s="455" t="e">
        <f>B75+(C75/1000)+(D75/1000)</f>
        <v>#N/A</v>
      </c>
      <c r="F75" s="456" t="e">
        <f>E75*1000-B75*1000</f>
        <v>#N/A</v>
      </c>
      <c r="G75" s="369"/>
      <c r="H75" s="947"/>
      <c r="I75" s="457" t="e">
        <f>G71</f>
        <v>#DIV/0!</v>
      </c>
      <c r="J75" s="951"/>
      <c r="K75" s="952"/>
      <c r="O75" s="344"/>
      <c r="P75" s="344"/>
      <c r="Q75" s="344"/>
      <c r="R75" s="344"/>
      <c r="S75" s="344"/>
      <c r="T75" s="344"/>
      <c r="U75" s="344"/>
    </row>
    <row r="76" spans="1:21" s="12" customFormat="1" ht="35.1" customHeight="1" thickBot="1" x14ac:dyDescent="0.25">
      <c r="B76" s="458" t="e">
        <f>B75</f>
        <v>#N/A</v>
      </c>
      <c r="C76" s="459" t="e">
        <f>C75</f>
        <v>#N/A</v>
      </c>
      <c r="D76" s="459" t="e">
        <f>D75</f>
        <v>#DIV/0!</v>
      </c>
      <c r="E76" s="460" t="e">
        <f>B76+(C76/1000)+(D76/1000)</f>
        <v>#N/A</v>
      </c>
      <c r="F76" s="461" t="e">
        <f>F75/1000</f>
        <v>#N/A</v>
      </c>
      <c r="G76" s="462"/>
      <c r="H76" s="948"/>
      <c r="I76" s="461" t="e">
        <f>I75/1000</f>
        <v>#DIV/0!</v>
      </c>
      <c r="J76" s="953"/>
      <c r="K76" s="954"/>
      <c r="O76" s="344"/>
      <c r="P76" s="344"/>
      <c r="Q76" s="344"/>
      <c r="R76" s="344"/>
      <c r="S76" s="344"/>
      <c r="T76" s="344"/>
      <c r="U76" s="344"/>
    </row>
    <row r="77" spans="1:21" s="12" customFormat="1" ht="35.1" customHeight="1" thickBot="1" x14ac:dyDescent="0.25">
      <c r="G77" s="343"/>
      <c r="H77" s="343"/>
      <c r="I77" s="343"/>
      <c r="J77" s="343"/>
      <c r="O77" s="344"/>
      <c r="P77" s="344"/>
      <c r="Q77" s="344"/>
      <c r="R77" s="344"/>
      <c r="S77" s="344"/>
      <c r="T77" s="344"/>
      <c r="U77" s="344"/>
    </row>
    <row r="78" spans="1:21" s="12" customFormat="1" ht="39.950000000000003" customHeight="1" thickBot="1" x14ac:dyDescent="0.25">
      <c r="A78" s="907" t="s">
        <v>412</v>
      </c>
      <c r="B78" s="908"/>
      <c r="C78" s="908"/>
      <c r="D78" s="908"/>
      <c r="E78" s="908"/>
      <c r="F78" s="908"/>
      <c r="G78" s="908"/>
      <c r="H78" s="908"/>
      <c r="I78" s="908"/>
      <c r="J78" s="908"/>
      <c r="K78" s="908"/>
      <c r="L78" s="908"/>
      <c r="M78" s="908"/>
      <c r="N78" s="909"/>
      <c r="O78" s="344"/>
      <c r="P78" s="344"/>
      <c r="Q78" s="344"/>
      <c r="R78" s="344"/>
      <c r="S78" s="344"/>
      <c r="T78" s="344"/>
      <c r="U78" s="344"/>
    </row>
    <row r="79" spans="1:21" s="12" customFormat="1" ht="39.950000000000003" customHeight="1" thickBot="1" x14ac:dyDescent="0.25">
      <c r="A79" s="625"/>
      <c r="B79" s="625"/>
      <c r="C79" s="625"/>
      <c r="D79" s="625"/>
      <c r="E79" s="625"/>
      <c r="F79" s="625"/>
      <c r="G79" s="626"/>
      <c r="H79" s="626"/>
      <c r="I79" s="626"/>
      <c r="J79" s="625"/>
      <c r="K79" s="625"/>
      <c r="L79" s="625"/>
      <c r="M79" s="625"/>
      <c r="N79" s="625"/>
    </row>
    <row r="80" spans="1:21" s="12" customFormat="1" ht="39.950000000000003" customHeight="1" thickBot="1" x14ac:dyDescent="0.25">
      <c r="A80" s="625"/>
      <c r="B80" s="625"/>
      <c r="C80" s="625"/>
      <c r="D80" s="625"/>
      <c r="E80" s="625"/>
      <c r="F80" s="627" t="s">
        <v>413</v>
      </c>
      <c r="G80" s="628" t="s">
        <v>414</v>
      </c>
      <c r="H80" s="629" t="s">
        <v>415</v>
      </c>
      <c r="I80" s="630" t="s">
        <v>416</v>
      </c>
      <c r="J80" s="913" t="s">
        <v>417</v>
      </c>
      <c r="K80" s="914"/>
      <c r="L80" s="914"/>
      <c r="M80" s="914"/>
      <c r="N80" s="915"/>
    </row>
    <row r="81" spans="1:14" s="12" customFormat="1" ht="39.950000000000003" customHeight="1" thickBot="1" x14ac:dyDescent="0.25">
      <c r="A81" s="631"/>
      <c r="B81" s="625"/>
      <c r="C81" s="625"/>
      <c r="D81" s="625"/>
      <c r="E81" s="625"/>
      <c r="F81" s="632" t="e">
        <f>F75</f>
        <v>#N/A</v>
      </c>
      <c r="G81" s="633" t="e">
        <f>I75</f>
        <v>#DIV/0!</v>
      </c>
      <c r="H81" s="634">
        <v>0.04</v>
      </c>
      <c r="I81" s="635">
        <v>-0.04</v>
      </c>
      <c r="J81" s="916"/>
      <c r="K81" s="917"/>
      <c r="L81" s="917"/>
      <c r="M81" s="917"/>
      <c r="N81" s="918"/>
    </row>
    <row r="82" spans="1:14" s="12" customFormat="1" ht="39.950000000000003" customHeight="1" x14ac:dyDescent="0.2">
      <c r="A82" s="625"/>
      <c r="B82" s="625"/>
      <c r="C82" s="625"/>
      <c r="D82" s="625"/>
      <c r="E82" s="625"/>
      <c r="F82" s="636"/>
      <c r="G82" s="636"/>
      <c r="H82" s="634">
        <f>H81</f>
        <v>0.04</v>
      </c>
      <c r="I82" s="635">
        <f>I81</f>
        <v>-0.04</v>
      </c>
      <c r="J82" s="916"/>
      <c r="K82" s="917"/>
      <c r="L82" s="917"/>
      <c r="M82" s="917"/>
      <c r="N82" s="918"/>
    </row>
    <row r="83" spans="1:14" s="12" customFormat="1" ht="39.950000000000003" customHeight="1" thickBot="1" x14ac:dyDescent="0.25">
      <c r="A83" s="625"/>
      <c r="B83" s="625"/>
      <c r="C83" s="625"/>
      <c r="D83" s="625"/>
      <c r="E83" s="625"/>
      <c r="F83" s="636"/>
      <c r="G83" s="636"/>
      <c r="H83" s="637">
        <f>H81</f>
        <v>0.04</v>
      </c>
      <c r="I83" s="638">
        <f>I81</f>
        <v>-0.04</v>
      </c>
      <c r="J83" s="919"/>
      <c r="K83" s="920"/>
      <c r="L83" s="920"/>
      <c r="M83" s="920"/>
      <c r="N83" s="921"/>
    </row>
    <row r="84" spans="1:14" s="12" customFormat="1" ht="39.950000000000003" customHeight="1" x14ac:dyDescent="0.2">
      <c r="A84" s="625"/>
      <c r="B84" s="625"/>
      <c r="C84" s="625"/>
      <c r="D84" s="625"/>
      <c r="E84" s="625"/>
      <c r="F84" s="636"/>
      <c r="G84" s="636"/>
      <c r="H84" s="636"/>
      <c r="I84" s="636"/>
      <c r="J84" s="639"/>
      <c r="K84" s="639"/>
      <c r="L84" s="640"/>
      <c r="M84" s="640"/>
      <c r="N84" s="625"/>
    </row>
    <row r="85" spans="1:14" s="12" customFormat="1" ht="39.950000000000003" customHeight="1" x14ac:dyDescent="0.2">
      <c r="A85" s="625"/>
      <c r="B85" s="625"/>
      <c r="C85" s="625"/>
      <c r="D85" s="625"/>
      <c r="E85" s="625"/>
      <c r="F85" s="636"/>
      <c r="G85" s="636"/>
      <c r="H85" s="636"/>
      <c r="I85" s="636"/>
      <c r="J85" s="640"/>
      <c r="K85" s="640"/>
      <c r="L85" s="640"/>
      <c r="M85" s="640"/>
      <c r="N85" s="625"/>
    </row>
    <row r="86" spans="1:14" s="12" customFormat="1" ht="50.1" customHeight="1" x14ac:dyDescent="0.2"/>
    <row r="87" spans="1:14" s="12" customFormat="1" ht="57.75" customHeight="1" x14ac:dyDescent="0.2">
      <c r="C87" s="15"/>
      <c r="D87" s="15"/>
      <c r="E87" s="15"/>
    </row>
    <row r="88" spans="1:14" s="12" customFormat="1" ht="35.1" customHeight="1" x14ac:dyDescent="0.2"/>
    <row r="89" spans="1:14" s="12" customFormat="1" ht="35.1" customHeight="1" x14ac:dyDescent="0.2">
      <c r="F89" s="13"/>
      <c r="G89" s="13"/>
      <c r="H89" s="13"/>
      <c r="I89" s="13"/>
      <c r="J89" s="13"/>
    </row>
    <row r="90" spans="1:14" s="12" customFormat="1" ht="35.1" customHeight="1" x14ac:dyDescent="0.2"/>
    <row r="91" spans="1:14" s="12" customFormat="1" ht="50.1" customHeight="1" x14ac:dyDescent="0.2">
      <c r="J91" s="343"/>
    </row>
    <row r="92" spans="1:14" s="12" customFormat="1" ht="55.5" customHeight="1" x14ac:dyDescent="0.2"/>
    <row r="93" spans="1:14" s="12" customFormat="1" ht="50.1" customHeight="1" x14ac:dyDescent="0.2"/>
    <row r="94" spans="1:14" s="12" customFormat="1" ht="31.5" customHeight="1" x14ac:dyDescent="0.2"/>
    <row r="95" spans="1:14" s="12" customFormat="1" ht="35.1" customHeight="1" x14ac:dyDescent="0.2"/>
    <row r="96" spans="1:14" s="12" customFormat="1" ht="35.1" customHeight="1" x14ac:dyDescent="0.2"/>
    <row r="97" spans="1:12" s="12" customFormat="1" ht="9.9499999999999993" customHeight="1" x14ac:dyDescent="0.2">
      <c r="G97" s="13"/>
      <c r="H97" s="13"/>
      <c r="I97" s="13"/>
      <c r="J97" s="13"/>
    </row>
    <row r="98" spans="1:12" s="12" customFormat="1" ht="35.1" customHeight="1" x14ac:dyDescent="0.2">
      <c r="J98" s="13"/>
      <c r="K98" s="13"/>
      <c r="L98" s="13"/>
    </row>
    <row r="99" spans="1:12" s="344" customFormat="1" ht="15" customHeight="1" x14ac:dyDescent="0.2">
      <c r="A99" s="343"/>
      <c r="G99" s="343"/>
      <c r="H99" s="343"/>
      <c r="I99" s="343"/>
      <c r="J99" s="343"/>
    </row>
    <row r="100" spans="1:12" s="344" customFormat="1" ht="31.5" customHeight="1" x14ac:dyDescent="0.2">
      <c r="A100" s="343"/>
      <c r="B100" s="343"/>
      <c r="C100" s="343"/>
      <c r="D100" s="343"/>
      <c r="E100" s="343"/>
      <c r="F100" s="343"/>
      <c r="G100" s="343"/>
      <c r="H100" s="343"/>
      <c r="I100" s="343"/>
      <c r="J100" s="343"/>
    </row>
    <row r="101" spans="1:12" s="344" customFormat="1" ht="31.5" customHeight="1" x14ac:dyDescent="0.2"/>
    <row r="102" spans="1:12" s="344" customFormat="1" ht="31.5" customHeight="1" x14ac:dyDescent="0.2"/>
    <row r="103" spans="1:12" s="344" customFormat="1" ht="52.5" customHeight="1" x14ac:dyDescent="0.2"/>
    <row r="104" spans="1:12" s="344" customFormat="1" ht="31.5" customHeight="1" x14ac:dyDescent="0.2">
      <c r="K104" s="299"/>
    </row>
    <row r="105" spans="1:12" s="344" customFormat="1" ht="31.5" customHeight="1" x14ac:dyDescent="0.2">
      <c r="K105" s="299"/>
    </row>
    <row r="106" spans="1:12" ht="31.5" customHeight="1" x14ac:dyDescent="0.2">
      <c r="G106" s="463"/>
    </row>
    <row r="107" spans="1:12" ht="51" customHeight="1" x14ac:dyDescent="0.2"/>
  </sheetData>
  <sheetProtection password="CF5C" sheet="1" objects="1" scenarios="1"/>
  <mergeCells count="64">
    <mergeCell ref="A13:B13"/>
    <mergeCell ref="F13:I13"/>
    <mergeCell ref="A1:B1"/>
    <mergeCell ref="C1:M1"/>
    <mergeCell ref="G3:H4"/>
    <mergeCell ref="A6:D6"/>
    <mergeCell ref="F6:I6"/>
    <mergeCell ref="F9:G9"/>
    <mergeCell ref="A10:B10"/>
    <mergeCell ref="F10:G10"/>
    <mergeCell ref="A11:B11"/>
    <mergeCell ref="F11:G11"/>
    <mergeCell ref="A12:B12"/>
    <mergeCell ref="A27:B27"/>
    <mergeCell ref="H28:I28"/>
    <mergeCell ref="A14:B14"/>
    <mergeCell ref="A15:B15"/>
    <mergeCell ref="A16:B16"/>
    <mergeCell ref="C16:D16"/>
    <mergeCell ref="F19:G19"/>
    <mergeCell ref="H27:I27"/>
    <mergeCell ref="A22:N22"/>
    <mergeCell ref="A18:N18"/>
    <mergeCell ref="J19:J20"/>
    <mergeCell ref="A20:B20"/>
    <mergeCell ref="E20:F20"/>
    <mergeCell ref="C24:D24"/>
    <mergeCell ref="F24:G24"/>
    <mergeCell ref="C26:D26"/>
    <mergeCell ref="A46:N46"/>
    <mergeCell ref="D70:E70"/>
    <mergeCell ref="D71:E71"/>
    <mergeCell ref="B72:K72"/>
    <mergeCell ref="B73:E73"/>
    <mergeCell ref="H73:K73"/>
    <mergeCell ref="A58:B58"/>
    <mergeCell ref="C58:D58"/>
    <mergeCell ref="E58:F58"/>
    <mergeCell ref="I60:N60"/>
    <mergeCell ref="A50:B50"/>
    <mergeCell ref="G50:H50"/>
    <mergeCell ref="D53:E53"/>
    <mergeCell ref="H53:I53"/>
    <mergeCell ref="A56:N56"/>
    <mergeCell ref="A52:N52"/>
    <mergeCell ref="A78:N78"/>
    <mergeCell ref="J80:N83"/>
    <mergeCell ref="A49:B49"/>
    <mergeCell ref="G49:H49"/>
    <mergeCell ref="A47:B48"/>
    <mergeCell ref="C47:E47"/>
    <mergeCell ref="G48:H48"/>
    <mergeCell ref="F74:G74"/>
    <mergeCell ref="H74:H76"/>
    <mergeCell ref="I74:K74"/>
    <mergeCell ref="J75:K75"/>
    <mergeCell ref="J76:K76"/>
    <mergeCell ref="A28:A31"/>
    <mergeCell ref="C33:D33"/>
    <mergeCell ref="F33:G33"/>
    <mergeCell ref="H38:J38"/>
    <mergeCell ref="H39:J42"/>
    <mergeCell ref="A36:N36"/>
    <mergeCell ref="B38:D38"/>
  </mergeCells>
  <conditionalFormatting sqref="G59 G62 G66:G68">
    <cfRule type="cellIs" dxfId="23" priority="1" operator="equal">
      <formula>MAX($G$59,$G$62,$G$66,$G$67,$G$68)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3" orientation="portrait" r:id="rId1"/>
  <headerFooter>
    <oddHeader xml:space="preserve">&amp;C
&amp;16   
</oddHeader>
    <oddFooter xml:space="preserve">&amp;RRT03-F23 Vr.13 (2023-05-23)
</oddFooter>
  </headerFooter>
  <rowBreaks count="1" manualBreakCount="1">
    <brk id="34" max="1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'DATOS ¬'!$B$7:$B$19</xm:f>
          </x14:formula1>
          <xm:sqref>G3:H4</xm:sqref>
        </x14:dataValidation>
        <x14:dataValidation type="list" allowBlank="1" showInputMessage="1" showErrorMessage="1">
          <x14:formula1>
            <xm:f>'DATOS ¬'!$B$118:$B$124</xm:f>
          </x14:formula1>
          <xm:sqref>J13</xm:sqref>
        </x14:dataValidation>
        <x14:dataValidation type="list" allowBlank="1" showInputMessage="1" showErrorMessage="1">
          <x14:formula1>
            <xm:f>'DATOS ¬'!$B$131:$B$135</xm:f>
          </x14:formula1>
          <xm:sqref>I26</xm:sqref>
        </x14:dataValidation>
        <x14:dataValidation type="list" allowBlank="1" showInputMessage="1" showErrorMessage="1">
          <x14:formula1>
            <xm:f>'DATOS ¬'!$N$82:$N$134</xm:f>
          </x14:formula1>
          <xm:sqref>E6</xm:sqref>
        </x14:dataValidation>
        <x14:dataValidation type="list" allowBlank="1" showInputMessage="1" showErrorMessage="1">
          <x14:formula1>
            <xm:f>'DATOS ¬'!$I$202:$I$205</xm:f>
          </x14:formula1>
          <xm:sqref>J19:J20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1C81F78A526C244A20286E28DE88E1E" ma:contentTypeVersion="16" ma:contentTypeDescription="Crear nuevo documento." ma:contentTypeScope="" ma:versionID="d713bc3fed25671c6e33f379168f2f9c">
  <xsd:schema xmlns:xsd="http://www.w3.org/2001/XMLSchema" xmlns:xs="http://www.w3.org/2001/XMLSchema" xmlns:p="http://schemas.microsoft.com/office/2006/metadata/properties" xmlns:ns2="28630930-25e8-416c-ab3b-3d3f0eb88142" xmlns:ns3="41a0376a-4913-43ea-bca5-b9259b3c65a0" targetNamespace="http://schemas.microsoft.com/office/2006/metadata/properties" ma:root="true" ma:fieldsID="dc3d2e819729881705429c641e717553" ns2:_="" ns3:_="">
    <xsd:import namespace="28630930-25e8-416c-ab3b-3d3f0eb88142"/>
    <xsd:import namespace="41a0376a-4913-43ea-bca5-b9259b3c65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30930-25e8-416c-ab3b-3d3f0eb881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33d804f7-ca46-4700-9da3-18b907134a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0376a-4913-43ea-bca5-b9259b3c65a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976e945-0c06-40c7-9ba4-a80e2af427e4}" ma:internalName="TaxCatchAll" ma:showField="CatchAllData" ma:web="41a0376a-4913-43ea-bca5-b9259b3c65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8630930-25e8-416c-ab3b-3d3f0eb88142">
      <Terms xmlns="http://schemas.microsoft.com/office/infopath/2007/PartnerControls"/>
    </lcf76f155ced4ddcb4097134ff3c332f>
    <TaxCatchAll xmlns="41a0376a-4913-43ea-bca5-b9259b3c65a0" xsi:nil="true"/>
  </documentManagement>
</p:properties>
</file>

<file path=customXml/itemProps1.xml><?xml version="1.0" encoding="utf-8"?>
<ds:datastoreItem xmlns:ds="http://schemas.openxmlformats.org/officeDocument/2006/customXml" ds:itemID="{5D8B3883-4E0B-49E4-A73F-B51F5EC5DD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7CFDF5-127D-4B0A-9EA6-E1D68B2568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630930-25e8-416c-ab3b-3d3f0eb88142"/>
    <ds:schemaRef ds:uri="41a0376a-4913-43ea-bca5-b9259b3c65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A9A6EA-4277-4939-A9A5-D0A14A5A9503}">
  <ds:schemaRefs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41a0376a-4913-43ea-bca5-b9259b3c65a0"/>
    <ds:schemaRef ds:uri="28630930-25e8-416c-ab3b-3d3f0eb8814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128</vt:i4>
      </vt:variant>
    </vt:vector>
  </HeadingPairs>
  <TitlesOfParts>
    <vt:vector size="160" baseType="lpstr">
      <vt:lpstr>DATOS ¬</vt:lpstr>
      <vt:lpstr>1 mg ¬ </vt:lpstr>
      <vt:lpstr>2 mg ¬</vt:lpstr>
      <vt:lpstr>2 mg + ¬ </vt:lpstr>
      <vt:lpstr>5 mg ¬ </vt:lpstr>
      <vt:lpstr>10 mg ¬ </vt:lpstr>
      <vt:lpstr>20 mg ¬ </vt:lpstr>
      <vt:lpstr>20 mg + ¬ </vt:lpstr>
      <vt:lpstr>50 mg ¬ </vt:lpstr>
      <vt:lpstr>100 mg ¬ </vt:lpstr>
      <vt:lpstr>200 mg ¬ </vt:lpstr>
      <vt:lpstr>200 mg + ¬</vt:lpstr>
      <vt:lpstr>500 mg ¬ </vt:lpstr>
      <vt:lpstr>1 g ¬</vt:lpstr>
      <vt:lpstr>2 g ¬</vt:lpstr>
      <vt:lpstr>2 g + ¬</vt:lpstr>
      <vt:lpstr>5 g ¬</vt:lpstr>
      <vt:lpstr>10 g ¬</vt:lpstr>
      <vt:lpstr>20 g ¬</vt:lpstr>
      <vt:lpstr>20 g + ¬</vt:lpstr>
      <vt:lpstr>50 g ¬</vt:lpstr>
      <vt:lpstr>100 g ¬</vt:lpstr>
      <vt:lpstr>200 g ¬</vt:lpstr>
      <vt:lpstr>200 g + ¬</vt:lpstr>
      <vt:lpstr>500 g ¬</vt:lpstr>
      <vt:lpstr>1 kg ¬</vt:lpstr>
      <vt:lpstr>2 kg ¬</vt:lpstr>
      <vt:lpstr>2 kg + ¬</vt:lpstr>
      <vt:lpstr>5 kg ¬</vt:lpstr>
      <vt:lpstr>10 kg ¬</vt:lpstr>
      <vt:lpstr>20 kg ¬ </vt:lpstr>
      <vt:lpstr>RT03-F 23  ¬</vt:lpstr>
      <vt:lpstr>'1 g ¬'!Área_de_impresión</vt:lpstr>
      <vt:lpstr>'1 kg ¬'!Área_de_impresión</vt:lpstr>
      <vt:lpstr>'1 mg ¬ '!Área_de_impresión</vt:lpstr>
      <vt:lpstr>'10 g ¬'!Área_de_impresión</vt:lpstr>
      <vt:lpstr>'10 kg ¬'!Área_de_impresión</vt:lpstr>
      <vt:lpstr>'10 mg ¬ '!Área_de_impresión</vt:lpstr>
      <vt:lpstr>'100 g ¬'!Área_de_impresión</vt:lpstr>
      <vt:lpstr>'100 mg ¬ '!Área_de_impresión</vt:lpstr>
      <vt:lpstr>'2 g + ¬'!Área_de_impresión</vt:lpstr>
      <vt:lpstr>'2 g ¬'!Área_de_impresión</vt:lpstr>
      <vt:lpstr>'2 kg + ¬'!Área_de_impresión</vt:lpstr>
      <vt:lpstr>'2 kg ¬'!Área_de_impresión</vt:lpstr>
      <vt:lpstr>'2 mg + ¬ '!Área_de_impresión</vt:lpstr>
      <vt:lpstr>'2 mg ¬'!Área_de_impresión</vt:lpstr>
      <vt:lpstr>'20 g + ¬'!Área_de_impresión</vt:lpstr>
      <vt:lpstr>'20 g ¬'!Área_de_impresión</vt:lpstr>
      <vt:lpstr>'20 kg ¬ '!Área_de_impresión</vt:lpstr>
      <vt:lpstr>'20 mg + ¬ '!Área_de_impresión</vt:lpstr>
      <vt:lpstr>'20 mg ¬ '!Área_de_impresión</vt:lpstr>
      <vt:lpstr>'200 g + ¬'!Área_de_impresión</vt:lpstr>
      <vt:lpstr>'200 g ¬'!Área_de_impresión</vt:lpstr>
      <vt:lpstr>'200 mg + ¬'!Área_de_impresión</vt:lpstr>
      <vt:lpstr>'200 mg ¬ '!Área_de_impresión</vt:lpstr>
      <vt:lpstr>'5 g ¬'!Área_de_impresión</vt:lpstr>
      <vt:lpstr>'5 kg ¬'!Área_de_impresión</vt:lpstr>
      <vt:lpstr>'5 mg ¬ '!Área_de_impresión</vt:lpstr>
      <vt:lpstr>'50 g ¬'!Área_de_impresión</vt:lpstr>
      <vt:lpstr>'50 mg ¬ '!Área_de_impresión</vt:lpstr>
      <vt:lpstr>'500 g ¬'!Área_de_impresión</vt:lpstr>
      <vt:lpstr>'500 mg ¬ '!Área_de_impresión</vt:lpstr>
      <vt:lpstr>'DATOS ¬'!Área_de_impresión</vt:lpstr>
      <vt:lpstr>'RT03-F 23  ¬'!Área_de_impresión</vt:lpstr>
      <vt:lpstr>Datos_de_las_Pesas_Patrón</vt:lpstr>
      <vt:lpstr>Patrones_Termohigrometros</vt:lpstr>
      <vt:lpstr>'1 g ¬'!Print_Area</vt:lpstr>
      <vt:lpstr>'1 kg ¬'!Print_Area</vt:lpstr>
      <vt:lpstr>'1 mg ¬ '!Print_Area</vt:lpstr>
      <vt:lpstr>'10 g ¬'!Print_Area</vt:lpstr>
      <vt:lpstr>'10 kg ¬'!Print_Area</vt:lpstr>
      <vt:lpstr>'10 mg ¬ '!Print_Area</vt:lpstr>
      <vt:lpstr>'100 g ¬'!Print_Area</vt:lpstr>
      <vt:lpstr>'100 mg ¬ '!Print_Area</vt:lpstr>
      <vt:lpstr>'2 g + ¬'!Print_Area</vt:lpstr>
      <vt:lpstr>'2 g ¬'!Print_Area</vt:lpstr>
      <vt:lpstr>'2 kg + ¬'!Print_Area</vt:lpstr>
      <vt:lpstr>'2 kg ¬'!Print_Area</vt:lpstr>
      <vt:lpstr>'2 mg + ¬ '!Print_Area</vt:lpstr>
      <vt:lpstr>'2 mg ¬'!Print_Area</vt:lpstr>
      <vt:lpstr>'20 g + ¬'!Print_Area</vt:lpstr>
      <vt:lpstr>'20 g ¬'!Print_Area</vt:lpstr>
      <vt:lpstr>'20 kg ¬ '!Print_Area</vt:lpstr>
      <vt:lpstr>'20 mg + ¬ '!Print_Area</vt:lpstr>
      <vt:lpstr>'20 mg ¬ '!Print_Area</vt:lpstr>
      <vt:lpstr>'200 g + ¬'!Print_Area</vt:lpstr>
      <vt:lpstr>'200 g ¬'!Print_Area</vt:lpstr>
      <vt:lpstr>'200 mg + ¬'!Print_Area</vt:lpstr>
      <vt:lpstr>'200 mg ¬ '!Print_Area</vt:lpstr>
      <vt:lpstr>'5 g ¬'!Print_Area</vt:lpstr>
      <vt:lpstr>'5 kg ¬'!Print_Area</vt:lpstr>
      <vt:lpstr>'5 mg ¬ '!Print_Area</vt:lpstr>
      <vt:lpstr>'50 g ¬'!Print_Area</vt:lpstr>
      <vt:lpstr>'50 mg ¬ '!Print_Area</vt:lpstr>
      <vt:lpstr>'500 g ¬'!Print_Area</vt:lpstr>
      <vt:lpstr>'500 mg ¬ '!Print_Area</vt:lpstr>
      <vt:lpstr>'DATOS ¬'!Print_Area</vt:lpstr>
      <vt:lpstr>'RT03-F 23  ¬'!Print_Area</vt:lpstr>
      <vt:lpstr>'1 g ¬'!Print_Titles</vt:lpstr>
      <vt:lpstr>'1 kg ¬'!Print_Titles</vt:lpstr>
      <vt:lpstr>'1 mg ¬ '!Print_Titles</vt:lpstr>
      <vt:lpstr>'10 g ¬'!Print_Titles</vt:lpstr>
      <vt:lpstr>'10 kg ¬'!Print_Titles</vt:lpstr>
      <vt:lpstr>'10 mg ¬ '!Print_Titles</vt:lpstr>
      <vt:lpstr>'100 g ¬'!Print_Titles</vt:lpstr>
      <vt:lpstr>'100 mg ¬ '!Print_Titles</vt:lpstr>
      <vt:lpstr>'2 g + ¬'!Print_Titles</vt:lpstr>
      <vt:lpstr>'2 g ¬'!Print_Titles</vt:lpstr>
      <vt:lpstr>'2 kg + ¬'!Print_Titles</vt:lpstr>
      <vt:lpstr>'2 kg ¬'!Print_Titles</vt:lpstr>
      <vt:lpstr>'2 mg + ¬ '!Print_Titles</vt:lpstr>
      <vt:lpstr>'2 mg ¬'!Print_Titles</vt:lpstr>
      <vt:lpstr>'20 g + ¬'!Print_Titles</vt:lpstr>
      <vt:lpstr>'20 g ¬'!Print_Titles</vt:lpstr>
      <vt:lpstr>'20 kg ¬ '!Print_Titles</vt:lpstr>
      <vt:lpstr>'20 mg + ¬ '!Print_Titles</vt:lpstr>
      <vt:lpstr>'20 mg ¬ '!Print_Titles</vt:lpstr>
      <vt:lpstr>'200 g + ¬'!Print_Titles</vt:lpstr>
      <vt:lpstr>'200 g ¬'!Print_Titles</vt:lpstr>
      <vt:lpstr>'200 mg + ¬'!Print_Titles</vt:lpstr>
      <vt:lpstr>'200 mg ¬ '!Print_Titles</vt:lpstr>
      <vt:lpstr>'5 g ¬'!Print_Titles</vt:lpstr>
      <vt:lpstr>'5 kg ¬'!Print_Titles</vt:lpstr>
      <vt:lpstr>'5 mg ¬ '!Print_Titles</vt:lpstr>
      <vt:lpstr>'50 g ¬'!Print_Titles</vt:lpstr>
      <vt:lpstr>'50 mg ¬ '!Print_Titles</vt:lpstr>
      <vt:lpstr>'500 g ¬'!Print_Titles</vt:lpstr>
      <vt:lpstr>'500 mg ¬ '!Print_Titles</vt:lpstr>
      <vt:lpstr>'RT03-F 23  ¬'!Print_Titles</vt:lpstr>
      <vt:lpstr>'1 g ¬'!Títulos_a_imprimir</vt:lpstr>
      <vt:lpstr>'1 kg ¬'!Títulos_a_imprimir</vt:lpstr>
      <vt:lpstr>'1 mg ¬ '!Títulos_a_imprimir</vt:lpstr>
      <vt:lpstr>'10 g ¬'!Títulos_a_imprimir</vt:lpstr>
      <vt:lpstr>'10 kg ¬'!Títulos_a_imprimir</vt:lpstr>
      <vt:lpstr>'10 mg ¬ '!Títulos_a_imprimir</vt:lpstr>
      <vt:lpstr>'100 g ¬'!Títulos_a_imprimir</vt:lpstr>
      <vt:lpstr>'100 mg ¬ '!Títulos_a_imprimir</vt:lpstr>
      <vt:lpstr>'2 g + ¬'!Títulos_a_imprimir</vt:lpstr>
      <vt:lpstr>'2 g ¬'!Títulos_a_imprimir</vt:lpstr>
      <vt:lpstr>'2 kg + ¬'!Títulos_a_imprimir</vt:lpstr>
      <vt:lpstr>'2 kg ¬'!Títulos_a_imprimir</vt:lpstr>
      <vt:lpstr>'2 mg + ¬ '!Títulos_a_imprimir</vt:lpstr>
      <vt:lpstr>'2 mg ¬'!Títulos_a_imprimir</vt:lpstr>
      <vt:lpstr>'20 g + ¬'!Títulos_a_imprimir</vt:lpstr>
      <vt:lpstr>'20 g ¬'!Títulos_a_imprimir</vt:lpstr>
      <vt:lpstr>'20 kg ¬ '!Títulos_a_imprimir</vt:lpstr>
      <vt:lpstr>'20 mg + ¬ '!Títulos_a_imprimir</vt:lpstr>
      <vt:lpstr>'20 mg ¬ '!Títulos_a_imprimir</vt:lpstr>
      <vt:lpstr>'200 g + ¬'!Títulos_a_imprimir</vt:lpstr>
      <vt:lpstr>'200 g ¬'!Títulos_a_imprimir</vt:lpstr>
      <vt:lpstr>'200 mg + ¬'!Títulos_a_imprimir</vt:lpstr>
      <vt:lpstr>'200 mg ¬ '!Títulos_a_imprimir</vt:lpstr>
      <vt:lpstr>'5 g ¬'!Títulos_a_imprimir</vt:lpstr>
      <vt:lpstr>'5 kg ¬'!Títulos_a_imprimir</vt:lpstr>
      <vt:lpstr>'5 mg ¬ '!Títulos_a_imprimir</vt:lpstr>
      <vt:lpstr>'50 g ¬'!Títulos_a_imprimir</vt:lpstr>
      <vt:lpstr>'50 mg ¬ '!Títulos_a_imprimir</vt:lpstr>
      <vt:lpstr>'500 g ¬'!Títulos_a_imprimir</vt:lpstr>
      <vt:lpstr>'500 mg ¬ '!Títulos_a_imprimir</vt:lpstr>
      <vt:lpstr>'RT03-F 23  ¬'!Títulos_a_imprimir</vt:lpstr>
    </vt:vector>
  </TitlesOfParts>
  <Company>Toshiba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SIC;Laboratorio de Masa</dc:creator>
  <cp:keywords>HC Comprobaciones</cp:keywords>
  <cp:lastModifiedBy>LAURA JOHANNA FORERO TORRES</cp:lastModifiedBy>
  <cp:revision/>
  <cp:lastPrinted>2022-02-24T19:30:15Z</cp:lastPrinted>
  <dcterms:created xsi:type="dcterms:W3CDTF">2016-03-15T18:31:08Z</dcterms:created>
  <dcterms:modified xsi:type="dcterms:W3CDTF">2023-06-06T19:32:33Z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3606252</vt:i4>
  </property>
  <property fmtid="{D5CDD505-2E9C-101B-9397-08002B2CF9AE}" pid="3" name="ContentTypeId">
    <vt:lpwstr>0x010100B1C81F78A526C244A20286E28DE88E1E</vt:lpwstr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TemplateUrl">
    <vt:lpwstr/>
  </property>
  <property fmtid="{D5CDD505-2E9C-101B-9397-08002B2CF9AE}" pid="7" name="ComplianceAsset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