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zambrano\Documents\00 SISTEMA INTEGRAL DE GESTION\INFORMES\2017\Reglamentos Tecnicos\"/>
    </mc:Choice>
  </mc:AlternateContent>
  <bookViews>
    <workbookView xWindow="0" yWindow="0" windowWidth="28800" windowHeight="10515"/>
  </bookViews>
  <sheets>
    <sheet name="VERIFICACION INTERMEDIAS VOLUME" sheetId="12" r:id="rId1"/>
    <sheet name="INFORME VOLUMEN" sheetId="13" state="hidden" r:id="rId2"/>
    <sheet name="CARTA DE CONTROL" sheetId="24" state="hidden" r:id="rId3"/>
  </sheets>
  <externalReferences>
    <externalReference r:id="rId4"/>
  </externalReferences>
  <definedNames>
    <definedName name="_xlnm.Print_Area" localSheetId="2">'CARTA DE CONTROL'!$A$1:$M$31</definedName>
    <definedName name="_xlnm.Print_Area" localSheetId="0">'VERIFICACION INTERMEDIAS VOLUME'!$A$1:$R$21</definedName>
    <definedName name="AV">#REF!</definedName>
    <definedName name="Beta">#REF!</definedName>
    <definedName name="CoefictérmicaRVC" localSheetId="1">#REF!</definedName>
    <definedName name="CoefictérmicaRVC">#REF!</definedName>
    <definedName name="coefipatron" localSheetId="1">#REF!</definedName>
    <definedName name="coefipatron">#REF!</definedName>
    <definedName name="CONSECUTIVO" localSheetId="1">#REF!</definedName>
    <definedName name="CONSECUTIVO">#REF!</definedName>
    <definedName name="EA">#REF!</definedName>
    <definedName name="EAR">#REF!</definedName>
    <definedName name="fabricante" localSheetId="1">#REF!</definedName>
    <definedName name="fabricante">#REF!</definedName>
    <definedName name="FECHACALIBRACION" localSheetId="1">#REF!</definedName>
    <definedName name="FECHACALIBRACION">#REF!</definedName>
    <definedName name="GammaRS">#REF!</definedName>
    <definedName name="GammaSCM">#REF!</definedName>
    <definedName name="IDENTIFICACION" localSheetId="1">#REF!</definedName>
    <definedName name="IDENTIFICACION">#REF!</definedName>
    <definedName name="INFORME">#REF!</definedName>
    <definedName name="LH">#REF!</definedName>
    <definedName name="LUI">#REF!</definedName>
    <definedName name="LUIS">#REF!</definedName>
    <definedName name="METROLOGO" localSheetId="1">#REF!</definedName>
    <definedName name="METROLOGO">#REF!</definedName>
    <definedName name="mL_a_gal">#REF!</definedName>
    <definedName name="mL_a_in3">#REF!</definedName>
    <definedName name="Modelo" localSheetId="1">#REF!</definedName>
    <definedName name="Modelo">#REF!</definedName>
    <definedName name="serie" localSheetId="1">#REF!</definedName>
    <definedName name="serie">#REF!</definedName>
    <definedName name="t0RS">#REF!</definedName>
    <definedName name="_xlnm.Print_Titles" localSheetId="0">'VERIFICACION INTERMEDIAS VOLUME'!$1:$1</definedName>
    <definedName name="tRS">#REF!</definedName>
    <definedName name="tSCM">#REF!</definedName>
    <definedName name="Urvc">#REF!</definedName>
    <definedName name="Vo">#REF!</definedName>
    <definedName name="Vrvc">#REF!</definedName>
  </definedNames>
  <calcPr calcId="152511"/>
</workbook>
</file>

<file path=xl/calcChain.xml><?xml version="1.0" encoding="utf-8"?>
<calcChain xmlns="http://schemas.openxmlformats.org/spreadsheetml/2006/main">
  <c r="N52" i="12" l="1"/>
  <c r="K21" i="12"/>
  <c r="M21" i="12" s="1"/>
  <c r="K16" i="12"/>
  <c r="M16" i="12" s="1"/>
  <c r="K15" i="12"/>
  <c r="M15" i="12" s="1"/>
  <c r="K14" i="12"/>
  <c r="M14" i="12" s="1"/>
  <c r="D135" i="13" l="1"/>
  <c r="E137" i="13" s="1"/>
  <c r="H6" i="24" l="1"/>
  <c r="I9" i="24" s="1"/>
  <c r="K4" i="24"/>
  <c r="L4" i="24" s="1"/>
  <c r="M4" i="24" s="1"/>
  <c r="I11" i="24" l="1"/>
  <c r="I10" i="24"/>
  <c r="K5" i="24"/>
  <c r="K6" i="24"/>
  <c r="G3" i="24" l="1"/>
  <c r="F5" i="24"/>
  <c r="G4" i="24"/>
  <c r="F4" i="24"/>
  <c r="G5" i="24"/>
  <c r="F3" i="24"/>
  <c r="E43" i="13" l="1"/>
  <c r="F179" i="13" l="1"/>
  <c r="J155" i="13"/>
  <c r="G129" i="13"/>
  <c r="G128" i="13"/>
  <c r="G127" i="13"/>
  <c r="I126" i="13"/>
  <c r="D126" i="13"/>
  <c r="E41" i="13"/>
  <c r="E38" i="13"/>
  <c r="E37" i="13"/>
  <c r="D17" i="13"/>
  <c r="H12" i="13"/>
  <c r="D12" i="13"/>
  <c r="D10" i="13"/>
  <c r="D8" i="13"/>
  <c r="E117" i="12"/>
  <c r="H117" i="12" s="1"/>
  <c r="L117" i="12" s="1"/>
  <c r="N117" i="12" s="1"/>
  <c r="Q116" i="12"/>
  <c r="G116" i="12"/>
  <c r="G115" i="12"/>
  <c r="G114" i="12"/>
  <c r="E114" i="12"/>
  <c r="J110" i="12"/>
  <c r="G110" i="12"/>
  <c r="E110" i="12"/>
  <c r="H110" i="12" s="1"/>
  <c r="L110" i="12" s="1"/>
  <c r="N110" i="12" s="1"/>
  <c r="G109" i="12"/>
  <c r="E109" i="12"/>
  <c r="H109" i="12" s="1"/>
  <c r="G108" i="12"/>
  <c r="E108" i="12"/>
  <c r="H108" i="12" s="1"/>
  <c r="G107" i="12"/>
  <c r="G105" i="12"/>
  <c r="F105" i="12"/>
  <c r="E105" i="12"/>
  <c r="H105" i="12" s="1"/>
  <c r="G104" i="12"/>
  <c r="F104" i="12"/>
  <c r="G103" i="12"/>
  <c r="F103" i="12"/>
  <c r="E103" i="12"/>
  <c r="G102" i="12"/>
  <c r="F102" i="12"/>
  <c r="E102" i="12"/>
  <c r="H102" i="12" s="1"/>
  <c r="D102" i="12"/>
  <c r="F101" i="12"/>
  <c r="G100" i="12"/>
  <c r="F100" i="12"/>
  <c r="E100" i="12"/>
  <c r="H100" i="12" s="1"/>
  <c r="G99" i="12"/>
  <c r="F99" i="12"/>
  <c r="G98" i="12"/>
  <c r="F98" i="12"/>
  <c r="E98" i="12"/>
  <c r="G97" i="12"/>
  <c r="E97" i="12"/>
  <c r="K95" i="12"/>
  <c r="G95" i="12"/>
  <c r="F95" i="12"/>
  <c r="I95" i="12" s="1"/>
  <c r="E95" i="12"/>
  <c r="H95" i="12" s="1"/>
  <c r="K93" i="12"/>
  <c r="I93" i="12"/>
  <c r="G93" i="12"/>
  <c r="K92" i="12"/>
  <c r="G92" i="12"/>
  <c r="E92" i="12"/>
  <c r="H92" i="12" s="1"/>
  <c r="P84" i="12"/>
  <c r="O84" i="12"/>
  <c r="P80" i="12"/>
  <c r="O78" i="12"/>
  <c r="P76" i="12"/>
  <c r="O76" i="12"/>
  <c r="O70" i="12"/>
  <c r="H61" i="12"/>
  <c r="H60" i="12"/>
  <c r="H59" i="12"/>
  <c r="H58" i="12"/>
  <c r="H57" i="12"/>
  <c r="J52" i="12"/>
  <c r="D52" i="12"/>
  <c r="M51" i="12"/>
  <c r="G51" i="12"/>
  <c r="M50" i="12"/>
  <c r="G50" i="12"/>
  <c r="M49" i="12"/>
  <c r="G49" i="12"/>
  <c r="M48" i="12"/>
  <c r="G48" i="12"/>
  <c r="M47" i="12"/>
  <c r="G47" i="12"/>
  <c r="Q38" i="12"/>
  <c r="R38" i="12" s="1"/>
  <c r="Q37" i="12"/>
  <c r="R37" i="12" s="1"/>
  <c r="Q36" i="12"/>
  <c r="R36" i="12" s="1"/>
  <c r="E115" i="12"/>
  <c r="H115" i="12" s="1"/>
  <c r="L115" i="12" s="1"/>
  <c r="N115" i="12" s="1"/>
  <c r="K30" i="12"/>
  <c r="L30" i="12" s="1"/>
  <c r="K29" i="12"/>
  <c r="M28" i="12"/>
  <c r="L28" i="12"/>
  <c r="K28" i="12"/>
  <c r="O29" i="12" s="1"/>
  <c r="O30" i="12" s="1"/>
  <c r="K27" i="12"/>
  <c r="L29" i="12" s="1"/>
  <c r="K26" i="12"/>
  <c r="M30" i="12" s="1"/>
  <c r="K17" i="12"/>
  <c r="M17" i="12" s="1"/>
  <c r="K13" i="12"/>
  <c r="M13" i="12" s="1"/>
  <c r="K12" i="12"/>
  <c r="E104" i="12" s="1"/>
  <c r="H104" i="12" s="1"/>
  <c r="K11" i="12"/>
  <c r="M11" i="12" s="1"/>
  <c r="K10" i="12"/>
  <c r="M10" i="12" s="1"/>
  <c r="K9" i="12"/>
  <c r="E99" i="12" s="1"/>
  <c r="H99" i="12" s="1"/>
  <c r="K8" i="12"/>
  <c r="M8" i="12" s="1"/>
  <c r="K7" i="12"/>
  <c r="E93" i="12" s="1"/>
  <c r="D91" i="12"/>
  <c r="L26" i="12" l="1"/>
  <c r="M27" i="12" s="1"/>
  <c r="H114" i="12"/>
  <c r="L114" i="12" s="1"/>
  <c r="N114" i="12" s="1"/>
  <c r="M52" i="12"/>
  <c r="E101" i="12" s="1"/>
  <c r="G52" i="12"/>
  <c r="D96" i="12" s="1"/>
  <c r="H103" i="12"/>
  <c r="H98" i="12"/>
  <c r="G126" i="13"/>
  <c r="D18" i="13"/>
  <c r="M7" i="12"/>
  <c r="M12" i="12"/>
  <c r="M9" i="12"/>
  <c r="H62" i="12"/>
  <c r="E96" i="12"/>
  <c r="H93" i="12"/>
  <c r="H97" i="12"/>
  <c r="O72" i="12" l="1"/>
  <c r="P74" i="12"/>
  <c r="K78" i="12" s="1"/>
  <c r="J107" i="12" s="1"/>
  <c r="D101" i="12"/>
  <c r="D61" i="12"/>
  <c r="E61" i="12" s="1"/>
  <c r="D57" i="12"/>
  <c r="E57" i="12" s="1"/>
  <c r="D60" i="12"/>
  <c r="E60" i="12" s="1"/>
  <c r="D59" i="12"/>
  <c r="E59" i="12" s="1"/>
  <c r="D58" i="12"/>
  <c r="E58" i="12" s="1"/>
  <c r="P82" i="12"/>
  <c r="K76" i="12"/>
  <c r="J109" i="12" s="1"/>
  <c r="L109" i="12" s="1"/>
  <c r="N109" i="12" s="1"/>
  <c r="K74" i="12"/>
  <c r="J108" i="12" s="1"/>
  <c r="L108" i="12" s="1"/>
  <c r="N108" i="12" s="1"/>
  <c r="E63" i="12" l="1"/>
  <c r="E64" i="12" s="1"/>
  <c r="E62" i="12"/>
  <c r="C122" i="12" s="1"/>
  <c r="C135" i="13" s="1"/>
  <c r="H135" i="13" s="1"/>
  <c r="E106" i="12"/>
  <c r="O82" i="12"/>
  <c r="E107" i="12"/>
  <c r="H107" i="12" s="1"/>
  <c r="L107" i="12" s="1"/>
  <c r="N107" i="12" s="1"/>
  <c r="D106" i="12"/>
  <c r="P29" i="12" l="1"/>
  <c r="P30" i="12" s="1"/>
  <c r="Q30" i="12" s="1"/>
  <c r="E116" i="12"/>
  <c r="H116" i="12" s="1"/>
  <c r="L116" i="12" s="1"/>
  <c r="N116" i="12" s="1"/>
  <c r="K72" i="12"/>
  <c r="K70" i="12"/>
  <c r="K68" i="12"/>
  <c r="C123" i="12"/>
  <c r="H122" i="12"/>
  <c r="Q29" i="12" l="1"/>
  <c r="O58" i="12" s="1"/>
  <c r="D95" i="12" s="1"/>
  <c r="P26" i="12"/>
  <c r="Q26" i="12" s="1"/>
  <c r="P27" i="12"/>
  <c r="Q27" i="12" s="1"/>
  <c r="O61" i="12" s="1"/>
  <c r="P28" i="12"/>
  <c r="Q28" i="12" s="1"/>
  <c r="J99" i="12"/>
  <c r="L99" i="12" s="1"/>
  <c r="N99" i="12" s="1"/>
  <c r="J100" i="12"/>
  <c r="L100" i="12" s="1"/>
  <c r="N100" i="12" s="1"/>
  <c r="J98" i="12"/>
  <c r="L98" i="12" s="1"/>
  <c r="N98" i="12" s="1"/>
  <c r="J97" i="12"/>
  <c r="L97" i="12" s="1"/>
  <c r="N97" i="12" s="1"/>
  <c r="J95" i="12"/>
  <c r="L95" i="12" s="1"/>
  <c r="N95" i="12" s="1"/>
  <c r="J93" i="12"/>
  <c r="L93" i="12" s="1"/>
  <c r="N93" i="12" s="1"/>
  <c r="J92" i="12"/>
  <c r="L92" i="12" s="1"/>
  <c r="N92" i="12" s="1"/>
  <c r="J103" i="12"/>
  <c r="L103" i="12" s="1"/>
  <c r="N103" i="12" s="1"/>
  <c r="J102" i="12"/>
  <c r="L102" i="12" s="1"/>
  <c r="N102" i="12" s="1"/>
  <c r="J104" i="12"/>
  <c r="L104" i="12" s="1"/>
  <c r="N104" i="12" s="1"/>
  <c r="J105" i="12"/>
  <c r="L105" i="12" s="1"/>
  <c r="N105" i="12" s="1"/>
  <c r="H123" i="12"/>
  <c r="I122" i="12"/>
  <c r="C124" i="12"/>
  <c r="N118" i="12" l="1"/>
  <c r="D122" i="12" s="1"/>
  <c r="D123" i="12" s="1"/>
  <c r="D124" i="12" s="1"/>
  <c r="H124" i="12"/>
  <c r="I124" i="12" s="1"/>
  <c r="I123" i="12"/>
  <c r="N120" i="12" l="1"/>
  <c r="N123" i="12" s="1"/>
  <c r="M123" i="12" l="1"/>
  <c r="E123" i="12" s="1"/>
  <c r="F124" i="12" s="1"/>
  <c r="F123" i="12" l="1"/>
  <c r="J123" i="12" s="1"/>
  <c r="F122" i="12"/>
  <c r="N119" i="12"/>
  <c r="J124" i="12"/>
  <c r="J122" i="12" l="1"/>
</calcChain>
</file>

<file path=xl/sharedStrings.xml><?xml version="1.0" encoding="utf-8"?>
<sst xmlns="http://schemas.openxmlformats.org/spreadsheetml/2006/main" count="456" uniqueCount="280">
  <si>
    <t>RVC</t>
  </si>
  <si>
    <t>RVP</t>
  </si>
  <si>
    <t>Promedio</t>
  </si>
  <si>
    <t>°C</t>
  </si>
  <si>
    <t>mL</t>
  </si>
  <si>
    <t>Rectangular</t>
  </si>
  <si>
    <t>Euramet 21</t>
  </si>
  <si>
    <t>U</t>
  </si>
  <si>
    <t>N.C</t>
  </si>
  <si>
    <t>E</t>
  </si>
  <si>
    <t>gal</t>
  </si>
  <si>
    <t>1/°C</t>
  </si>
  <si>
    <t>∞</t>
  </si>
  <si>
    <t xml:space="preserve"> </t>
  </si>
  <si>
    <t>NOMBRE</t>
  </si>
  <si>
    <t>CORRECCIÓN</t>
  </si>
  <si>
    <t>hPa</t>
  </si>
  <si>
    <t>Como g ej &gt; 50  =&gt;para 95%</t>
  </si>
  <si>
    <t>Euramet 19</t>
  </si>
  <si>
    <t>Certificado de calibración</t>
  </si>
  <si>
    <t>Estimación</t>
  </si>
  <si>
    <t>mL°C-1</t>
  </si>
  <si>
    <t>FINAL</t>
  </si>
  <si>
    <t>PROMEDIO</t>
  </si>
  <si>
    <t>SI</t>
  </si>
  <si>
    <t>1 litro</t>
  </si>
  <si>
    <t>1 mililitro</t>
  </si>
  <si>
    <t>Objeto:</t>
  </si>
  <si>
    <t>Fabricante.</t>
  </si>
  <si>
    <t>Número de Serie</t>
  </si>
  <si>
    <t>Fecha de recepción</t>
  </si>
  <si>
    <t>Fecha de calibración</t>
  </si>
  <si>
    <t>Las unidades de medida están con forme al Sistema Internacional de Unidades (SI).</t>
  </si>
  <si>
    <t>Temperatura</t>
  </si>
  <si>
    <t xml:space="preserve">20  ºC  ±  2  ºC       </t>
  </si>
  <si>
    <t xml:space="preserve">50  % Hr   ± 10   % Hr   </t>
  </si>
  <si>
    <t>La incertidumbre expandida con que se determinaron los errores, fueron estimadas con un nivel de confianza de 95 % aproximadamente y esta fue multiplicada por el factor de cubrimiento k=2,0.</t>
  </si>
  <si>
    <t>Pipeta</t>
  </si>
  <si>
    <t>FIRMAS AUTORIZADAS:</t>
  </si>
  <si>
    <t>____________________________________</t>
  </si>
  <si>
    <t>Firma Autorizada</t>
  </si>
  <si>
    <t>Dirección</t>
  </si>
  <si>
    <t>Recipiente volumétrico metálico identificado así:</t>
  </si>
  <si>
    <t>Las condiciones ambientales promedio en el laboratorio durante la calibración fueron las siguientes:</t>
  </si>
  <si>
    <t>Humedad Relativa</t>
  </si>
  <si>
    <t>Presión atmosférica</t>
  </si>
  <si>
    <t>Recipiente Volumétrico</t>
  </si>
  <si>
    <t>El pre-mojado al momento de usarlo se realiza llenándolo hasta el trazo que indica su capacidad nominal y drenándolo en un tiempo mínimo total de 60 s ±10 s, incluyendo 30 segundos de escurrido, después de haber cesado el flujo principal.</t>
  </si>
  <si>
    <t>Material de construcción:</t>
  </si>
  <si>
    <t>Estado de la Superficie interna:</t>
  </si>
  <si>
    <t>Estado de la Superficie externa:</t>
  </si>
  <si>
    <t>Resolución:</t>
  </si>
  <si>
    <t>Tipo de visor</t>
  </si>
  <si>
    <t>Tipo de nivelación</t>
  </si>
  <si>
    <t>Fabricante</t>
  </si>
  <si>
    <t>Modelo</t>
  </si>
  <si>
    <t xml:space="preserve">Donde: </t>
  </si>
  <si>
    <t>Los anteriores valores son válidos únicamente para el estado del recipiente  en el momento de la prueba (recipiente correctamente nivelado y humedecido previamente)</t>
  </si>
  <si>
    <t>El recipiente no presenta daños superficiales.</t>
  </si>
  <si>
    <t>Capacidad Nominal en galones</t>
  </si>
  <si>
    <t>Etiqueta de Calibración</t>
  </si>
  <si>
    <t>Sistema de ajuste</t>
  </si>
  <si>
    <t>Litros</t>
  </si>
  <si>
    <t>Mililitros</t>
  </si>
  <si>
    <t xml:space="preserve"> in3   ±</t>
  </si>
  <si>
    <t>Información del Cliente</t>
  </si>
  <si>
    <t>Solicitante</t>
  </si>
  <si>
    <t>Ciudad</t>
  </si>
  <si>
    <t>3.   CONSECUTIVO INTERNO</t>
  </si>
  <si>
    <t>Capacidad Nominal:</t>
  </si>
  <si>
    <r>
      <t>División de escala nominal</t>
    </r>
    <r>
      <rPr>
        <sz val="12"/>
        <color theme="1"/>
        <rFont val="Arial Narrow"/>
        <family val="2"/>
      </rPr>
      <t>:</t>
    </r>
  </si>
  <si>
    <t xml:space="preserve">Es el coeficiente de expansión térmica del material del RVP. </t>
  </si>
  <si>
    <t>Es la temperatura de referencia en el RVP, según certificado                                (generalmente    20°C).</t>
  </si>
  <si>
    <t>Es la temperatura del líquido medida dentro del  RVP.</t>
  </si>
  <si>
    <t>Es el coeficiente de expansión térmica del agua.</t>
  </si>
  <si>
    <t>Temperatura de referencia en el RVC (generalmente 20°C).</t>
  </si>
  <si>
    <t xml:space="preserve">Delta respecto a la lectura del menisco </t>
  </si>
  <si>
    <t>Delta respecto a la repetibilidad de las mediciones</t>
  </si>
  <si>
    <t>Delta respecto a factores adicionales</t>
  </si>
  <si>
    <t>6.  CONDICIONES AMBIENTALES</t>
  </si>
  <si>
    <t>7.   INCERTIDUMBRE DE MEDICIÓN</t>
  </si>
  <si>
    <t>8.   TRAZABILIDAD DE LA MEDICIÓN</t>
  </si>
  <si>
    <t>Instrumento</t>
  </si>
  <si>
    <t>Tipo</t>
  </si>
  <si>
    <t>No. de Serie</t>
  </si>
  <si>
    <t>Trazabilidad</t>
  </si>
  <si>
    <t>Agua Potable</t>
  </si>
  <si>
    <t>EAAB</t>
  </si>
  <si>
    <t>X</t>
  </si>
  <si>
    <t>NO</t>
  </si>
  <si>
    <t>La escala fue verificada sin hacer ajuste</t>
  </si>
  <si>
    <r>
      <t>División mínima promedio de escala en pulgadas (in</t>
    </r>
    <r>
      <rPr>
        <vertAlign val="superscript"/>
        <sz val="12"/>
        <color theme="1"/>
        <rFont val="Arial Narrow"/>
        <family val="2"/>
      </rPr>
      <t>3</t>
    </r>
    <r>
      <rPr>
        <sz val="12"/>
        <color theme="1"/>
        <rFont val="Arial Narrow"/>
        <family val="2"/>
      </rPr>
      <t xml:space="preserve">): </t>
    </r>
    <r>
      <rPr>
        <b/>
        <sz val="12"/>
        <color theme="1"/>
        <rFont val="Arial Narrow"/>
        <family val="2"/>
      </rPr>
      <t xml:space="preserve"> </t>
    </r>
  </si>
  <si>
    <t>Se efectuaron 5 ciclos de vaciado y llenado para determinar la capacidad del recipiente</t>
  </si>
  <si>
    <t>……………………………………..Fin de este documento……………………………………..</t>
  </si>
  <si>
    <t>750  Pha  ±  50  Pha</t>
  </si>
  <si>
    <t xml:space="preserve">solicitante </t>
  </si>
  <si>
    <t>fecha de recepción</t>
  </si>
  <si>
    <t>No. Radicación</t>
  </si>
  <si>
    <t>DATOS DE LOS PATRONES</t>
  </si>
  <si>
    <t>Identificación             /  serie</t>
  </si>
  <si>
    <t>Valor Nominal de la Magnitud</t>
  </si>
  <si>
    <t>Unidad</t>
  </si>
  <si>
    <t>División de escala / Resolución</t>
  </si>
  <si>
    <t>Corrección</t>
  </si>
  <si>
    <t>Incertidumbre del certificado</t>
  </si>
  <si>
    <t xml:space="preserve">Incertidumbre por Deriva </t>
  </si>
  <si>
    <t>Incertidumbre estandar Global</t>
  </si>
  <si>
    <t>Factor de cobertura</t>
  </si>
  <si>
    <t>Puntos para interpolar según capacidad certificado probeta (mL)</t>
  </si>
  <si>
    <t>Termómetro (RVP)</t>
  </si>
  <si>
    <t>Termómetro (RVC)</t>
  </si>
  <si>
    <t>Pipeta/probeta</t>
  </si>
  <si>
    <t>Probeta para calibración</t>
  </si>
  <si>
    <t>Cronometro</t>
  </si>
  <si>
    <t>Pie de Rey</t>
  </si>
  <si>
    <t>DATOS DE LOS RECIPIENTES</t>
  </si>
  <si>
    <t>TABLA DE CONVERSIÓN</t>
  </si>
  <si>
    <t>Nombre</t>
  </si>
  <si>
    <t>Valor nominal</t>
  </si>
  <si>
    <t>Capacidad del RVP según certificado</t>
  </si>
  <si>
    <t>Volumen calculado en el RVC</t>
  </si>
  <si>
    <t>Diferencia respecto al patrón</t>
  </si>
  <si>
    <t>1 galón</t>
  </si>
  <si>
    <t>Hora de Inicio</t>
  </si>
  <si>
    <t>Hora final</t>
  </si>
  <si>
    <t>Temperatura de referencia</t>
  </si>
  <si>
    <t>DATOS DE CONDICIONES AMBIENTALES</t>
  </si>
  <si>
    <t>INICIO</t>
  </si>
  <si>
    <t xml:space="preserve">División de escala  </t>
  </si>
  <si>
    <t>%rH</t>
  </si>
  <si>
    <t xml:space="preserve">Coeficiente cubico de expansión térmico del agua </t>
  </si>
  <si>
    <t>Presión Atmosférica</t>
  </si>
  <si>
    <t>Coeficiente cubico de expansión térmico del material</t>
  </si>
  <si>
    <t>Coeficiente cubico de expansión térmico del material (pipetaAux)</t>
  </si>
  <si>
    <t>Diámetro interno del cuello</t>
  </si>
  <si>
    <t>Ancho de los trazos de la escala</t>
  </si>
  <si>
    <t xml:space="preserve">TOMA DE DATOS DEL RVP </t>
  </si>
  <si>
    <t>Ítem</t>
  </si>
  <si>
    <t>Temperatura liquido °C</t>
  </si>
  <si>
    <t>Vertido (s)</t>
  </si>
  <si>
    <t>Escurrido (s)</t>
  </si>
  <si>
    <t>Total de (V+E) (s)</t>
  </si>
  <si>
    <t>Delta del volumen</t>
  </si>
  <si>
    <t xml:space="preserve">n =                     </t>
  </si>
  <si>
    <t>Corrección por temperatura en el liquído</t>
  </si>
  <si>
    <t>Adicionar / Sustraer  (mL)</t>
  </si>
  <si>
    <t xml:space="preserve">                             ( mL)    </t>
  </si>
  <si>
    <t>COEFICIENTE DE SENSIBILIDAD CON RESPECTO AL VOLUMEN DE REFERENCIA (RVP)</t>
  </si>
  <si>
    <t>Derivadas Parciales</t>
  </si>
  <si>
    <t>Respecto al volumen de referencia del (RVP)</t>
  </si>
  <si>
    <t>Respecto ala temperatura del liquido en el (RVP)</t>
  </si>
  <si>
    <t>Respecto ala temperatura del liquido en el (RVC)</t>
  </si>
  <si>
    <t>Respecto al Coeficiente cubico de expansión térmico del material del (RVP)</t>
  </si>
  <si>
    <t>Respecto al Coeficiente cubico de expansión térmico del material del (RVC)</t>
  </si>
  <si>
    <t xml:space="preserve">Respecto al Coeficiente cubico de expansión térmico del agua </t>
  </si>
  <si>
    <t>Respecto a la lectura del menisco</t>
  </si>
  <si>
    <t>Respecto a la repetibilidad de las mediciones</t>
  </si>
  <si>
    <t>Respecto a la resolución de las mediciones</t>
  </si>
  <si>
    <t>Respecto a los factores adicionales</t>
  </si>
  <si>
    <t>PRESPUESTO DE INCERTIDUMBRE</t>
  </si>
  <si>
    <t>Magnitud</t>
  </si>
  <si>
    <t>Incertidumbre Original</t>
  </si>
  <si>
    <t>k</t>
  </si>
  <si>
    <t>Incertidumbre Estándar</t>
  </si>
  <si>
    <t>Coeficientes de Sensibilidad</t>
  </si>
  <si>
    <t>Contribución</t>
  </si>
  <si>
    <t>Fuente Información</t>
  </si>
  <si>
    <t>Tipo de distribución</t>
  </si>
  <si>
    <t>Grados Efectivos de Libertad</t>
  </si>
  <si>
    <t>Volumen Recipiente de Referencia</t>
  </si>
  <si>
    <t xml:space="preserve">Calibración </t>
  </si>
  <si>
    <t>Normal</t>
  </si>
  <si>
    <t>Deriva</t>
  </si>
  <si>
    <t>Corrección delta Pipeta/Probeta</t>
  </si>
  <si>
    <t>Temperatura del agua en el RVP</t>
  </si>
  <si>
    <t>Resolución termómetro</t>
  </si>
  <si>
    <t>Calibración</t>
  </si>
  <si>
    <t>Inhomogenidad</t>
  </si>
  <si>
    <t>Temperatura del agua en el RVC</t>
  </si>
  <si>
    <t xml:space="preserve">Coeficiente de expansión térmica del agua             ß </t>
  </si>
  <si>
    <t>Coeficiente cubico de expansión                           térmico del Agua</t>
  </si>
  <si>
    <t>Calculada</t>
  </si>
  <si>
    <t>Coeficiente cubico de                                                  expansión térmico del material</t>
  </si>
  <si>
    <t>Referencia placa</t>
  </si>
  <si>
    <t>Coeficiente cubico de                                          expansión térmico del material</t>
  </si>
  <si>
    <t>Referencia tabla 1</t>
  </si>
  <si>
    <t>mL°C-2</t>
  </si>
  <si>
    <t>Incertidumbres Adicionales</t>
  </si>
  <si>
    <t xml:space="preserve">Lectura del menisco RVP  </t>
  </si>
  <si>
    <t xml:space="preserve">Lectura del menisco RVC  </t>
  </si>
  <si>
    <t>Delta por repetibilidad</t>
  </si>
  <si>
    <t>tabla 2</t>
  </si>
  <si>
    <t>Delta de adicionales</t>
  </si>
  <si>
    <t>Euramet 21 Tabla 2</t>
  </si>
  <si>
    <t>U expandida</t>
  </si>
  <si>
    <t>Resultados Finales</t>
  </si>
  <si>
    <t>│E│</t>
  </si>
  <si>
    <t>U corregida</t>
  </si>
  <si>
    <t>LUFFT</t>
  </si>
  <si>
    <t>CAT-147 -16</t>
  </si>
  <si>
    <t>Termómetro RVP</t>
  </si>
  <si>
    <t>Digital</t>
  </si>
  <si>
    <t>Metalico</t>
  </si>
  <si>
    <t>CAT-148 -16</t>
  </si>
  <si>
    <t>BRAND</t>
  </si>
  <si>
    <t>Vidrio</t>
  </si>
  <si>
    <t>11.   OBSERVACIONES</t>
  </si>
  <si>
    <t>LUIS HENRRY BARRETO ROJAS</t>
  </si>
  <si>
    <t xml:space="preserve">          Responsable del Sistema de Gestión</t>
  </si>
  <si>
    <t>10.   LA ESCALA FUE AJUSTADA</t>
  </si>
  <si>
    <t xml:space="preserve">   Responsable de la Calibración</t>
  </si>
  <si>
    <t>RT-03-F11 Vr.0(2016-09-21)</t>
  </si>
  <si>
    <t>CICLOS DE VERIFICACIÓN</t>
  </si>
  <si>
    <t>ANÁLISIS DE CAPACIDAD DE VOLUMEN  ml</t>
  </si>
  <si>
    <t>Fecha de Verificaciones</t>
  </si>
  <si>
    <t>RVC (O.R)</t>
  </si>
  <si>
    <t>2.   LUGAR Y DIRECCIÓN DE LA VERIFICACIÓN</t>
  </si>
  <si>
    <t>1.   INFORMACIÓN DEL EQUIPO SOMETIDO A  VERIFICACIÓN</t>
  </si>
  <si>
    <t>4.    DESCRIPCIÓN DEL EQUIPO VERIFICADO</t>
  </si>
  <si>
    <t xml:space="preserve">5.   MÉTODO DE VERIFICACIÓN UTILIZADO </t>
  </si>
  <si>
    <t>Este informe de verificación documenta la trazabilidad de los patrones empleados para esta verificación con los patrones nacionales del Instituto Nacional de Metrología (INM).</t>
  </si>
  <si>
    <t>Este informe de verificación no puede ser reproducido parcial ni totalmente, excepto con autorización  del laboratorio de la SIC. Los informes de verificación sin firmas y sello no son válidos.</t>
  </si>
  <si>
    <t xml:space="preserve">Los patrones utilizados en la verificación de este instrumento están trazados al sistema internacional de unidades, a través de patrones nacionales de la magnitud volumen.
</t>
  </si>
  <si>
    <t>9.   RESULTADOS DE LA VERIFICACIÓN</t>
  </si>
  <si>
    <t>En el presente informe se usa la coma “,” como separador decimal.</t>
  </si>
  <si>
    <t>Verificado Por:</t>
  </si>
  <si>
    <t>Fecha de elaboración del Informe:</t>
  </si>
  <si>
    <t>METODO</t>
  </si>
  <si>
    <t>INCERTIDUMBRE k=2 mL</t>
  </si>
  <si>
    <t>VOLUMEN NOMINAL mL</t>
  </si>
  <si>
    <t>LSC</t>
  </si>
  <si>
    <t>LIC</t>
  </si>
  <si>
    <t xml:space="preserve">CONVERSIÓN PARA EL EMP </t>
  </si>
  <si>
    <t>OIML R 120</t>
  </si>
  <si>
    <t>Edition 2010 E</t>
  </si>
  <si>
    <t>TRANSFERENCIA</t>
  </si>
  <si>
    <t>Niveles incrustados</t>
  </si>
  <si>
    <t>volumen total mL</t>
  </si>
  <si>
    <t xml:space="preserve">Capacidad del RVP, a la temperatura de referencia  20°C, hasta el trazo que indica su capacidad nominal 18927,06 mL ( 5 galones).  </t>
  </si>
  <si>
    <t>Volumen total certificado RVP mL</t>
  </si>
  <si>
    <t>E.M.P mL</t>
  </si>
  <si>
    <t>ver</t>
  </si>
  <si>
    <t>Diferncia de Volumen</t>
  </si>
  <si>
    <t>Volumen Total mL</t>
  </si>
  <si>
    <t>Volumen Total Certificado (RVP) mL</t>
  </si>
  <si>
    <t xml:space="preserve">Volumen Nominal mL </t>
  </si>
  <si>
    <t>Diferencia de volumen mL</t>
  </si>
  <si>
    <t xml:space="preserve">INM </t>
  </si>
  <si>
    <t>Termohigrometro 23322</t>
  </si>
  <si>
    <t>% rH</t>
  </si>
  <si>
    <t>mm</t>
  </si>
  <si>
    <t>Verificado por:</t>
  </si>
  <si>
    <t>fecha de verificación</t>
  </si>
  <si>
    <t>VOLUMEN MEDIDO AL (RVT) mL</t>
  </si>
  <si>
    <t>Volumen total certificado (RV-RVT)mL</t>
  </si>
  <si>
    <t>TOMA DE DATOS DEL RVT</t>
  </si>
  <si>
    <t>Capacidad del RVT a la temperatura de referencia.</t>
  </si>
  <si>
    <t>Es la temperatura del líquido medida dentro del RVT.</t>
  </si>
  <si>
    <t>La verificación del recipiente volumétrico descrito en el procedimiento RT03-XXX y la guía Euramet cg-21, consistente en el método de comparación directa usando un Recipiente volumetrico Trabajo (RVT) para observar el comportamiento del volumen total del  RVP.</t>
  </si>
  <si>
    <t>Volumen Medido Al (RVT) mL</t>
  </si>
  <si>
    <t xml:space="preserve"> Coeficiente de expansión térmica del material del RV T.</t>
  </si>
  <si>
    <t>Termómetro RVT.</t>
  </si>
  <si>
    <t>Volumen Total Certificado (RV T) mL</t>
  </si>
  <si>
    <t>HOJA DE VERIFICACIONES INTERMEDIAS DE RECIPENTES VOLUMETRICOS</t>
  </si>
  <si>
    <r>
      <t>1 in</t>
    </r>
    <r>
      <rPr>
        <b/>
        <vertAlign val="superscript"/>
        <sz val="14"/>
        <color theme="0" tint="-0.34998626667073579"/>
        <rFont val="Arial"/>
        <family val="2"/>
      </rPr>
      <t>3</t>
    </r>
  </si>
  <si>
    <r>
      <t>1 in</t>
    </r>
    <r>
      <rPr>
        <b/>
        <vertAlign val="superscript"/>
        <sz val="10"/>
        <color theme="0" tint="-0.34998626667073579"/>
        <rFont val="Arial"/>
        <family val="2"/>
      </rPr>
      <t>3</t>
    </r>
  </si>
  <si>
    <r>
      <t>1 cm</t>
    </r>
    <r>
      <rPr>
        <b/>
        <vertAlign val="superscript"/>
        <sz val="10"/>
        <color theme="0" tint="-0.34998626667073579"/>
        <rFont val="Arial"/>
        <family val="2"/>
      </rPr>
      <t>3</t>
    </r>
  </si>
  <si>
    <r>
      <t>V</t>
    </r>
    <r>
      <rPr>
        <i/>
        <vertAlign val="subscript"/>
        <sz val="12"/>
        <color theme="0" tint="-0.34998626667073579"/>
        <rFont val="Arial"/>
        <family val="2"/>
      </rPr>
      <t>t</t>
    </r>
  </si>
  <si>
    <r>
      <t>V</t>
    </r>
    <r>
      <rPr>
        <i/>
        <vertAlign val="subscript"/>
        <sz val="12"/>
        <color theme="0" tint="-0.34998626667073579"/>
        <rFont val="Arial"/>
        <family val="2"/>
      </rPr>
      <t xml:space="preserve">t + </t>
    </r>
    <r>
      <rPr>
        <vertAlign val="subscript"/>
        <sz val="12"/>
        <color theme="0" tint="-0.34998626667073579"/>
        <rFont val="Arial"/>
        <family val="2"/>
      </rPr>
      <t>±</t>
    </r>
    <r>
      <rPr>
        <i/>
        <vertAlign val="subscript"/>
        <sz val="12"/>
        <color theme="0" tint="-0.34998626667073579"/>
        <rFont val="Arial"/>
        <family val="2"/>
      </rPr>
      <t xml:space="preserve"> </t>
    </r>
    <r>
      <rPr>
        <i/>
        <sz val="12"/>
        <color theme="0" tint="-0.34998626667073579"/>
        <rFont val="Arial"/>
        <family val="2"/>
      </rPr>
      <t>∆V)</t>
    </r>
  </si>
  <si>
    <r>
      <t>°C</t>
    </r>
    <r>
      <rPr>
        <vertAlign val="superscript"/>
        <sz val="10"/>
        <color theme="0" tint="-0.34998626667073579"/>
        <rFont val="Arial"/>
        <family val="2"/>
      </rPr>
      <t>-1</t>
    </r>
  </si>
  <si>
    <r>
      <t>Adicionar / Sustraer  (in</t>
    </r>
    <r>
      <rPr>
        <vertAlign val="superscript"/>
        <sz val="14"/>
        <color theme="0" tint="-0.34998626667073579"/>
        <rFont val="Arial"/>
        <family val="2"/>
      </rPr>
      <t>3)</t>
    </r>
  </si>
  <si>
    <r>
      <t xml:space="preserve">Promedio   </t>
    </r>
    <r>
      <rPr>
        <b/>
        <i/>
        <sz val="11"/>
        <color theme="0" tint="-0.34998626667073579"/>
        <rFont val="Arial"/>
        <family val="2"/>
      </rPr>
      <t>Vt</t>
    </r>
  </si>
  <si>
    <r>
      <t xml:space="preserve">Desviación </t>
    </r>
    <r>
      <rPr>
        <b/>
        <i/>
        <sz val="11"/>
        <color theme="0" tint="-0.34998626667073579"/>
        <rFont val="Arial"/>
        <family val="2"/>
      </rPr>
      <t>s  Vt</t>
    </r>
  </si>
  <si>
    <r>
      <t>mL°C</t>
    </r>
    <r>
      <rPr>
        <vertAlign val="superscript"/>
        <sz val="10"/>
        <color theme="0" tint="-0.34998626667073579"/>
        <rFont val="Arial"/>
        <family val="2"/>
      </rPr>
      <t>-1</t>
    </r>
  </si>
  <si>
    <r>
      <t xml:space="preserve">Valor Estimado </t>
    </r>
    <r>
      <rPr>
        <b/>
        <i/>
        <sz val="12"/>
        <color theme="0" tint="-0.34998626667073579"/>
        <rFont val="Arial"/>
        <family val="2"/>
      </rPr>
      <t>X</t>
    </r>
    <r>
      <rPr>
        <b/>
        <i/>
        <vertAlign val="subscript"/>
        <sz val="12"/>
        <color theme="0" tint="-0.34998626667073579"/>
        <rFont val="Arial"/>
        <family val="2"/>
      </rPr>
      <t>i</t>
    </r>
  </si>
  <si>
    <r>
      <t xml:space="preserve">Contribucion </t>
    </r>
    <r>
      <rPr>
        <b/>
        <vertAlign val="superscript"/>
        <sz val="10"/>
        <color theme="0" tint="-0.34998626667073579"/>
        <rFont val="Arial"/>
        <family val="2"/>
      </rPr>
      <t>2</t>
    </r>
  </si>
  <si>
    <r>
      <t>cm</t>
    </r>
    <r>
      <rPr>
        <vertAlign val="superscript"/>
        <sz val="10"/>
        <color theme="0" tint="-0.34998626667073579"/>
        <rFont val="Arial"/>
        <family val="2"/>
      </rPr>
      <t>3</t>
    </r>
  </si>
  <si>
    <r>
      <t>V</t>
    </r>
    <r>
      <rPr>
        <vertAlign val="subscript"/>
        <sz val="16"/>
        <color theme="0" tint="-0.34998626667073579"/>
        <rFont val="Arial"/>
        <family val="2"/>
      </rPr>
      <t>t</t>
    </r>
  </si>
  <si>
    <r>
      <t>u ( V</t>
    </r>
    <r>
      <rPr>
        <vertAlign val="subscript"/>
        <sz val="16"/>
        <color theme="0" tint="-0.34998626667073579"/>
        <rFont val="Arial"/>
        <family val="2"/>
      </rPr>
      <t xml:space="preserve">t </t>
    </r>
    <r>
      <rPr>
        <sz val="16"/>
        <color theme="0" tint="-0.34998626667073579"/>
        <rFont val="Arial"/>
        <family val="2"/>
      </rPr>
      <t>)</t>
    </r>
  </si>
  <si>
    <r>
      <t>in</t>
    </r>
    <r>
      <rPr>
        <vertAlign val="superscript"/>
        <sz val="18"/>
        <color theme="0" tint="-0.3499862666707357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</si>
</sst>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0"/>
    <numFmt numFmtId="165" formatCode="0.0000"/>
    <numFmt numFmtId="166" formatCode="0.000"/>
    <numFmt numFmtId="167" formatCode="0.0"/>
    <numFmt numFmtId="168" formatCode="0.000E+00"/>
    <numFmt numFmtId="169" formatCode="0.000000"/>
    <numFmt numFmtId="170" formatCode="yyyy\-mm\-dd;@"/>
    <numFmt numFmtId="171" formatCode="0.000000000"/>
    <numFmt numFmtId="172" formatCode="0.00000000"/>
    <numFmt numFmtId="173" formatCode="0.0000000"/>
  </numFmts>
  <fonts count="4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vertAlign val="superscript"/>
      <sz val="12"/>
      <color theme="1"/>
      <name val="Arial Narrow"/>
      <family val="2"/>
    </font>
    <font>
      <u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Tahoma"/>
      <family val="2"/>
    </font>
    <font>
      <b/>
      <i/>
      <sz val="12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theme="0" tint="-0.34998626667073579"/>
      <name val="Arial"/>
      <family val="2"/>
    </font>
    <font>
      <b/>
      <sz val="14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vertAlign val="superscript"/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u/>
      <sz val="10"/>
      <color theme="0" tint="-0.34998626667073579"/>
      <name val="Arial"/>
      <family val="2"/>
    </font>
    <font>
      <b/>
      <vertAlign val="superscript"/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16"/>
      <color theme="0" tint="-0.34998626667073579"/>
      <name val="Arial"/>
      <family val="2"/>
    </font>
    <font>
      <i/>
      <sz val="12"/>
      <color theme="0" tint="-0.34998626667073579"/>
      <name val="Arial"/>
      <family val="2"/>
    </font>
    <font>
      <i/>
      <vertAlign val="subscript"/>
      <sz val="12"/>
      <color theme="0" tint="-0.34998626667073579"/>
      <name val="Arial"/>
      <family val="2"/>
    </font>
    <font>
      <vertAlign val="subscript"/>
      <sz val="12"/>
      <color theme="0" tint="-0.34998626667073579"/>
      <name val="Arial"/>
      <family val="2"/>
    </font>
    <font>
      <vertAlign val="superscript"/>
      <sz val="10"/>
      <color theme="0" tint="-0.34998626667073579"/>
      <name val="Arial"/>
      <family val="2"/>
    </font>
    <font>
      <vertAlign val="superscript"/>
      <sz val="14"/>
      <color theme="0" tint="-0.34998626667073579"/>
      <name val="Arial"/>
      <family val="2"/>
    </font>
    <font>
      <b/>
      <i/>
      <sz val="11"/>
      <color theme="0" tint="-0.34998626667073579"/>
      <name val="Arial"/>
      <family val="2"/>
    </font>
    <font>
      <b/>
      <i/>
      <sz val="12"/>
      <color theme="0" tint="-0.34998626667073579"/>
      <name val="Arial"/>
      <family val="2"/>
    </font>
    <font>
      <b/>
      <i/>
      <vertAlign val="subscript"/>
      <sz val="12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vertAlign val="subscript"/>
      <sz val="16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vertAlign val="superscript"/>
      <sz val="18"/>
      <color theme="0" tint="-0.34998626667073579"/>
      <name val="Arial"/>
      <family val="2"/>
    </font>
    <font>
      <sz val="22"/>
      <color theme="0" tint="-0.34998626667073579"/>
      <name val="Arial"/>
      <family val="2"/>
    </font>
    <font>
      <sz val="8"/>
      <color theme="0" tint="-0.3499862666707357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9" tint="-0.24994659260841701"/>
      </top>
      <bottom style="thick">
        <color theme="4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170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2" xfId="0" applyFont="1" applyBorder="1" applyAlignment="1">
      <alignment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justify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0" fontId="2" fillId="6" borderId="7" xfId="0" applyNumberFormat="1" applyFont="1" applyFill="1" applyBorder="1" applyAlignment="1" applyProtection="1">
      <alignment horizontal="centerContinuous" vertical="center" wrapText="1"/>
      <protection locked="0"/>
    </xf>
    <xf numFmtId="170" fontId="2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7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12" fillId="13" borderId="74" xfId="0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2" fillId="13" borderId="74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69" xfId="0" applyNumberFormat="1" applyFont="1" applyFill="1" applyBorder="1" applyAlignment="1">
      <alignment vertical="center" wrapText="1"/>
    </xf>
    <xf numFmtId="167" fontId="4" fillId="0" borderId="58" xfId="0" applyNumberFormat="1" applyFont="1" applyFill="1" applyBorder="1" applyAlignment="1">
      <alignment vertical="center" wrapText="1"/>
    </xf>
    <xf numFmtId="167" fontId="4" fillId="0" borderId="65" xfId="0" applyNumberFormat="1" applyFont="1" applyFill="1" applyBorder="1" applyAlignment="1">
      <alignment vertical="center" wrapText="1"/>
    </xf>
    <xf numFmtId="167" fontId="4" fillId="0" borderId="60" xfId="0" applyNumberFormat="1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3" borderId="75" xfId="0" applyFill="1" applyBorder="1" applyAlignment="1">
      <alignment horizontal="center" vertical="center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42" xfId="0" applyFont="1" applyFill="1" applyBorder="1" applyAlignment="1" applyProtection="1">
      <alignment horizontal="center" vertical="top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left" vertical="center" wrapText="1"/>
    </xf>
    <xf numFmtId="0" fontId="3" fillId="5" borderId="34" xfId="0" applyFont="1" applyFill="1" applyBorder="1" applyAlignment="1" applyProtection="1">
      <alignment horizontal="left" vertical="center" wrapText="1"/>
    </xf>
    <xf numFmtId="0" fontId="3" fillId="5" borderId="44" xfId="0" applyFont="1" applyFill="1" applyBorder="1" applyAlignment="1" applyProtection="1">
      <alignment horizontal="left" vertical="center" wrapText="1"/>
    </xf>
    <xf numFmtId="0" fontId="3" fillId="5" borderId="32" xfId="0" applyFont="1" applyFill="1" applyBorder="1" applyAlignment="1" applyProtection="1">
      <alignment horizontal="left" vertical="center" wrapText="1"/>
    </xf>
    <xf numFmtId="0" fontId="3" fillId="5" borderId="54" xfId="0" applyFont="1" applyFill="1" applyBorder="1" applyAlignment="1" applyProtection="1">
      <alignment horizontal="left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54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5" xfId="0" applyFont="1" applyFill="1" applyBorder="1" applyAlignment="1" applyProtection="1">
      <alignment horizontal="left" vertical="center" wrapText="1"/>
    </xf>
    <xf numFmtId="170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69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0" fontId="4" fillId="0" borderId="0" xfId="0" applyNumberFormat="1" applyFont="1" applyBorder="1" applyAlignment="1">
      <alignment horizontal="left" vertical="center" wrapText="1"/>
    </xf>
    <xf numFmtId="170" fontId="4" fillId="0" borderId="0" xfId="0" applyNumberFormat="1" applyFont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3" borderId="49" xfId="0" applyFill="1" applyBorder="1" applyAlignment="1">
      <alignment horizontal="center" vertical="center" wrapText="1"/>
    </xf>
    <xf numFmtId="0" fontId="0" fillId="13" borderId="40" xfId="0" applyFill="1" applyBorder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  <xf numFmtId="14" fontId="14" fillId="6" borderId="9" xfId="0" applyNumberFormat="1" applyFont="1" applyFill="1" applyBorder="1" applyAlignment="1" applyProtection="1">
      <alignment horizontal="center" vertical="center" wrapText="1"/>
      <protection locked="0"/>
    </xf>
    <xf numFmtId="2" fontId="1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9" xfId="0" applyFont="1" applyFill="1" applyBorder="1" applyAlignment="1" applyProtection="1">
      <alignment horizontal="center" vertical="center" wrapText="1"/>
      <protection locked="0"/>
    </xf>
    <xf numFmtId="169" fontId="14" fillId="7" borderId="9" xfId="0" applyNumberFormat="1" applyFont="1" applyFill="1" applyBorder="1" applyAlignment="1" applyProtection="1">
      <alignment horizontal="center" vertical="center" wrapText="1"/>
    </xf>
    <xf numFmtId="14" fontId="14" fillId="5" borderId="9" xfId="0" applyNumberFormat="1" applyFont="1" applyFill="1" applyBorder="1" applyAlignment="1" applyProtection="1">
      <alignment horizontal="center" vertical="center" wrapText="1"/>
    </xf>
    <xf numFmtId="0" fontId="14" fillId="7" borderId="9" xfId="0" applyFont="1" applyFill="1" applyBorder="1" applyAlignment="1" applyProtection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170" fontId="14" fillId="6" borderId="6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applyFont="1" applyFill="1" applyBorder="1" applyAlignment="1" applyProtection="1">
      <alignment horizontal="center" vertical="center" wrapText="1"/>
    </xf>
    <xf numFmtId="1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167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14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164" fontId="14" fillId="7" borderId="9" xfId="0" applyNumberFormat="1" applyFont="1" applyFill="1" applyBorder="1" applyAlignment="1" applyProtection="1">
      <alignment horizontal="center" vertical="center" wrapText="1"/>
    </xf>
    <xf numFmtId="14" fontId="14" fillId="5" borderId="12" xfId="0" applyNumberFormat="1" applyFont="1" applyFill="1" applyBorder="1" applyAlignment="1" applyProtection="1">
      <alignment horizontal="center" vertical="center" wrapText="1"/>
    </xf>
    <xf numFmtId="170" fontId="14" fillId="6" borderId="6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</xf>
    <xf numFmtId="1" fontId="14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5" xfId="0" applyFont="1" applyFill="1" applyBorder="1" applyAlignment="1" applyProtection="1">
      <alignment horizontal="center" vertical="center" wrapText="1"/>
      <protection locked="0"/>
    </xf>
    <xf numFmtId="14" fontId="14" fillId="6" borderId="15" xfId="0" applyNumberFormat="1" applyFont="1" applyFill="1" applyBorder="1" applyAlignment="1" applyProtection="1">
      <alignment horizontal="center" vertical="center" wrapText="1"/>
      <protection locked="0"/>
    </xf>
    <xf numFmtId="14" fontId="14" fillId="5" borderId="15" xfId="0" applyNumberFormat="1" applyFont="1" applyFill="1" applyBorder="1" applyAlignment="1" applyProtection="1">
      <alignment horizontal="center" vertical="center" wrapText="1"/>
    </xf>
    <xf numFmtId="170" fontId="14" fillId="6" borderId="51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18" xfId="0" applyNumberFormat="1" applyFont="1" applyFill="1" applyBorder="1" applyAlignment="1" applyProtection="1">
      <alignment horizontal="center" vertical="center" wrapText="1"/>
      <protection locked="0"/>
    </xf>
    <xf numFmtId="167" fontId="14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1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14" fontId="14" fillId="6" borderId="18" xfId="0" applyNumberFormat="1" applyFont="1" applyFill="1" applyBorder="1" applyAlignment="1" applyProtection="1">
      <alignment horizontal="center" vertical="center" wrapText="1"/>
      <protection locked="0"/>
    </xf>
    <xf numFmtId="14" fontId="14" fillId="5" borderId="18" xfId="0" applyNumberFormat="1" applyFont="1" applyFill="1" applyBorder="1" applyAlignment="1" applyProtection="1">
      <alignment horizontal="center" vertical="center" wrapText="1"/>
    </xf>
    <xf numFmtId="170" fontId="14" fillId="6" borderId="6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</xf>
    <xf numFmtId="14" fontId="14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9" xfId="0" applyNumberFormat="1" applyFont="1" applyFill="1" applyBorder="1" applyAlignment="1" applyProtection="1">
      <alignment horizontal="center" vertical="center" wrapText="1"/>
      <protection locked="0"/>
    </xf>
    <xf numFmtId="14" fontId="14" fillId="6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7" borderId="12" xfId="0" applyNumberFormat="1" applyFont="1" applyFill="1" applyBorder="1" applyAlignment="1" applyProtection="1">
      <alignment horizontal="center" vertical="center" wrapText="1"/>
    </xf>
    <xf numFmtId="14" fontId="14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2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  <protection locked="0"/>
    </xf>
    <xf numFmtId="170" fontId="14" fillId="6" borderId="51" xfId="0" applyNumberFormat="1" applyFont="1" applyFill="1" applyBorder="1" applyAlignment="1" applyProtection="1">
      <alignment horizontal="center" vertical="center" wrapText="1"/>
      <protection locked="0"/>
    </xf>
    <xf numFmtId="14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5" borderId="12" xfId="0" applyNumberFormat="1" applyFont="1" applyFill="1" applyBorder="1" applyAlignment="1" applyProtection="1">
      <alignment horizontal="center" vertical="center" wrapText="1"/>
    </xf>
    <xf numFmtId="1" fontId="14" fillId="6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5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6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4" xfId="0" applyFont="1" applyFill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6" borderId="3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</xf>
    <xf numFmtId="1" fontId="14" fillId="6" borderId="56" xfId="0" applyNumberFormat="1" applyFont="1" applyFill="1" applyBorder="1" applyAlignment="1" applyProtection="1">
      <alignment horizontal="center" vertical="center" wrapText="1"/>
      <protection locked="0"/>
    </xf>
    <xf numFmtId="14" fontId="14" fillId="6" borderId="56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56" xfId="0" applyFont="1" applyFill="1" applyBorder="1" applyAlignment="1" applyProtection="1">
      <alignment horizontal="center" vertical="center" wrapText="1"/>
      <protection locked="0"/>
    </xf>
    <xf numFmtId="173" fontId="14" fillId="7" borderId="46" xfId="0" applyNumberFormat="1" applyFont="1" applyFill="1" applyBorder="1" applyAlignment="1" applyProtection="1">
      <alignment horizontal="center" vertical="center" wrapText="1"/>
    </xf>
    <xf numFmtId="14" fontId="14" fillId="5" borderId="56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46" xfId="0" applyFont="1" applyFill="1" applyBorder="1" applyAlignment="1" applyProtection="1">
      <alignment horizontal="center" vertical="center" wrapText="1"/>
    </xf>
    <xf numFmtId="14" fontId="14" fillId="6" borderId="7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14" fontId="14" fillId="2" borderId="0" xfId="0" applyNumberFormat="1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Continuous" vertical="center" wrapText="1"/>
      <protection locked="0"/>
    </xf>
    <xf numFmtId="0" fontId="1" fillId="6" borderId="7" xfId="0" applyFont="1" applyFill="1" applyBorder="1" applyAlignment="1" applyProtection="1">
      <alignment horizontal="centerContinuous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Continuous" vertical="center" wrapText="1"/>
      <protection locked="0"/>
    </xf>
    <xf numFmtId="0" fontId="2" fillId="6" borderId="8" xfId="0" applyFont="1" applyFill="1" applyBorder="1" applyAlignment="1" applyProtection="1">
      <alignment horizontal="centerContinuous" vertical="center" wrapText="1"/>
      <protection locked="0"/>
    </xf>
    <xf numFmtId="49" fontId="2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</xf>
    <xf numFmtId="0" fontId="17" fillId="5" borderId="8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22" xfId="0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0" fillId="5" borderId="32" xfId="0" applyFont="1" applyFill="1" applyBorder="1" applyAlignment="1" applyProtection="1">
      <alignment horizontal="center" vertical="center" wrapText="1"/>
    </xf>
    <xf numFmtId="0" fontId="20" fillId="5" borderId="18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horizontal="center" vertical="center" wrapText="1"/>
    </xf>
    <xf numFmtId="0" fontId="20" fillId="5" borderId="50" xfId="0" applyFont="1" applyFill="1" applyBorder="1" applyAlignment="1" applyProtection="1">
      <alignment horizontal="center" vertical="center" wrapText="1"/>
    </xf>
    <xf numFmtId="0" fontId="20" fillId="5" borderId="57" xfId="0" applyFont="1" applyFill="1" applyBorder="1" applyAlignment="1" applyProtection="1">
      <alignment horizontal="center" vertical="center" wrapText="1"/>
    </xf>
    <xf numFmtId="0" fontId="23" fillId="5" borderId="18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24" fillId="5" borderId="18" xfId="0" applyFont="1" applyFill="1" applyBorder="1" applyAlignment="1" applyProtection="1">
      <alignment horizontal="center" vertical="center" wrapText="1"/>
    </xf>
    <xf numFmtId="0" fontId="24" fillId="5" borderId="38" xfId="0" applyFont="1" applyFill="1" applyBorder="1" applyAlignment="1" applyProtection="1">
      <alignment horizontal="center" vertical="center" wrapText="1"/>
    </xf>
    <xf numFmtId="0" fontId="24" fillId="5" borderId="34" xfId="0" applyFont="1" applyFill="1" applyBorder="1" applyAlignment="1" applyProtection="1">
      <alignment horizontal="left" vertical="center" wrapText="1"/>
    </xf>
    <xf numFmtId="0" fontId="24" fillId="5" borderId="9" xfId="0" applyFont="1" applyFill="1" applyBorder="1" applyAlignment="1" applyProtection="1">
      <alignment horizontal="left" vertical="center" wrapText="1"/>
    </xf>
    <xf numFmtId="0" fontId="19" fillId="6" borderId="9" xfId="0" applyFont="1" applyFill="1" applyBorder="1" applyAlignment="1" applyProtection="1">
      <alignment horizontal="center" vertical="center" wrapText="1"/>
      <protection locked="0"/>
    </xf>
    <xf numFmtId="0" fontId="19" fillId="6" borderId="36" xfId="0" applyFont="1" applyFill="1" applyBorder="1" applyAlignment="1" applyProtection="1">
      <alignment horizontal="center" vertical="center" wrapText="1"/>
      <protection locked="0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 applyProtection="1">
      <alignment horizontal="center" vertical="center" wrapText="1"/>
    </xf>
    <xf numFmtId="0" fontId="23" fillId="5" borderId="9" xfId="0" applyFont="1" applyFill="1" applyBorder="1" applyAlignment="1" applyProtection="1">
      <alignment horizontal="center" vertical="center" wrapText="1"/>
    </xf>
    <xf numFmtId="0" fontId="24" fillId="5" borderId="9" xfId="0" applyFont="1" applyFill="1" applyBorder="1" applyAlignment="1" applyProtection="1">
      <alignment horizontal="center" vertical="center" wrapText="1"/>
    </xf>
    <xf numFmtId="0" fontId="24" fillId="5" borderId="36" xfId="0" applyFont="1" applyFill="1" applyBorder="1" applyAlignment="1" applyProtection="1">
      <alignment horizontal="center" vertical="center" wrapText="1"/>
    </xf>
    <xf numFmtId="14" fontId="19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34" xfId="0" applyFont="1" applyFill="1" applyBorder="1" applyAlignment="1" applyProtection="1">
      <alignment horizontal="center" vertical="center" wrapText="1"/>
    </xf>
    <xf numFmtId="0" fontId="19" fillId="7" borderId="9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vertical="center" wrapText="1"/>
    </xf>
    <xf numFmtId="165" fontId="19" fillId="7" borderId="9" xfId="0" applyNumberFormat="1" applyFont="1" applyFill="1" applyBorder="1" applyAlignment="1" applyProtection="1">
      <alignment horizontal="center" vertical="center" wrapText="1"/>
    </xf>
    <xf numFmtId="165" fontId="19" fillId="7" borderId="36" xfId="0" applyNumberFormat="1" applyFont="1" applyFill="1" applyBorder="1" applyAlignment="1" applyProtection="1">
      <alignment horizontal="center" vertical="center" wrapText="1"/>
    </xf>
    <xf numFmtId="2" fontId="19" fillId="7" borderId="9" xfId="0" applyNumberFormat="1" applyFont="1" applyFill="1" applyBorder="1" applyAlignment="1" applyProtection="1">
      <alignment horizontal="center" vertical="center" wrapText="1"/>
    </xf>
    <xf numFmtId="164" fontId="19" fillId="7" borderId="9" xfId="0" applyNumberFormat="1" applyFont="1" applyFill="1" applyBorder="1" applyAlignment="1" applyProtection="1">
      <alignment horizontal="center" vertical="center" wrapText="1"/>
    </xf>
    <xf numFmtId="0" fontId="24" fillId="5" borderId="45" xfId="0" applyFont="1" applyFill="1" applyBorder="1" applyAlignment="1" applyProtection="1">
      <alignment horizontal="center" vertical="center" wrapText="1"/>
    </xf>
    <xf numFmtId="0" fontId="19" fillId="7" borderId="46" xfId="0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 applyProtection="1">
      <alignment horizontal="center" vertical="center" wrapText="1"/>
    </xf>
    <xf numFmtId="0" fontId="23" fillId="5" borderId="29" xfId="0" applyFont="1" applyFill="1" applyBorder="1" applyAlignment="1" applyProtection="1">
      <alignment horizontal="center" vertical="center" wrapText="1"/>
    </xf>
    <xf numFmtId="0" fontId="27" fillId="6" borderId="21" xfId="0" applyFont="1" applyFill="1" applyBorder="1" applyAlignment="1" applyProtection="1">
      <alignment horizontal="center" vertical="center" wrapText="1"/>
      <protection locked="0"/>
    </xf>
    <xf numFmtId="0" fontId="27" fillId="6" borderId="20" xfId="0" applyFont="1" applyFill="1" applyBorder="1" applyAlignment="1" applyProtection="1">
      <alignment horizontal="center" vertical="center" wrapText="1"/>
      <protection locked="0"/>
    </xf>
    <xf numFmtId="2" fontId="19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49" xfId="0" applyFont="1" applyFill="1" applyBorder="1" applyAlignment="1" applyProtection="1">
      <alignment horizontal="center" vertical="center" wrapText="1"/>
    </xf>
    <xf numFmtId="0" fontId="20" fillId="4" borderId="5" xfId="0" applyFont="1" applyFill="1" applyBorder="1" applyAlignment="1" applyProtection="1">
      <alignment horizontal="center" vertical="center" wrapText="1"/>
    </xf>
    <xf numFmtId="0" fontId="23" fillId="8" borderId="6" xfId="0" applyFont="1" applyFill="1" applyBorder="1" applyAlignment="1" applyProtection="1">
      <alignment horizontal="center" vertical="center" wrapText="1"/>
    </xf>
    <xf numFmtId="0" fontId="23" fillId="8" borderId="7" xfId="0" applyFont="1" applyFill="1" applyBorder="1" applyAlignment="1" applyProtection="1">
      <alignment horizontal="center" vertical="center" wrapText="1"/>
    </xf>
    <xf numFmtId="0" fontId="23" fillId="8" borderId="8" xfId="0" applyFont="1" applyFill="1" applyBorder="1" applyAlignment="1" applyProtection="1">
      <alignment horizontal="center" vertical="center" wrapText="1"/>
    </xf>
    <xf numFmtId="0" fontId="24" fillId="8" borderId="1" xfId="0" applyFont="1" applyFill="1" applyBorder="1" applyAlignment="1" applyProtection="1">
      <alignment horizontal="center" vertical="center" wrapText="1"/>
    </xf>
    <xf numFmtId="0" fontId="28" fillId="5" borderId="32" xfId="0" applyFont="1" applyFill="1" applyBorder="1" applyAlignment="1" applyProtection="1">
      <alignment horizontal="left" vertical="center" wrapText="1"/>
    </xf>
    <xf numFmtId="0" fontId="28" fillId="5" borderId="18" xfId="0" applyFont="1" applyFill="1" applyBorder="1" applyAlignment="1" applyProtection="1">
      <alignment horizontal="left" vertical="center" wrapText="1"/>
    </xf>
    <xf numFmtId="167" fontId="27" fillId="6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 applyProtection="1">
      <alignment horizontal="center" vertical="center" wrapText="1"/>
    </xf>
    <xf numFmtId="0" fontId="27" fillId="6" borderId="42" xfId="0" applyFont="1" applyFill="1" applyBorder="1" applyAlignment="1" applyProtection="1">
      <alignment horizontal="center" vertical="center" wrapText="1"/>
      <protection locked="0"/>
    </xf>
    <xf numFmtId="0" fontId="21" fillId="5" borderId="28" xfId="0" applyFont="1" applyFill="1" applyBorder="1" applyAlignment="1" applyProtection="1">
      <alignment horizontal="center" vertical="center" wrapText="1"/>
    </xf>
    <xf numFmtId="167" fontId="27" fillId="7" borderId="18" xfId="0" applyNumberFormat="1" applyFont="1" applyFill="1" applyBorder="1" applyAlignment="1" applyProtection="1">
      <alignment horizontal="center" vertical="center" wrapText="1"/>
    </xf>
    <xf numFmtId="167" fontId="27" fillId="7" borderId="38" xfId="0" applyNumberFormat="1" applyFont="1" applyFill="1" applyBorder="1" applyAlignment="1" applyProtection="1">
      <alignment horizontal="center" vertical="center" wrapText="1"/>
    </xf>
    <xf numFmtId="0" fontId="28" fillId="5" borderId="34" xfId="0" applyFont="1" applyFill="1" applyBorder="1" applyAlignment="1" applyProtection="1">
      <alignment horizontal="left" vertical="center" wrapText="1"/>
    </xf>
    <xf numFmtId="0" fontId="28" fillId="5" borderId="9" xfId="0" applyFont="1" applyFill="1" applyBorder="1" applyAlignment="1" applyProtection="1">
      <alignment horizontal="left" vertical="center" wrapText="1"/>
    </xf>
    <xf numFmtId="167" fontId="27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9" xfId="0" applyFont="1" applyFill="1" applyBorder="1" applyAlignment="1" applyProtection="1">
      <alignment horizontal="center" vertical="center" wrapText="1"/>
    </xf>
    <xf numFmtId="0" fontId="27" fillId="6" borderId="9" xfId="0" applyFont="1" applyFill="1" applyBorder="1" applyAlignment="1" applyProtection="1">
      <alignment horizontal="center" vertical="center" wrapText="1"/>
      <protection locked="0"/>
    </xf>
    <xf numFmtId="0" fontId="21" fillId="5" borderId="11" xfId="0" applyFont="1" applyFill="1" applyBorder="1" applyAlignment="1" applyProtection="1">
      <alignment horizontal="center" vertical="center" wrapText="1"/>
    </xf>
    <xf numFmtId="167" fontId="27" fillId="7" borderId="9" xfId="0" applyNumberFormat="1" applyFont="1" applyFill="1" applyBorder="1" applyAlignment="1" applyProtection="1">
      <alignment horizontal="center" vertical="center" wrapText="1"/>
    </xf>
    <xf numFmtId="11" fontId="19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45" xfId="0" applyFont="1" applyFill="1" applyBorder="1" applyAlignment="1" applyProtection="1">
      <alignment horizontal="left" vertical="center" wrapText="1"/>
    </xf>
    <xf numFmtId="0" fontId="28" fillId="5" borderId="46" xfId="0" applyFont="1" applyFill="1" applyBorder="1" applyAlignment="1" applyProtection="1">
      <alignment horizontal="left" vertical="center" wrapText="1"/>
    </xf>
    <xf numFmtId="0" fontId="27" fillId="6" borderId="46" xfId="0" applyFont="1" applyFill="1" applyBorder="1" applyAlignment="1" applyProtection="1">
      <alignment horizontal="center" vertical="center" wrapText="1"/>
      <protection locked="0"/>
    </xf>
    <xf numFmtId="0" fontId="21" fillId="5" borderId="46" xfId="0" applyFont="1" applyFill="1" applyBorder="1" applyAlignment="1" applyProtection="1">
      <alignment horizontal="center" vertical="center" wrapText="1"/>
    </xf>
    <xf numFmtId="0" fontId="21" fillId="5" borderId="58" xfId="0" applyFont="1" applyFill="1" applyBorder="1" applyAlignment="1" applyProtection="1">
      <alignment horizontal="center" vertical="center" wrapText="1"/>
    </xf>
    <xf numFmtId="167" fontId="27" fillId="7" borderId="46" xfId="0" applyNumberFormat="1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 applyProtection="1">
      <alignment vertical="center" wrapText="1"/>
      <protection locked="0"/>
    </xf>
    <xf numFmtId="0" fontId="24" fillId="5" borderId="37" xfId="0" applyFont="1" applyFill="1" applyBorder="1" applyAlignment="1" applyProtection="1">
      <alignment horizontal="left" vertical="center" wrapText="1"/>
    </xf>
    <xf numFmtId="0" fontId="24" fillId="5" borderId="14" xfId="0" applyFont="1" applyFill="1" applyBorder="1" applyAlignment="1" applyProtection="1">
      <alignment horizontal="left" vertical="center" wrapText="1"/>
    </xf>
    <xf numFmtId="0" fontId="24" fillId="5" borderId="59" xfId="0" applyFont="1" applyFill="1" applyBorder="1" applyAlignment="1" applyProtection="1">
      <alignment horizontal="left" vertical="center" wrapText="1"/>
    </xf>
    <xf numFmtId="0" fontId="24" fillId="5" borderId="60" xfId="0" applyFont="1" applyFill="1" applyBorder="1" applyAlignment="1" applyProtection="1">
      <alignment horizontal="left" vertical="center" wrapText="1"/>
    </xf>
    <xf numFmtId="165" fontId="19" fillId="6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46" xfId="0" applyFont="1" applyFill="1" applyBorder="1" applyAlignment="1" applyProtection="1">
      <alignment horizontal="center" vertical="center" wrapText="1"/>
      <protection locked="0"/>
    </xf>
    <xf numFmtId="0" fontId="19" fillId="6" borderId="39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</xf>
    <xf numFmtId="14" fontId="19" fillId="2" borderId="0" xfId="0" applyNumberFormat="1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0" fontId="21" fillId="5" borderId="61" xfId="0" applyFont="1" applyFill="1" applyBorder="1" applyAlignment="1" applyProtection="1">
      <alignment horizontal="center" vertical="center" wrapText="1"/>
    </xf>
    <xf numFmtId="0" fontId="21" fillId="5" borderId="62" xfId="0" applyFont="1" applyFill="1" applyBorder="1" applyAlignment="1" applyProtection="1">
      <alignment horizontal="center" vertical="center" wrapText="1"/>
    </xf>
    <xf numFmtId="0" fontId="21" fillId="5" borderId="57" xfId="0" applyFont="1" applyFill="1" applyBorder="1" applyAlignment="1" applyProtection="1">
      <alignment horizontal="center" vertical="center" wrapText="1"/>
    </xf>
    <xf numFmtId="0" fontId="24" fillId="5" borderId="9" xfId="0" applyFont="1" applyFill="1" applyBorder="1" applyAlignment="1" applyProtection="1">
      <alignment horizontal="center" vertical="center" wrapText="1"/>
    </xf>
    <xf numFmtId="0" fontId="24" fillId="5" borderId="36" xfId="0" applyFont="1" applyFill="1" applyBorder="1" applyAlignment="1" applyProtection="1">
      <alignment horizontal="center" vertical="center" wrapText="1"/>
    </xf>
    <xf numFmtId="0" fontId="28" fillId="2" borderId="0" xfId="0" applyFont="1" applyFill="1" applyAlignment="1" applyProtection="1">
      <alignment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29" fillId="5" borderId="34" xfId="0" applyFont="1" applyFill="1" applyBorder="1" applyAlignment="1" applyProtection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/>
      <protection locked="0"/>
    </xf>
    <xf numFmtId="0" fontId="28" fillId="6" borderId="9" xfId="0" applyFont="1" applyFill="1" applyBorder="1" applyAlignment="1" applyProtection="1">
      <alignment horizontal="center" vertical="center" wrapText="1"/>
      <protection locked="0"/>
    </xf>
    <xf numFmtId="0" fontId="28" fillId="7" borderId="36" xfId="0" applyFont="1" applyFill="1" applyBorder="1" applyAlignment="1" applyProtection="1">
      <alignment horizontal="center" vertical="center" wrapText="1"/>
    </xf>
    <xf numFmtId="167" fontId="28" fillId="7" borderId="9" xfId="0" applyNumberFormat="1" applyFont="1" applyFill="1" applyBorder="1" applyAlignment="1" applyProtection="1">
      <alignment horizontal="center" vertical="center" wrapText="1"/>
    </xf>
    <xf numFmtId="0" fontId="28" fillId="6" borderId="35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 wrapText="1"/>
    </xf>
    <xf numFmtId="1" fontId="28" fillId="7" borderId="36" xfId="0" applyNumberFormat="1" applyFont="1" applyFill="1" applyBorder="1" applyAlignment="1" applyProtection="1">
      <alignment horizontal="center" vertical="center" wrapText="1"/>
    </xf>
    <xf numFmtId="166" fontId="28" fillId="3" borderId="9" xfId="0" applyNumberFormat="1" applyFont="1" applyFill="1" applyBorder="1" applyAlignment="1" applyProtection="1">
      <alignment horizontal="center" vertical="center"/>
      <protection locked="0"/>
    </xf>
    <xf numFmtId="0" fontId="29" fillId="5" borderId="44" xfId="0" applyFont="1" applyFill="1" applyBorder="1" applyAlignment="1" applyProtection="1">
      <alignment horizontal="center" vertical="center" wrapText="1"/>
    </xf>
    <xf numFmtId="0" fontId="28" fillId="7" borderId="63" xfId="0" applyFont="1" applyFill="1" applyBorder="1" applyAlignment="1" applyProtection="1">
      <alignment horizontal="center" vertical="center" wrapText="1"/>
    </xf>
    <xf numFmtId="167" fontId="28" fillId="7" borderId="12" xfId="0" applyNumberFormat="1" applyFont="1" applyFill="1" applyBorder="1" applyAlignment="1" applyProtection="1">
      <alignment horizontal="center" vertical="center" wrapText="1"/>
    </xf>
    <xf numFmtId="0" fontId="28" fillId="2" borderId="19" xfId="0" applyFont="1" applyFill="1" applyBorder="1" applyAlignment="1" applyProtection="1">
      <alignment horizontal="center" vertical="center" wrapText="1"/>
    </xf>
    <xf numFmtId="0" fontId="29" fillId="5" borderId="14" xfId="0" applyFont="1" applyFill="1" applyBorder="1" applyAlignment="1" applyProtection="1">
      <alignment horizontal="center" vertical="center" wrapText="1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28" fillId="6" borderId="25" xfId="0" applyFont="1" applyFill="1" applyBorder="1" applyAlignment="1" applyProtection="1">
      <alignment horizontal="center" vertical="center" wrapText="1"/>
      <protection locked="0"/>
    </xf>
    <xf numFmtId="167" fontId="28" fillId="7" borderId="63" xfId="0" applyNumberFormat="1" applyFont="1" applyFill="1" applyBorder="1" applyAlignment="1" applyProtection="1">
      <alignment horizontal="center" vertical="center" wrapText="1"/>
    </xf>
    <xf numFmtId="0" fontId="28" fillId="6" borderId="68" xfId="0" applyFont="1" applyFill="1" applyBorder="1" applyAlignment="1" applyProtection="1">
      <alignment horizontal="center" vertical="center" wrapText="1"/>
      <protection locked="0"/>
    </xf>
    <xf numFmtId="0" fontId="24" fillId="5" borderId="47" xfId="0" applyFont="1" applyFill="1" applyBorder="1" applyAlignment="1" applyProtection="1">
      <alignment horizontal="center" vertical="center" wrapText="1"/>
    </xf>
    <xf numFmtId="166" fontId="19" fillId="7" borderId="58" xfId="0" applyNumberFormat="1" applyFont="1" applyFill="1" applyBorder="1" applyAlignment="1" applyProtection="1">
      <alignment horizontal="center" vertical="center" wrapText="1"/>
    </xf>
    <xf numFmtId="0" fontId="24" fillId="5" borderId="58" xfId="0" applyFont="1" applyFill="1" applyBorder="1" applyAlignment="1" applyProtection="1">
      <alignment horizontal="center" vertical="center" wrapText="1"/>
    </xf>
    <xf numFmtId="0" fontId="24" fillId="5" borderId="65" xfId="0" applyFont="1" applyFill="1" applyBorder="1" applyAlignment="1" applyProtection="1">
      <alignment horizontal="center" vertical="center" wrapText="1"/>
    </xf>
    <xf numFmtId="166" fontId="19" fillId="7" borderId="39" xfId="0" applyNumberFormat="1" applyFont="1" applyFill="1" applyBorder="1" applyAlignment="1" applyProtection="1">
      <alignment horizontal="center" vertical="center" wrapText="1"/>
    </xf>
    <xf numFmtId="0" fontId="24" fillId="5" borderId="64" xfId="0" applyFont="1" applyFill="1" applyBorder="1" applyAlignment="1" applyProtection="1">
      <alignment horizontal="center" vertical="center" wrapText="1"/>
    </xf>
    <xf numFmtId="0" fontId="19" fillId="7" borderId="39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20" fillId="4" borderId="3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20" fillId="4" borderId="40" xfId="0" applyFont="1" applyFill="1" applyBorder="1" applyAlignment="1" applyProtection="1">
      <alignment horizontal="center" vertical="center" wrapText="1"/>
    </xf>
    <xf numFmtId="0" fontId="24" fillId="5" borderId="10" xfId="0" applyFont="1" applyFill="1" applyBorder="1" applyAlignment="1" applyProtection="1">
      <alignment horizontal="center" vertical="center" wrapText="1"/>
    </xf>
    <xf numFmtId="0" fontId="24" fillId="5" borderId="16" xfId="0" applyFont="1" applyFill="1" applyBorder="1" applyAlignment="1" applyProtection="1">
      <alignment horizontal="center" vertical="center" wrapText="1"/>
    </xf>
    <xf numFmtId="0" fontId="31" fillId="5" borderId="18" xfId="0" applyFont="1" applyFill="1" applyBorder="1" applyAlignment="1" applyProtection="1">
      <alignment horizontal="center" vertical="center" wrapText="1"/>
    </xf>
    <xf numFmtId="0" fontId="31" fillId="5" borderId="38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 applyProtection="1">
      <alignment horizontal="center" vertical="center" wrapText="1"/>
    </xf>
    <xf numFmtId="0" fontId="19" fillId="5" borderId="51" xfId="0" applyFont="1" applyFill="1" applyBorder="1" applyAlignment="1" applyProtection="1">
      <alignment horizontal="center" vertical="center" wrapText="1"/>
    </xf>
    <xf numFmtId="0" fontId="24" fillId="5" borderId="34" xfId="0" applyFont="1" applyFill="1" applyBorder="1" applyAlignment="1" applyProtection="1">
      <alignment horizontal="center" vertical="center" wrapText="1"/>
    </xf>
    <xf numFmtId="2" fontId="19" fillId="7" borderId="36" xfId="0" applyNumberFormat="1" applyFont="1" applyFill="1" applyBorder="1" applyAlignment="1" applyProtection="1">
      <alignment horizontal="center" vertical="center" wrapText="1"/>
    </xf>
    <xf numFmtId="11" fontId="19" fillId="7" borderId="9" xfId="0" applyNumberFormat="1" applyFont="1" applyFill="1" applyBorder="1" applyAlignment="1" applyProtection="1">
      <alignment horizontal="center" vertical="center" wrapText="1"/>
    </xf>
    <xf numFmtId="0" fontId="19" fillId="5" borderId="35" xfId="0" applyFont="1" applyFill="1" applyBorder="1" applyAlignment="1" applyProtection="1">
      <alignment horizontal="center" vertical="center" wrapText="1"/>
    </xf>
    <xf numFmtId="0" fontId="21" fillId="5" borderId="2" xfId="0" applyFont="1" applyFill="1" applyBorder="1" applyAlignment="1" applyProtection="1">
      <alignment horizontal="center" vertical="center" wrapText="1"/>
    </xf>
    <xf numFmtId="0" fontId="21" fillId="5" borderId="31" xfId="0" applyFont="1" applyFill="1" applyBorder="1" applyAlignment="1" applyProtection="1">
      <alignment horizontal="center" vertical="center" wrapText="1"/>
    </xf>
    <xf numFmtId="0" fontId="19" fillId="9" borderId="30" xfId="0" applyFont="1" applyFill="1" applyBorder="1" applyAlignment="1" applyProtection="1">
      <alignment vertical="center" wrapText="1"/>
    </xf>
    <xf numFmtId="0" fontId="19" fillId="9" borderId="3" xfId="0" applyFont="1" applyFill="1" applyBorder="1" applyAlignment="1" applyProtection="1">
      <alignment vertical="center" wrapText="1"/>
    </xf>
    <xf numFmtId="0" fontId="19" fillId="9" borderId="4" xfId="0" applyFont="1" applyFill="1" applyBorder="1" applyAlignment="1" applyProtection="1">
      <alignment vertical="center" wrapText="1"/>
    </xf>
    <xf numFmtId="0" fontId="21" fillId="5" borderId="10" xfId="0" applyFont="1" applyFill="1" applyBorder="1" applyAlignment="1" applyProtection="1">
      <alignment horizontal="center" vertical="center" wrapText="1"/>
    </xf>
    <xf numFmtId="0" fontId="21" fillId="5" borderId="16" xfId="0" applyFont="1" applyFill="1" applyBorder="1" applyAlignment="1" applyProtection="1">
      <alignment horizontal="center" vertical="center" wrapText="1"/>
    </xf>
    <xf numFmtId="0" fontId="19" fillId="9" borderId="24" xfId="0" applyFont="1" applyFill="1" applyBorder="1" applyAlignment="1" applyProtection="1">
      <alignment vertical="center" wrapText="1"/>
    </xf>
    <xf numFmtId="165" fontId="20" fillId="10" borderId="0" xfId="0" applyNumberFormat="1" applyFont="1" applyFill="1" applyBorder="1" applyAlignment="1" applyProtection="1">
      <alignment horizontal="center" vertical="center" wrapText="1"/>
    </xf>
    <xf numFmtId="0" fontId="19" fillId="9" borderId="51" xfId="0" applyFont="1" applyFill="1" applyBorder="1" applyAlignment="1" applyProtection="1">
      <alignment vertical="center" wrapText="1"/>
    </xf>
    <xf numFmtId="0" fontId="21" fillId="5" borderId="55" xfId="0" applyFont="1" applyFill="1" applyBorder="1" applyAlignment="1" applyProtection="1">
      <alignment horizontal="center" vertical="center" wrapText="1"/>
    </xf>
    <xf numFmtId="0" fontId="21" fillId="5" borderId="17" xfId="0" applyFont="1" applyFill="1" applyBorder="1" applyAlignment="1" applyProtection="1">
      <alignment horizontal="center" vertical="center" wrapText="1"/>
    </xf>
    <xf numFmtId="0" fontId="19" fillId="9" borderId="28" xfId="0" applyFont="1" applyFill="1" applyBorder="1" applyAlignment="1" applyProtection="1">
      <alignment vertical="center" wrapText="1"/>
    </xf>
    <xf numFmtId="0" fontId="19" fillId="9" borderId="13" xfId="0" applyFont="1" applyFill="1" applyBorder="1" applyAlignment="1" applyProtection="1">
      <alignment vertical="center" wrapText="1"/>
    </xf>
    <xf numFmtId="0" fontId="19" fillId="9" borderId="66" xfId="0" applyFont="1" applyFill="1" applyBorder="1" applyAlignment="1" applyProtection="1">
      <alignment vertical="center" wrapText="1"/>
    </xf>
    <xf numFmtId="0" fontId="21" fillId="5" borderId="67" xfId="0" applyFont="1" applyFill="1" applyBorder="1" applyAlignment="1" applyProtection="1">
      <alignment horizontal="center" vertical="center" wrapText="1"/>
    </xf>
    <xf numFmtId="0" fontId="21" fillId="5" borderId="27" xfId="0" applyFont="1" applyFill="1" applyBorder="1" applyAlignment="1" applyProtection="1">
      <alignment horizontal="center" vertical="center" wrapText="1"/>
    </xf>
    <xf numFmtId="0" fontId="19" fillId="9" borderId="25" xfId="0" applyFont="1" applyFill="1" applyBorder="1" applyAlignment="1" applyProtection="1">
      <alignment vertical="center" wrapText="1"/>
    </xf>
    <xf numFmtId="0" fontId="19" fillId="9" borderId="26" xfId="0" applyFont="1" applyFill="1" applyBorder="1" applyAlignment="1" applyProtection="1">
      <alignment vertical="center" wrapText="1"/>
    </xf>
    <xf numFmtId="0" fontId="19" fillId="9" borderId="68" xfId="0" applyFont="1" applyFill="1" applyBorder="1" applyAlignment="1" applyProtection="1">
      <alignment vertical="center" wrapText="1"/>
    </xf>
    <xf numFmtId="0" fontId="24" fillId="5" borderId="47" xfId="0" applyFont="1" applyFill="1" applyBorder="1" applyAlignment="1" applyProtection="1">
      <alignment horizontal="center" vertical="center" wrapText="1"/>
    </xf>
    <xf numFmtId="0" fontId="24" fillId="5" borderId="24" xfId="0" applyFont="1" applyFill="1" applyBorder="1" applyAlignment="1" applyProtection="1">
      <alignment horizontal="center" vertical="center" wrapText="1"/>
    </xf>
    <xf numFmtId="2" fontId="19" fillId="7" borderId="12" xfId="0" applyNumberFormat="1" applyFont="1" applyFill="1" applyBorder="1" applyAlignment="1" applyProtection="1">
      <alignment horizontal="center" vertical="center" wrapText="1"/>
    </xf>
    <xf numFmtId="2" fontId="19" fillId="7" borderId="63" xfId="0" applyNumberFormat="1" applyFont="1" applyFill="1" applyBorder="1" applyAlignment="1" applyProtection="1">
      <alignment horizontal="center" vertical="center" wrapText="1"/>
    </xf>
    <xf numFmtId="2" fontId="19" fillId="2" borderId="0" xfId="0" applyNumberFormat="1" applyFont="1" applyFill="1" applyBorder="1" applyAlignment="1" applyProtection="1">
      <alignment vertical="center" wrapText="1"/>
    </xf>
    <xf numFmtId="0" fontId="29" fillId="4" borderId="37" xfId="0" applyFont="1" applyFill="1" applyBorder="1" applyAlignment="1" applyProtection="1">
      <alignment horizontal="center" vertical="center" wrapText="1"/>
    </xf>
    <xf numFmtId="0" fontId="29" fillId="4" borderId="14" xfId="0" applyFont="1" applyFill="1" applyBorder="1" applyAlignment="1" applyProtection="1">
      <alignment horizontal="center" vertical="center" wrapText="1"/>
    </xf>
    <xf numFmtId="2" fontId="19" fillId="5" borderId="35" xfId="0" applyNumberFormat="1" applyFont="1" applyFill="1" applyBorder="1" applyAlignment="1" applyProtection="1">
      <alignment horizontal="center" vertical="center" wrapText="1"/>
    </xf>
    <xf numFmtId="0" fontId="23" fillId="11" borderId="49" xfId="0" applyFont="1" applyFill="1" applyBorder="1" applyAlignment="1" applyProtection="1">
      <alignment horizontal="center" vertical="center" wrapText="1"/>
    </xf>
    <xf numFmtId="11" fontId="19" fillId="5" borderId="48" xfId="0" applyNumberFormat="1" applyFont="1" applyFill="1" applyBorder="1" applyAlignment="1" applyProtection="1">
      <alignment horizontal="center" vertical="center" wrapText="1"/>
    </xf>
    <xf numFmtId="0" fontId="19" fillId="5" borderId="64" xfId="0" applyFont="1" applyFill="1" applyBorder="1" applyAlignment="1" applyProtection="1">
      <alignment horizontal="center" vertical="center" wrapText="1"/>
    </xf>
    <xf numFmtId="0" fontId="21" fillId="5" borderId="49" xfId="0" applyFont="1" applyFill="1" applyBorder="1" applyAlignment="1" applyProtection="1">
      <alignment horizontal="center" vertical="center" wrapText="1"/>
    </xf>
    <xf numFmtId="0" fontId="21" fillId="5" borderId="69" xfId="0" applyFont="1" applyFill="1" applyBorder="1" applyAlignment="1" applyProtection="1">
      <alignment horizontal="center" vertical="center" wrapText="1"/>
    </xf>
    <xf numFmtId="0" fontId="19" fillId="9" borderId="48" xfId="0" applyFont="1" applyFill="1" applyBorder="1" applyAlignment="1" applyProtection="1">
      <alignment vertical="center" wrapText="1"/>
    </xf>
    <xf numFmtId="0" fontId="19" fillId="9" borderId="5" xfId="0" applyFont="1" applyFill="1" applyBorder="1" applyAlignment="1" applyProtection="1">
      <alignment vertical="center" wrapText="1"/>
    </xf>
    <xf numFmtId="0" fontId="19" fillId="9" borderId="40" xfId="0" applyFont="1" applyFill="1" applyBorder="1" applyAlignment="1" applyProtection="1">
      <alignment vertical="center" wrapText="1"/>
    </xf>
    <xf numFmtId="0" fontId="29" fillId="11" borderId="34" xfId="0" applyFont="1" applyFill="1" applyBorder="1" applyAlignment="1" applyProtection="1">
      <alignment horizontal="center" vertical="center" wrapText="1"/>
    </xf>
    <xf numFmtId="0" fontId="29" fillId="11" borderId="9" xfId="0" applyFont="1" applyFill="1" applyBorder="1" applyAlignment="1" applyProtection="1">
      <alignment horizontal="center" vertical="center" wrapText="1"/>
    </xf>
    <xf numFmtId="169" fontId="19" fillId="5" borderId="36" xfId="0" applyNumberFormat="1" applyFont="1" applyFill="1" applyBorder="1" applyAlignment="1" applyProtection="1">
      <alignment horizontal="center" vertical="center" wrapText="1"/>
    </xf>
    <xf numFmtId="0" fontId="19" fillId="2" borderId="28" xfId="0" applyFont="1" applyFill="1" applyBorder="1" applyAlignment="1" applyProtection="1">
      <alignment vertical="center" wrapText="1"/>
    </xf>
    <xf numFmtId="0" fontId="19" fillId="2" borderId="13" xfId="0" applyFont="1" applyFill="1" applyBorder="1" applyAlignment="1" applyProtection="1">
      <alignment vertical="center" wrapText="1"/>
    </xf>
    <xf numFmtId="0" fontId="19" fillId="2" borderId="23" xfId="0" applyFont="1" applyFill="1" applyBorder="1" applyAlignment="1" applyProtection="1">
      <alignment vertical="center" wrapText="1"/>
    </xf>
    <xf numFmtId="0" fontId="19" fillId="2" borderId="14" xfId="0" applyFont="1" applyFill="1" applyBorder="1" applyAlignment="1" applyProtection="1">
      <alignment vertical="center" wrapText="1"/>
    </xf>
    <xf numFmtId="0" fontId="24" fillId="11" borderId="45" xfId="0" applyFont="1" applyFill="1" applyBorder="1" applyAlignment="1" applyProtection="1">
      <alignment horizontal="right" vertical="center" wrapText="1"/>
    </xf>
    <xf numFmtId="0" fontId="24" fillId="11" borderId="46" xfId="0" applyFont="1" applyFill="1" applyBorder="1" applyAlignment="1" applyProtection="1">
      <alignment horizontal="right" vertical="center" wrapText="1"/>
    </xf>
    <xf numFmtId="2" fontId="19" fillId="5" borderId="39" xfId="0" applyNumberFormat="1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vertical="center" wrapText="1"/>
    </xf>
    <xf numFmtId="0" fontId="24" fillId="5" borderId="15" xfId="0" applyFont="1" applyFill="1" applyBorder="1" applyAlignment="1" applyProtection="1">
      <alignment vertical="center" wrapText="1"/>
    </xf>
    <xf numFmtId="0" fontId="24" fillId="5" borderId="70" xfId="0" applyFont="1" applyFill="1" applyBorder="1" applyAlignment="1" applyProtection="1">
      <alignment horizontal="center" vertical="center" wrapText="1"/>
    </xf>
    <xf numFmtId="0" fontId="24" fillId="5" borderId="41" xfId="0" applyFont="1" applyFill="1" applyBorder="1" applyAlignment="1" applyProtection="1">
      <alignment horizontal="center" vertical="center" wrapText="1"/>
    </xf>
    <xf numFmtId="0" fontId="24" fillId="5" borderId="42" xfId="0" applyFont="1" applyFill="1" applyBorder="1" applyAlignment="1" applyProtection="1">
      <alignment horizontal="center" vertical="center" wrapText="1"/>
    </xf>
    <xf numFmtId="0" fontId="24" fillId="5" borderId="43" xfId="0" applyFont="1" applyFill="1" applyBorder="1" applyAlignment="1" applyProtection="1">
      <alignment horizontal="center" vertical="center" wrapText="1"/>
    </xf>
    <xf numFmtId="0" fontId="28" fillId="5" borderId="37" xfId="0" applyFont="1" applyFill="1" applyBorder="1" applyAlignment="1" applyProtection="1">
      <alignment horizontal="left" vertical="center" wrapText="1"/>
    </xf>
    <xf numFmtId="0" fontId="28" fillId="5" borderId="23" xfId="0" applyFont="1" applyFill="1" applyBorder="1" applyAlignment="1" applyProtection="1">
      <alignment horizontal="left" vertical="center" wrapText="1"/>
    </xf>
    <xf numFmtId="0" fontId="28" fillId="5" borderId="23" xfId="0" applyFont="1" applyFill="1" applyBorder="1" applyAlignment="1" applyProtection="1">
      <alignment horizontal="left" vertical="center" wrapText="1"/>
    </xf>
    <xf numFmtId="0" fontId="19" fillId="5" borderId="23" xfId="0" applyFont="1" applyFill="1" applyBorder="1" applyAlignment="1" applyProtection="1">
      <alignment vertical="center" wrapText="1"/>
    </xf>
    <xf numFmtId="0" fontId="19" fillId="5" borderId="14" xfId="0" applyFont="1" applyFill="1" applyBorder="1" applyAlignment="1" applyProtection="1">
      <alignment vertical="center" wrapText="1"/>
    </xf>
    <xf numFmtId="164" fontId="19" fillId="7" borderId="11" xfId="0" applyNumberFormat="1" applyFont="1" applyFill="1" applyBorder="1" applyAlignment="1" applyProtection="1">
      <alignment horizontal="center" vertical="center" wrapText="1"/>
    </xf>
    <xf numFmtId="169" fontId="19" fillId="5" borderId="35" xfId="0" applyNumberFormat="1" applyFont="1" applyFill="1" applyBorder="1" applyAlignment="1" applyProtection="1">
      <alignment horizontal="center" vertical="center"/>
    </xf>
    <xf numFmtId="0" fontId="28" fillId="2" borderId="10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164" fontId="19" fillId="2" borderId="0" xfId="0" applyNumberFormat="1" applyFont="1" applyFill="1" applyBorder="1" applyAlignment="1" applyProtection="1">
      <alignment vertical="center" wrapText="1"/>
    </xf>
    <xf numFmtId="169" fontId="23" fillId="2" borderId="51" xfId="0" applyNumberFormat="1" applyFont="1" applyFill="1" applyBorder="1" applyAlignment="1" applyProtection="1">
      <alignment vertical="center"/>
    </xf>
    <xf numFmtId="0" fontId="19" fillId="2" borderId="34" xfId="0" applyFont="1" applyFill="1" applyBorder="1" applyAlignment="1" applyProtection="1">
      <alignment vertical="center" wrapText="1"/>
    </xf>
    <xf numFmtId="0" fontId="19" fillId="2" borderId="9" xfId="0" applyFont="1" applyFill="1" applyBorder="1" applyAlignment="1" applyProtection="1">
      <alignment vertical="center" wrapText="1"/>
    </xf>
    <xf numFmtId="0" fontId="19" fillId="2" borderId="36" xfId="0" applyFont="1" applyFill="1" applyBorder="1" applyAlignment="1" applyProtection="1">
      <alignment vertical="center" wrapText="1"/>
    </xf>
    <xf numFmtId="0" fontId="19" fillId="5" borderId="34" xfId="0" applyFont="1" applyFill="1" applyBorder="1" applyAlignment="1" applyProtection="1">
      <alignment horizontal="center" vertical="center" wrapText="1"/>
    </xf>
    <xf numFmtId="0" fontId="19" fillId="0" borderId="71" xfId="0" applyFont="1" applyFill="1" applyBorder="1" applyAlignment="1" applyProtection="1">
      <alignment horizontal="center" vertical="center" wrapText="1"/>
    </xf>
    <xf numFmtId="169" fontId="19" fillId="2" borderId="51" xfId="0" applyNumberFormat="1" applyFont="1" applyFill="1" applyBorder="1" applyAlignment="1" applyProtection="1">
      <alignment vertical="center" wrapText="1"/>
    </xf>
    <xf numFmtId="166" fontId="19" fillId="7" borderId="9" xfId="0" applyNumberFormat="1" applyFont="1" applyFill="1" applyBorder="1" applyAlignment="1" applyProtection="1">
      <alignment horizontal="center" vertical="center" wrapText="1"/>
    </xf>
    <xf numFmtId="0" fontId="19" fillId="0" borderId="72" xfId="0" applyFont="1" applyFill="1" applyBorder="1" applyAlignment="1" applyProtection="1">
      <alignment horizontal="center" vertical="center" wrapText="1"/>
    </xf>
    <xf numFmtId="166" fontId="19" fillId="7" borderId="36" xfId="0" applyNumberFormat="1" applyFont="1" applyFill="1" applyBorder="1" applyAlignment="1" applyProtection="1">
      <alignment horizontal="center" vertical="center" wrapText="1"/>
    </xf>
    <xf numFmtId="0" fontId="19" fillId="5" borderId="34" xfId="0" applyFont="1" applyFill="1" applyBorder="1" applyAlignment="1" applyProtection="1">
      <alignment vertical="center" wrapText="1"/>
    </xf>
    <xf numFmtId="0" fontId="19" fillId="7" borderId="36" xfId="0" applyFont="1" applyFill="1" applyBorder="1" applyAlignment="1" applyProtection="1">
      <alignment horizontal="center" vertical="center" wrapText="1"/>
    </xf>
    <xf numFmtId="169" fontId="19" fillId="2" borderId="0" xfId="0" applyNumberFormat="1" applyFont="1" applyFill="1" applyBorder="1" applyAlignment="1" applyProtection="1">
      <alignment vertical="center" wrapText="1"/>
    </xf>
    <xf numFmtId="1" fontId="19" fillId="7" borderId="11" xfId="0" applyNumberFormat="1" applyFont="1" applyFill="1" applyBorder="1" applyAlignment="1" applyProtection="1">
      <alignment horizontal="center" vertical="center" wrapText="1"/>
    </xf>
    <xf numFmtId="1" fontId="19" fillId="2" borderId="0" xfId="0" applyNumberFormat="1" applyFont="1" applyFill="1" applyBorder="1" applyAlignment="1" applyProtection="1">
      <alignment vertical="center" wrapText="1"/>
    </xf>
    <xf numFmtId="0" fontId="19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11" fontId="19" fillId="7" borderId="36" xfId="0" applyNumberFormat="1" applyFont="1" applyFill="1" applyBorder="1" applyAlignment="1" applyProtection="1">
      <alignment horizontal="center" vertical="center" wrapText="1"/>
    </xf>
    <xf numFmtId="0" fontId="19" fillId="5" borderId="45" xfId="0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horizontal="center" vertical="center" wrapText="1"/>
    </xf>
    <xf numFmtId="0" fontId="19" fillId="2" borderId="51" xfId="0" applyFont="1" applyFill="1" applyBorder="1" applyAlignment="1" applyProtection="1">
      <alignment vertical="center" wrapText="1"/>
    </xf>
    <xf numFmtId="0" fontId="28" fillId="5" borderId="59" xfId="0" applyFont="1" applyFill="1" applyBorder="1" applyAlignment="1" applyProtection="1">
      <alignment horizontal="center" vertical="center" wrapText="1"/>
    </xf>
    <xf numFmtId="0" fontId="28" fillId="5" borderId="65" xfId="0" applyFont="1" applyFill="1" applyBorder="1" applyAlignment="1" applyProtection="1">
      <alignment horizontal="center" vertical="center" wrapText="1"/>
    </xf>
    <xf numFmtId="0" fontId="28" fillId="5" borderId="65" xfId="0" applyFont="1" applyFill="1" applyBorder="1" applyAlignment="1" applyProtection="1">
      <alignment horizontal="left" vertical="center" wrapText="1"/>
    </xf>
    <xf numFmtId="0" fontId="19" fillId="5" borderId="65" xfId="0" applyFont="1" applyFill="1" applyBorder="1" applyAlignment="1" applyProtection="1">
      <alignment vertical="center" wrapText="1"/>
    </xf>
    <xf numFmtId="0" fontId="19" fillId="5" borderId="60" xfId="0" applyFont="1" applyFill="1" applyBorder="1" applyAlignment="1" applyProtection="1">
      <alignment vertical="center" wrapText="1"/>
    </xf>
    <xf numFmtId="1" fontId="19" fillId="7" borderId="58" xfId="0" applyNumberFormat="1" applyFont="1" applyFill="1" applyBorder="1" applyAlignment="1" applyProtection="1">
      <alignment horizontal="center" vertical="center" wrapText="1"/>
    </xf>
    <xf numFmtId="169" fontId="19" fillId="5" borderId="64" xfId="0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 wrapText="1"/>
    </xf>
    <xf numFmtId="0" fontId="23" fillId="5" borderId="61" xfId="0" applyFont="1" applyFill="1" applyBorder="1" applyAlignment="1" applyProtection="1">
      <alignment horizontal="center" vertical="center" wrapText="1"/>
    </xf>
    <xf numFmtId="0" fontId="23" fillId="5" borderId="50" xfId="0" applyFont="1" applyFill="1" applyBorder="1" applyAlignment="1" applyProtection="1">
      <alignment horizontal="center" vertical="center" wrapText="1"/>
    </xf>
    <xf numFmtId="0" fontId="23" fillId="5" borderId="42" xfId="0" applyFont="1" applyFill="1" applyBorder="1" applyAlignment="1" applyProtection="1">
      <alignment horizontal="center" vertical="center" wrapText="1"/>
    </xf>
    <xf numFmtId="0" fontId="23" fillId="5" borderId="42" xfId="0" applyFont="1" applyFill="1" applyBorder="1" applyAlignment="1" applyProtection="1">
      <alignment horizontal="center" vertical="center" wrapText="1"/>
    </xf>
    <xf numFmtId="0" fontId="24" fillId="5" borderId="42" xfId="0" applyFont="1" applyFill="1" applyBorder="1" applyAlignment="1" applyProtection="1">
      <alignment horizontal="center" vertical="center" wrapText="1"/>
    </xf>
    <xf numFmtId="0" fontId="23" fillId="5" borderId="43" xfId="0" applyFont="1" applyFill="1" applyBorder="1" applyAlignment="1" applyProtection="1">
      <alignment horizontal="center" vertical="center" wrapText="1"/>
    </xf>
    <xf numFmtId="0" fontId="29" fillId="5" borderId="37" xfId="0" applyFont="1" applyFill="1" applyBorder="1" applyAlignment="1" applyProtection="1">
      <alignment horizontal="center" vertical="top" wrapText="1"/>
    </xf>
    <xf numFmtId="0" fontId="29" fillId="5" borderId="14" xfId="0" applyFont="1" applyFill="1" applyBorder="1" applyAlignment="1" applyProtection="1">
      <alignment horizontal="center" vertical="top" wrapText="1"/>
    </xf>
    <xf numFmtId="2" fontId="28" fillId="5" borderId="9" xfId="0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39" fillId="2" borderId="51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9" fillId="5" borderId="37" xfId="0" applyFont="1" applyFill="1" applyBorder="1" applyAlignment="1" applyProtection="1">
      <alignment horizontal="left" vertical="center" wrapText="1"/>
    </xf>
    <xf numFmtId="0" fontId="29" fillId="5" borderId="14" xfId="0" applyFont="1" applyFill="1" applyBorder="1" applyAlignment="1" applyProtection="1">
      <alignment horizontal="left" vertical="center" wrapText="1"/>
    </xf>
    <xf numFmtId="0" fontId="29" fillId="5" borderId="9" xfId="0" applyFont="1" applyFill="1" applyBorder="1" applyAlignment="1" applyProtection="1">
      <alignment vertical="center" wrapText="1"/>
    </xf>
    <xf numFmtId="14" fontId="19" fillId="5" borderId="9" xfId="0" applyNumberFormat="1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19" fillId="5" borderId="36" xfId="0" applyFont="1" applyFill="1" applyBorder="1" applyAlignment="1" applyProtection="1">
      <alignment horizontal="center" vertical="center" wrapText="1"/>
    </xf>
    <xf numFmtId="169" fontId="19" fillId="7" borderId="9" xfId="0" applyNumberFormat="1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 wrapText="1"/>
    </xf>
    <xf numFmtId="0" fontId="19" fillId="2" borderId="51" xfId="0" applyFont="1" applyFill="1" applyBorder="1" applyAlignment="1" applyProtection="1">
      <alignment horizontal="center" vertical="center" wrapText="1"/>
    </xf>
    <xf numFmtId="165" fontId="28" fillId="5" borderId="9" xfId="0" applyNumberFormat="1" applyFont="1" applyFill="1" applyBorder="1" applyAlignment="1" applyProtection="1">
      <alignment horizontal="center" vertical="center" wrapText="1"/>
    </xf>
    <xf numFmtId="171" fontId="19" fillId="7" borderId="9" xfId="0" applyNumberFormat="1" applyFont="1" applyFill="1" applyBorder="1" applyAlignment="1" applyProtection="1">
      <alignment horizontal="center" vertical="center" wrapText="1"/>
    </xf>
    <xf numFmtId="169" fontId="19" fillId="5" borderId="9" xfId="0" applyNumberFormat="1" applyFont="1" applyFill="1" applyBorder="1" applyAlignment="1" applyProtection="1">
      <alignment horizontal="center" vertical="center" wrapText="1"/>
    </xf>
    <xf numFmtId="172" fontId="19" fillId="7" borderId="9" xfId="0" applyNumberFormat="1" applyFont="1" applyFill="1" applyBorder="1" applyAlignment="1" applyProtection="1">
      <alignment horizontal="center" vertical="center" wrapText="1"/>
    </xf>
    <xf numFmtId="0" fontId="29" fillId="5" borderId="37" xfId="0" applyFont="1" applyFill="1" applyBorder="1" applyAlignment="1" applyProtection="1">
      <alignment vertical="top" wrapText="1"/>
    </xf>
    <xf numFmtId="0" fontId="29" fillId="5" borderId="14" xfId="0" applyFont="1" applyFill="1" applyBorder="1" applyAlignment="1" applyProtection="1">
      <alignment vertical="top" wrapText="1"/>
    </xf>
    <xf numFmtId="166" fontId="28" fillId="5" borderId="9" xfId="0" applyNumberFormat="1" applyFont="1" applyFill="1" applyBorder="1" applyAlignment="1" applyProtection="1">
      <alignment horizontal="center" vertical="center" wrapText="1"/>
    </xf>
    <xf numFmtId="171" fontId="19" fillId="2" borderId="0" xfId="0" applyNumberFormat="1" applyFont="1" applyFill="1" applyBorder="1" applyAlignment="1" applyProtection="1">
      <alignment horizontal="center" vertical="center" wrapText="1"/>
    </xf>
    <xf numFmtId="0" fontId="28" fillId="5" borderId="9" xfId="0" applyFont="1" applyFill="1" applyBorder="1" applyAlignment="1" applyProtection="1">
      <alignment horizontal="center" vertical="center" wrapText="1"/>
    </xf>
    <xf numFmtId="0" fontId="28" fillId="5" borderId="9" xfId="0" applyFont="1" applyFill="1" applyBorder="1" applyAlignment="1" applyProtection="1">
      <alignment vertical="center" wrapText="1"/>
    </xf>
    <xf numFmtId="0" fontId="29" fillId="5" borderId="37" xfId="0" applyFont="1" applyFill="1" applyBorder="1" applyAlignment="1" applyProtection="1">
      <alignment horizontal="left" vertical="top" wrapText="1"/>
    </xf>
    <xf numFmtId="0" fontId="29" fillId="5" borderId="14" xfId="0" applyFont="1" applyFill="1" applyBorder="1" applyAlignment="1" applyProtection="1">
      <alignment horizontal="left" vertical="top" wrapText="1"/>
    </xf>
    <xf numFmtId="11" fontId="28" fillId="5" borderId="9" xfId="0" applyNumberFormat="1" applyFont="1" applyFill="1" applyBorder="1" applyAlignment="1" applyProtection="1">
      <alignment horizontal="center" vertical="center" wrapText="1"/>
    </xf>
    <xf numFmtId="0" fontId="40" fillId="5" borderId="9" xfId="0" applyFont="1" applyFill="1" applyBorder="1" applyAlignment="1" applyProtection="1">
      <alignment horizontal="center" vertical="center" wrapText="1"/>
    </xf>
    <xf numFmtId="0" fontId="29" fillId="5" borderId="59" xfId="0" applyFont="1" applyFill="1" applyBorder="1" applyAlignment="1" applyProtection="1">
      <alignment horizontal="left" vertical="center" wrapText="1"/>
    </xf>
    <xf numFmtId="0" fontId="29" fillId="5" borderId="60" xfId="0" applyFont="1" applyFill="1" applyBorder="1" applyAlignment="1" applyProtection="1">
      <alignment horizontal="left" vertical="center" wrapText="1"/>
    </xf>
    <xf numFmtId="0" fontId="28" fillId="5" borderId="46" xfId="0" applyFont="1" applyFill="1" applyBorder="1" applyAlignment="1" applyProtection="1">
      <alignment horizontal="center" vertical="center" wrapText="1"/>
    </xf>
    <xf numFmtId="168" fontId="19" fillId="7" borderId="46" xfId="0" applyNumberFormat="1" applyFont="1" applyFill="1" applyBorder="1" applyAlignment="1" applyProtection="1">
      <alignment horizontal="center" vertical="center" wrapText="1"/>
    </xf>
    <xf numFmtId="0" fontId="19" fillId="5" borderId="46" xfId="0" applyFont="1" applyFill="1" applyBorder="1" applyAlignment="1" applyProtection="1">
      <alignment horizontal="center" vertical="center" wrapText="1"/>
    </xf>
    <xf numFmtId="169" fontId="19" fillId="7" borderId="46" xfId="0" applyNumberFormat="1" applyFont="1" applyFill="1" applyBorder="1" applyAlignment="1" applyProtection="1">
      <alignment horizontal="center" vertical="center" wrapText="1"/>
    </xf>
    <xf numFmtId="0" fontId="19" fillId="5" borderId="39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19" fillId="12" borderId="0" xfId="0" applyFont="1" applyFill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41" fillId="11" borderId="6" xfId="0" applyFont="1" applyFill="1" applyBorder="1" applyAlignment="1" applyProtection="1">
      <alignment horizontal="center" vertical="center" wrapText="1"/>
    </xf>
    <xf numFmtId="0" fontId="41" fillId="11" borderId="7" xfId="0" applyFont="1" applyFill="1" applyBorder="1" applyAlignment="1" applyProtection="1">
      <alignment horizontal="center" vertical="center" wrapText="1"/>
    </xf>
    <xf numFmtId="0" fontId="41" fillId="11" borderId="8" xfId="0" applyFont="1" applyFill="1" applyBorder="1" applyAlignment="1" applyProtection="1">
      <alignment horizontal="center" vertical="center" wrapText="1"/>
    </xf>
    <xf numFmtId="0" fontId="24" fillId="5" borderId="41" xfId="0" applyFont="1" applyFill="1" applyBorder="1" applyAlignment="1" applyProtection="1">
      <alignment horizontal="left" vertical="center" wrapText="1"/>
    </xf>
    <xf numFmtId="0" fontId="24" fillId="5" borderId="42" xfId="0" applyFont="1" applyFill="1" applyBorder="1" applyAlignment="1" applyProtection="1">
      <alignment horizontal="left" vertical="center" wrapText="1"/>
    </xf>
    <xf numFmtId="0" fontId="19" fillId="7" borderId="42" xfId="0" applyFont="1" applyFill="1" applyBorder="1" applyAlignment="1" applyProtection="1">
      <alignment horizontal="center" vertical="center" wrapText="1"/>
    </xf>
    <xf numFmtId="0" fontId="19" fillId="5" borderId="42" xfId="0" applyFont="1" applyFill="1" applyBorder="1" applyAlignment="1" applyProtection="1">
      <alignment horizontal="center" vertical="center" wrapText="1"/>
    </xf>
    <xf numFmtId="0" fontId="19" fillId="5" borderId="43" xfId="0" applyFont="1" applyFill="1" applyBorder="1" applyAlignment="1" applyProtection="1">
      <alignment horizontal="center" vertical="center" wrapText="1"/>
    </xf>
    <xf numFmtId="0" fontId="24" fillId="5" borderId="45" xfId="0" applyFont="1" applyFill="1" applyBorder="1" applyAlignment="1" applyProtection="1">
      <alignment horizontal="left" vertical="center" wrapText="1"/>
    </xf>
    <xf numFmtId="0" fontId="24" fillId="5" borderId="46" xfId="0" applyFont="1" applyFill="1" applyBorder="1" applyAlignment="1" applyProtection="1">
      <alignment horizontal="left" vertical="center" wrapText="1"/>
    </xf>
    <xf numFmtId="0" fontId="19" fillId="5" borderId="58" xfId="0" applyFont="1" applyFill="1" applyBorder="1" applyAlignment="1" applyProtection="1">
      <alignment horizontal="center" vertical="center" wrapText="1"/>
    </xf>
    <xf numFmtId="167" fontId="19" fillId="7" borderId="12" xfId="0" applyNumberFormat="1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left" vertical="center" wrapText="1"/>
    </xf>
    <xf numFmtId="0" fontId="41" fillId="2" borderId="28" xfId="0" applyFont="1" applyFill="1" applyBorder="1" applyAlignment="1" applyProtection="1">
      <alignment vertical="center" wrapText="1"/>
    </xf>
    <xf numFmtId="0" fontId="41" fillId="2" borderId="13" xfId="0" applyFont="1" applyFill="1" applyBorder="1" applyAlignment="1" applyProtection="1">
      <alignment vertical="center" wrapText="1"/>
    </xf>
    <xf numFmtId="167" fontId="20" fillId="7" borderId="73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 wrapText="1"/>
    </xf>
    <xf numFmtId="0" fontId="41" fillId="2" borderId="0" xfId="0" applyFont="1" applyFill="1" applyBorder="1" applyAlignment="1" applyProtection="1">
      <alignment vertical="center" wrapText="1"/>
    </xf>
    <xf numFmtId="0" fontId="23" fillId="2" borderId="25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0" fontId="41" fillId="4" borderId="6" xfId="0" applyFont="1" applyFill="1" applyBorder="1" applyAlignment="1" applyProtection="1">
      <alignment horizontal="center" vertical="center" wrapText="1"/>
    </xf>
    <xf numFmtId="0" fontId="41" fillId="4" borderId="7" xfId="0" applyFont="1" applyFill="1" applyBorder="1" applyAlignment="1" applyProtection="1">
      <alignment horizontal="center" vertical="center" wrapText="1"/>
    </xf>
    <xf numFmtId="0" fontId="41" fillId="4" borderId="8" xfId="0" applyFont="1" applyFill="1" applyBorder="1" applyAlignment="1" applyProtection="1">
      <alignment horizontal="center" vertical="center" wrapText="1"/>
    </xf>
    <xf numFmtId="0" fontId="41" fillId="2" borderId="0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30" fillId="5" borderId="41" xfId="0" applyFont="1" applyFill="1" applyBorder="1" applyAlignment="1" applyProtection="1">
      <alignment horizontal="center" vertical="center" wrapText="1"/>
    </xf>
    <xf numFmtId="0" fontId="30" fillId="5" borderId="50" xfId="0" applyFont="1" applyFill="1" applyBorder="1" applyAlignment="1" applyProtection="1">
      <alignment horizontal="center" vertical="center" wrapText="1"/>
    </xf>
    <xf numFmtId="0" fontId="21" fillId="5" borderId="57" xfId="0" applyFont="1" applyFill="1" applyBorder="1" applyAlignment="1" applyProtection="1">
      <alignment horizontal="center" vertical="center" wrapText="1"/>
    </xf>
    <xf numFmtId="0" fontId="43" fillId="5" borderId="61" xfId="0" applyFont="1" applyFill="1" applyBorder="1" applyAlignment="1" applyProtection="1">
      <alignment vertical="center" wrapText="1"/>
    </xf>
    <xf numFmtId="2" fontId="21" fillId="7" borderId="18" xfId="0" applyNumberFormat="1" applyFont="1" applyFill="1" applyBorder="1" applyAlignment="1" applyProtection="1">
      <alignment horizontal="center" vertical="center" wrapText="1"/>
    </xf>
    <xf numFmtId="167" fontId="21" fillId="7" borderId="17" xfId="0" applyNumberFormat="1" applyFont="1" applyFill="1" applyBorder="1" applyAlignment="1" applyProtection="1">
      <alignment horizontal="center" vertical="center" wrapText="1"/>
    </xf>
    <xf numFmtId="165" fontId="19" fillId="7" borderId="15" xfId="0" applyNumberFormat="1" applyFont="1" applyFill="1" applyBorder="1" applyAlignment="1" applyProtection="1">
      <alignment vertical="center" wrapText="1"/>
    </xf>
    <xf numFmtId="165" fontId="21" fillId="7" borderId="17" xfId="0" applyNumberFormat="1" applyFont="1" applyFill="1" applyBorder="1" applyAlignment="1" applyProtection="1">
      <alignment horizontal="center" vertical="center" wrapText="1"/>
    </xf>
    <xf numFmtId="2" fontId="21" fillId="7" borderId="66" xfId="0" applyNumberFormat="1" applyFont="1" applyFill="1" applyBorder="1" applyAlignment="1" applyProtection="1">
      <alignment horizontal="center" vertical="center" wrapText="1"/>
    </xf>
    <xf numFmtId="2" fontId="19" fillId="2" borderId="0" xfId="0" applyNumberFormat="1" applyFont="1" applyFill="1" applyAlignment="1" applyProtection="1">
      <alignment horizontal="center" vertical="center" wrapText="1"/>
    </xf>
    <xf numFmtId="0" fontId="41" fillId="5" borderId="2" xfId="0" applyFont="1" applyFill="1" applyBorder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 wrapText="1"/>
    </xf>
    <xf numFmtId="0" fontId="43" fillId="5" borderId="10" xfId="0" applyFont="1" applyFill="1" applyBorder="1" applyAlignment="1" applyProtection="1">
      <alignment vertical="center" wrapText="1"/>
    </xf>
    <xf numFmtId="2" fontId="21" fillId="7" borderId="12" xfId="0" applyNumberFormat="1" applyFont="1" applyFill="1" applyBorder="1" applyAlignment="1" applyProtection="1">
      <alignment horizontal="center" vertical="center" wrapText="1"/>
    </xf>
    <xf numFmtId="2" fontId="21" fillId="7" borderId="27" xfId="0" applyNumberFormat="1" applyFont="1" applyFill="1" applyBorder="1" applyAlignment="1" applyProtection="1">
      <alignment horizontal="center" vertical="center" wrapText="1"/>
    </xf>
    <xf numFmtId="166" fontId="21" fillId="7" borderId="15" xfId="0" applyNumberFormat="1" applyFont="1" applyFill="1" applyBorder="1" applyAlignment="1" applyProtection="1">
      <alignment horizontal="center" vertical="center" wrapText="1"/>
    </xf>
    <xf numFmtId="10" fontId="21" fillId="7" borderId="15" xfId="0" applyNumberFormat="1" applyFont="1" applyFill="1" applyBorder="1" applyAlignment="1" applyProtection="1">
      <alignment horizontal="center" vertical="center" wrapText="1"/>
    </xf>
    <xf numFmtId="165" fontId="21" fillId="7" borderId="27" xfId="0" applyNumberFormat="1" applyFont="1" applyFill="1" applyBorder="1" applyAlignment="1" applyProtection="1">
      <alignment horizontal="center" vertical="center" wrapText="1"/>
    </xf>
    <xf numFmtId="167" fontId="19" fillId="2" borderId="0" xfId="0" applyNumberFormat="1" applyFont="1" applyFill="1" applyAlignment="1" applyProtection="1">
      <alignment vertical="center" wrapText="1"/>
    </xf>
    <xf numFmtId="166" fontId="19" fillId="7" borderId="45" xfId="0" applyNumberFormat="1" applyFont="1" applyFill="1" applyBorder="1" applyAlignment="1" applyProtection="1">
      <alignment horizontal="center" vertical="center" wrapText="1"/>
    </xf>
    <xf numFmtId="2" fontId="28" fillId="7" borderId="39" xfId="0" applyNumberFormat="1" applyFont="1" applyFill="1" applyBorder="1" applyAlignment="1" applyProtection="1">
      <alignment horizontal="center" vertical="center"/>
    </xf>
    <xf numFmtId="0" fontId="43" fillId="5" borderId="45" xfId="0" applyFont="1" applyFill="1" applyBorder="1" applyAlignment="1" applyProtection="1">
      <alignment vertical="center" wrapText="1"/>
    </xf>
    <xf numFmtId="165" fontId="21" fillId="7" borderId="46" xfId="0" applyNumberFormat="1" applyFont="1" applyFill="1" applyBorder="1" applyAlignment="1" applyProtection="1">
      <alignment horizontal="center" vertical="center" wrapText="1"/>
    </xf>
    <xf numFmtId="165" fontId="19" fillId="7" borderId="56" xfId="0" applyNumberFormat="1" applyFont="1" applyFill="1" applyBorder="1" applyAlignment="1" applyProtection="1">
      <alignment vertical="center" wrapText="1"/>
    </xf>
    <xf numFmtId="0" fontId="41" fillId="4" borderId="0" xfId="0" applyFont="1" applyFill="1" applyBorder="1" applyAlignment="1" applyProtection="1">
      <alignment vertical="center" wrapText="1"/>
    </xf>
    <xf numFmtId="0" fontId="43" fillId="2" borderId="0" xfId="0" applyFont="1" applyFill="1" applyBorder="1" applyAlignment="1" applyProtection="1">
      <alignment vertical="center" wrapText="1"/>
    </xf>
    <xf numFmtId="165" fontId="21" fillId="2" borderId="0" xfId="0" applyNumberFormat="1" applyFont="1" applyFill="1" applyBorder="1" applyAlignment="1" applyProtection="1">
      <alignment horizontal="center" vertical="center" wrapText="1"/>
    </xf>
    <xf numFmtId="165" fontId="19" fillId="2" borderId="0" xfId="0" applyNumberFormat="1" applyFont="1" applyFill="1" applyBorder="1" applyAlignment="1" applyProtection="1">
      <alignment vertical="center" wrapText="1"/>
    </xf>
    <xf numFmtId="2" fontId="21" fillId="2" borderId="0" xfId="0" applyNumberFormat="1" applyFont="1" applyFill="1" applyBorder="1" applyAlignment="1" applyProtection="1">
      <alignment horizontal="center" vertical="center" wrapText="1"/>
    </xf>
    <xf numFmtId="0" fontId="45" fillId="7" borderId="0" xfId="0" applyFont="1" applyFill="1" applyBorder="1" applyAlignment="1" applyProtection="1">
      <alignment vertical="center" wrapText="1"/>
    </xf>
    <xf numFmtId="0" fontId="19" fillId="7" borderId="0" xfId="0" applyFont="1" applyFill="1" applyBorder="1" applyAlignment="1" applyProtection="1">
      <alignment vertical="center" wrapText="1"/>
    </xf>
    <xf numFmtId="0" fontId="30" fillId="7" borderId="0" xfId="0" applyFont="1" applyFill="1" applyBorder="1" applyAlignment="1" applyProtection="1">
      <alignment vertical="center" wrapText="1"/>
    </xf>
    <xf numFmtId="0" fontId="46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  <color rgb="FF9BC2E6"/>
      <color rgb="FFFCE4D6"/>
      <color rgb="FFFFFFFF"/>
      <color rgb="FF538DD5"/>
      <color rgb="FFC6EFCE"/>
      <color rgb="FFDCE6F1"/>
      <color rgb="FFF2F8D6"/>
      <color rgb="FFF2DCDB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Verificación RVP </a:t>
            </a:r>
          </a:p>
        </c:rich>
      </c:tx>
      <c:layout>
        <c:manualLayout>
          <c:xMode val="edge"/>
          <c:yMode val="edge"/>
          <c:x val="0.48501490334669944"/>
          <c:y val="3.5766466691663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1471591143205668"/>
          <c:y val="6.4599753010956981E-2"/>
          <c:w val="0.78516130941726792"/>
          <c:h val="0.66924347633007009"/>
        </c:manualLayout>
      </c:layout>
      <c:lineChart>
        <c:grouping val="standard"/>
        <c:varyColors val="0"/>
        <c:ser>
          <c:idx val="1"/>
          <c:order val="0"/>
          <c:tx>
            <c:strRef>
              <c:f>'CARTA DE CONTROL'!$C$2</c:f>
              <c:strCache>
                <c:ptCount val="1"/>
                <c:pt idx="0">
                  <c:v>VOLUMEN NOMINAL mL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rgbClr val="92D05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Lit>
              <c:ptCount val="3"/>
              <c:pt idx="0">
                <c:v>AV</c:v>
              </c:pt>
              <c:pt idx="1">
                <c:v>LH</c:v>
              </c:pt>
              <c:pt idx="2">
                <c:v>EA</c:v>
              </c:pt>
            </c:strLit>
          </c:cat>
          <c:val>
            <c:numRef>
              <c:f>'CARTA DE CONTROL'!$C$3:$C$5</c:f>
              <c:numCache>
                <c:formatCode>General</c:formatCode>
                <c:ptCount val="3"/>
                <c:pt idx="0">
                  <c:v>18927.060000000001</c:v>
                </c:pt>
                <c:pt idx="1">
                  <c:v>18927.060000000001</c:v>
                </c:pt>
                <c:pt idx="2">
                  <c:v>18927.060000000001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'CARTA DE CONTROL'!$I$8</c:f>
              <c:strCache>
                <c:ptCount val="1"/>
                <c:pt idx="0">
                  <c:v>volumen total mL</c:v>
                </c:pt>
              </c:strCache>
            </c:strRef>
          </c:tx>
          <c:spPr>
            <a:ln w="41275" cap="flat">
              <a:solidFill>
                <a:schemeClr val="accent1">
                  <a:alpha val="97000"/>
                </a:schemeClr>
              </a:solidFill>
              <a:bevel/>
            </a:ln>
            <a:effectLst>
              <a:outerShdw blurRad="50800" dist="23000" dir="5400000" rotWithShape="0">
                <a:schemeClr val="tx1">
                  <a:alpha val="35000"/>
                </a:scheme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'CARTA DE CONTROL'!$E$3:$E$5</c:f>
                <c:numCache>
                  <c:formatCode>General</c:formatCode>
                  <c:ptCount val="3"/>
                  <c:pt idx="0">
                    <c:v>6.5</c:v>
                  </c:pt>
                  <c:pt idx="1">
                    <c:v>6.3</c:v>
                  </c:pt>
                  <c:pt idx="2">
                    <c:v>6.2</c:v>
                  </c:pt>
                </c:numCache>
              </c:numRef>
            </c:plus>
            <c:minus>
              <c:numRef>
                <c:f>'CARTA DE CONTROL'!$E$3:$E$5</c:f>
                <c:numCache>
                  <c:formatCode>General</c:formatCode>
                  <c:ptCount val="3"/>
                  <c:pt idx="0">
                    <c:v>6.5</c:v>
                  </c:pt>
                  <c:pt idx="1">
                    <c:v>6.3</c:v>
                  </c:pt>
                  <c:pt idx="2">
                    <c:v>6.2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>
                <a:outerShdw sx="1000" sy="1000" algn="ctr" rotWithShape="0">
                  <a:srgbClr val="FF0000"/>
                </a:outerShdw>
              </a:effectLst>
            </c:spPr>
          </c:errBars>
          <c:cat>
            <c:strLit>
              <c:ptCount val="3"/>
              <c:pt idx="0">
                <c:v>AV</c:v>
              </c:pt>
              <c:pt idx="1">
                <c:v>LH</c:v>
              </c:pt>
              <c:pt idx="2">
                <c:v>EA</c:v>
              </c:pt>
            </c:strLit>
          </c:cat>
          <c:val>
            <c:numRef>
              <c:f>'CARTA DE CONTROL'!$I$9:$I$11</c:f>
              <c:numCache>
                <c:formatCode>0.00</c:formatCode>
                <c:ptCount val="3"/>
                <c:pt idx="0">
                  <c:v>18925.150000000001</c:v>
                </c:pt>
                <c:pt idx="1">
                  <c:v>18927.18</c:v>
                </c:pt>
                <c:pt idx="2" formatCode="General">
                  <c:v>18926.57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'CARTA DE CONTROL'!$G$2</c:f>
              <c:strCache>
                <c:ptCount val="1"/>
                <c:pt idx="0">
                  <c:v>LIC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Lit>
              <c:ptCount val="3"/>
              <c:pt idx="0">
                <c:v>AV</c:v>
              </c:pt>
              <c:pt idx="1">
                <c:v>LH</c:v>
              </c:pt>
              <c:pt idx="2">
                <c:v>EA</c:v>
              </c:pt>
            </c:strLit>
          </c:cat>
          <c:val>
            <c:numRef>
              <c:f>'CARTA DE CONTROL'!$G$3:$G$5</c:f>
              <c:numCache>
                <c:formatCode>General</c:formatCode>
                <c:ptCount val="3"/>
                <c:pt idx="0">
                  <c:v>18917.59647</c:v>
                </c:pt>
                <c:pt idx="1">
                  <c:v>18917.59647</c:v>
                </c:pt>
                <c:pt idx="2">
                  <c:v>18917.59647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'CARTA DE CONTROL'!$F$2</c:f>
              <c:strCache>
                <c:ptCount val="1"/>
                <c:pt idx="0">
                  <c:v>LSC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Lit>
              <c:ptCount val="3"/>
              <c:pt idx="0">
                <c:v>AV</c:v>
              </c:pt>
              <c:pt idx="1">
                <c:v>LH</c:v>
              </c:pt>
              <c:pt idx="2">
                <c:v>EA</c:v>
              </c:pt>
            </c:strLit>
          </c:cat>
          <c:val>
            <c:numRef>
              <c:f>'CARTA DE CONTROL'!$F$3:$F$5</c:f>
              <c:numCache>
                <c:formatCode>General</c:formatCode>
                <c:ptCount val="3"/>
                <c:pt idx="0">
                  <c:v>18936.523530000002</c:v>
                </c:pt>
                <c:pt idx="1">
                  <c:v>18936.523530000002</c:v>
                </c:pt>
                <c:pt idx="2">
                  <c:v>18936.523530000002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17872"/>
        <c:axId val="1511826032"/>
      </c:lineChart>
      <c:catAx>
        <c:axId val="151181787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1826032"/>
        <c:crosses val="autoZero"/>
        <c:auto val="1"/>
        <c:lblAlgn val="ctr"/>
        <c:lblOffset val="100"/>
        <c:noMultiLvlLbl val="0"/>
      </c:catAx>
      <c:valAx>
        <c:axId val="1511826032"/>
        <c:scaling>
          <c:orientation val="minMax"/>
          <c:max val="18950"/>
          <c:min val="189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VOLUMEN</a:t>
                </a:r>
              </a:p>
            </c:rich>
          </c:tx>
          <c:layout>
            <c:manualLayout>
              <c:xMode val="edge"/>
              <c:yMode val="edge"/>
              <c:x val="0.10118229695194345"/>
              <c:y val="0.27213939714044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1817872"/>
        <c:crosses val="autoZero"/>
        <c:crossBetween val="between"/>
        <c:majorUnit val="5"/>
        <c:minorUnit val="2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834736</xdr:colOff>
      <xdr:row>0</xdr:row>
      <xdr:rowOff>44189</xdr:rowOff>
    </xdr:from>
    <xdr:to>
      <xdr:col>2</xdr:col>
      <xdr:colOff>352425</xdr:colOff>
      <xdr:row>0</xdr:row>
      <xdr:rowOff>809625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834736" y="44189"/>
          <a:ext cx="1689389" cy="765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773639</xdr:colOff>
      <xdr:row>63</xdr:row>
      <xdr:rowOff>54808</xdr:rowOff>
    </xdr:from>
    <xdr:ext cx="485775" cy="271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2945339" y="22181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6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lang="es-CO" sz="11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2945339" y="22181383"/>
              <a:ext cx="485775" cy="271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𝑢 𝐴</a:t>
              </a:r>
              <a:endParaRPr lang="es-CO" sz="11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7</xdr:col>
      <xdr:colOff>357716</xdr:colOff>
      <xdr:row>55</xdr:row>
      <xdr:rowOff>66675</xdr:rowOff>
    </xdr:from>
    <xdr:ext cx="277284" cy="1767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7358591" y="19145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</m:oMath>
                </m:oMathPara>
              </a14:m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7358591" y="19145250"/>
              <a:ext cx="277284" cy="1767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endParaRPr lang="es-CO" sz="14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224472</xdr:colOff>
      <xdr:row>68</xdr:row>
      <xdr:rowOff>37084</xdr:rowOff>
    </xdr:from>
    <xdr:ext cx="1810415" cy="4010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6310947" y="237448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6310947" y="23744809"/>
              <a:ext cx="1810415" cy="4010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𝝏𝑽𝒕/𝝏𝒕𝑹𝑺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−𝜷)]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306017</xdr:colOff>
      <xdr:row>69</xdr:row>
      <xdr:rowOff>371475</xdr:rowOff>
    </xdr:from>
    <xdr:ext cx="1702892" cy="4615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6392492" y="241363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𝜸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6392492" y="24136350"/>
              <a:ext cx="1702892" cy="4615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𝜷−𝜸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269953</xdr:colOff>
      <xdr:row>72</xdr:row>
      <xdr:rowOff>12152</xdr:rowOff>
    </xdr:from>
    <xdr:ext cx="1894821" cy="444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6356428" y="245961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𝑹𝑺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=[−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6356428" y="24596177"/>
              <a:ext cx="1894821" cy="444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</a:rPr>
                <a:t>=[−𝑽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228469</xdr:colOff>
      <xdr:row>74</xdr:row>
      <xdr:rowOff>28575</xdr:rowOff>
    </xdr:from>
    <xdr:ext cx="1800356" cy="420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6314944" y="250507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𝝏𝜸</m:t>
                        </m:r>
                        <m:r>
                          <a:rPr lang="es-CO" sz="1200" b="1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𝑺𝑪𝑴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6314944" y="25050750"/>
              <a:ext cx="1800356" cy="420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𝝏𝑽𝒕/𝝏𝜸</a:t>
              </a:r>
              <a:r>
                <a:rPr lang="es-CO" sz="1200" b="1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𝑺𝑪𝑴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−𝒕𝑺𝑪𝑴)]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180975</xdr:colOff>
      <xdr:row>76</xdr:row>
      <xdr:rowOff>38034</xdr:rowOff>
    </xdr:from>
    <xdr:ext cx="2019300" cy="4118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6267450" y="254983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𝝏𝜷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=[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es-CO" sz="1200" b="1" i="1" baseline="-2500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∗(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𝒕𝑺𝑪𝑴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𝒕𝑹𝑺</m:t>
                    </m:r>
                    <m:r>
                      <a:rPr lang="es-CO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)]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6267450" y="25498359"/>
              <a:ext cx="2019300" cy="411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𝝏𝑽𝒕/𝝏𝜷</a:t>
              </a:r>
              <a:r>
                <a:rPr lang="es-CO" sz="1200" b="1" i="0">
                  <a:latin typeface="Cambria Math" panose="02040503050406030204" pitchFamily="18" charset="0"/>
                </a:rPr>
                <a:t>=[𝑽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𝟎</a:t>
              </a:r>
              <a:r>
                <a:rPr lang="es-CO" sz="1200" b="1" i="0">
                  <a:latin typeface="Cambria Math" panose="02040503050406030204" pitchFamily="18" charset="0"/>
                </a:rPr>
                <a:t>∗(𝒕𝑺𝑪𝑴</a:t>
              </a:r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−𝒕𝑹𝑺)]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343786</xdr:colOff>
      <xdr:row>78</xdr:row>
      <xdr:rowOff>38100</xdr:rowOff>
    </xdr:from>
    <xdr:ext cx="951614" cy="3866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6430261" y="259365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𝑽𝒎𝒆𝒏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6430261" y="25936575"/>
              <a:ext cx="951614" cy="3866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𝝏𝑽𝒕/𝝏𝜹𝑽𝒎𝒆𝒏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80</xdr:row>
      <xdr:rowOff>112059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6304476" y="263915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𝑽𝒓𝒆𝒑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6304476" y="263915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𝝏𝑽𝒕/𝝏𝜹𝑽𝒓𝒆𝒑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165666</xdr:colOff>
      <xdr:row>84</xdr:row>
      <xdr:rowOff>39779</xdr:rowOff>
    </xdr:from>
    <xdr:ext cx="1111805" cy="392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6252141" y="27252704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𝑽𝒂𝒅𝒅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6252141" y="27252704"/>
              <a:ext cx="1111805" cy="392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𝝏𝑽𝒕/𝝏𝜹𝑽𝒂𝒅𝒅</a:t>
              </a:r>
              <a:r>
                <a:rPr lang="es-CO" sz="1200" b="1" i="0">
                  <a:latin typeface="Cambria Math" panose="02040503050406030204" pitchFamily="18" charset="0"/>
                </a:rPr>
                <a:t>=𝟏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385920</xdr:colOff>
      <xdr:row>77</xdr:row>
      <xdr:rowOff>1989</xdr:rowOff>
    </xdr:from>
    <xdr:ext cx="24001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13492320" y="255194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13492320" y="25519464"/>
              <a:ext cx="24001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353366</xdr:colOff>
      <xdr:row>75</xdr:row>
      <xdr:rowOff>1</xdr:rowOff>
    </xdr:from>
    <xdr:ext cx="326991" cy="352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3459766" y="250793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𝟎</m:t>
                        </m:r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3459766" y="25079326"/>
              <a:ext cx="326991" cy="352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𝟎𝑹𝑺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328244</xdr:colOff>
      <xdr:row>70</xdr:row>
      <xdr:rowOff>120894</xdr:rowOff>
    </xdr:from>
    <xdr:ext cx="229648" cy="3553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 flipH="1">
              <a:off x="13434644" y="242000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200" b="1" i="1" baseline="-25000">
                            <a:latin typeface="Cambria Math" panose="02040503050406030204" pitchFamily="18" charset="0"/>
                          </a:rPr>
                          <m:t>𝑹𝑺</m:t>
                        </m:r>
                      </m:sub>
                    </m:sSub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 flipH="1">
              <a:off x="13434644" y="24200094"/>
              <a:ext cx="229648" cy="355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200" b="1" i="0" baseline="-25000">
                  <a:latin typeface="Cambria Math" panose="02040503050406030204" pitchFamily="18" charset="0"/>
                </a:rPr>
                <a:t>𝑹𝑺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382885</xdr:colOff>
      <xdr:row>81</xdr:row>
      <xdr:rowOff>25646</xdr:rowOff>
    </xdr:from>
    <xdr:ext cx="169566" cy="2505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/>
            <xdr:cNvSpPr txBox="1"/>
          </xdr:nvSpPr>
          <xdr:spPr>
            <a:xfrm>
              <a:off x="13489285" y="264194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𝜷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13489285" y="26419421"/>
              <a:ext cx="169566" cy="250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330550</xdr:colOff>
      <xdr:row>72</xdr:row>
      <xdr:rowOff>102263</xdr:rowOff>
    </xdr:from>
    <xdr:ext cx="345726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3436950" y="246386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3436950" y="24638663"/>
              <a:ext cx="345726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326678</xdr:colOff>
      <xdr:row>78</xdr:row>
      <xdr:rowOff>108439</xdr:rowOff>
    </xdr:from>
    <xdr:ext cx="33463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3433078" y="259592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CO" sz="1400" b="1" i="1" baseline="-25000">
                            <a:latin typeface="Cambria Math" panose="02040503050406030204" pitchFamily="18" charset="0"/>
                          </a:rPr>
                          <m:t>𝑺𝑪𝑴</m:t>
                        </m:r>
                      </m:sub>
                    </m:sSub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3433078" y="25959289"/>
              <a:ext cx="33463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CO" sz="1400" b="1" i="0" baseline="-25000">
                  <a:latin typeface="Cambria Math" panose="02040503050406030204" pitchFamily="18" charset="0"/>
                </a:rPr>
                <a:t>𝑺𝑪𝑴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13</xdr:col>
      <xdr:colOff>297473</xdr:colOff>
      <xdr:row>69</xdr:row>
      <xdr:rowOff>42079</xdr:rowOff>
    </xdr:from>
    <xdr:ext cx="301241" cy="311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3403873" y="238069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3403873" y="23806954"/>
              <a:ext cx="301241" cy="311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𝑽_</a:t>
              </a:r>
              <a:r>
                <a:rPr lang="es-CO" sz="1400" b="1" i="0">
                  <a:latin typeface="Cambria Math" panose="02040503050406030204" pitchFamily="18" charset="0"/>
                </a:rPr>
                <a:t>𝟎</a:t>
              </a:r>
              <a:endParaRPr lang="es-CO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357239</xdr:colOff>
      <xdr:row>83</xdr:row>
      <xdr:rowOff>104775</xdr:rowOff>
    </xdr:from>
    <xdr:ext cx="214261" cy="164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13463639" y="269367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13463639" y="26936700"/>
              <a:ext cx="214261" cy="164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𝒕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10</xdr:col>
      <xdr:colOff>153761</xdr:colOff>
      <xdr:row>5</xdr:row>
      <xdr:rowOff>383236</xdr:rowOff>
    </xdr:from>
    <xdr:ext cx="707536" cy="2361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/>
            <xdr:cNvSpPr txBox="1"/>
          </xdr:nvSpPr>
          <xdr:spPr>
            <a:xfrm>
              <a:off x="10126436" y="2116786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e>
                      <m:sub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𝒅𝒓𝒊𝒇𝒕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sub>
                    </m:sSub>
                    <m:r>
                      <a:rPr lang="es-CO" sz="1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126436" y="2116786"/>
              <a:ext cx="707536" cy="2361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〖(𝜹〗_(𝒅𝒓𝒊𝒇𝒕 ))</a:t>
              </a:r>
              <a:endParaRPr lang="es-CO" sz="1400" b="1"/>
            </a:p>
          </xdr:txBody>
        </xdr:sp>
      </mc:Fallback>
    </mc:AlternateContent>
    <xdr:clientData/>
  </xdr:oneCellAnchor>
  <xdr:oneCellAnchor>
    <xdr:from>
      <xdr:col>1</xdr:col>
      <xdr:colOff>930370</xdr:colOff>
      <xdr:row>53</xdr:row>
      <xdr:rowOff>285750</xdr:rowOff>
    </xdr:from>
    <xdr:ext cx="11557342" cy="3922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2082895" y="18602325"/>
              <a:ext cx="11557342" cy="392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14:m>
                <m:oMath xmlns:m="http://schemas.openxmlformats.org/officeDocument/2006/math">
                  <m:sSub>
                    <m:sSubPr>
                      <m:ctrlP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𝒕</m:t>
                      </m:r>
                    </m:sub>
                  </m:sSub>
                </m:oMath>
              </a14:m>
              <a:r>
                <a:rPr lang="es-CO" sz="20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0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</m:t>
                      </m:r>
                    </m:e>
                    <m:sub>
                      <m:eqArr>
                        <m:eqArr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𝟎</m:t>
                          </m:r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 </m:t>
                          </m:r>
                        </m:e>
                        <m:e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eqArr>
                    </m:sub>
                  </m:sSub>
                  <m:d>
                    <m:dPr>
                      <m:begChr m:val="["/>
                      <m:endChr m:val="]"/>
                      <m:ctrlP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eqArr>
                        <m:eqArr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eqArrPr>
                        <m:e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𝜸</m:t>
                              </m:r>
                            </m:e>
                            <m:sub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𝑹𝒔</m:t>
                              </m:r>
                            </m:sub>
                          </m:sSub>
                        </m:e>
                      </m:eqArr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𝟎</m:t>
                              </m:r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 </m:t>
                          </m:r>
                          <m:sSub>
                            <m:sSubPr>
                              <m:ctrlP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𝒓𝒔</m:t>
                              </m:r>
                            </m:sub>
                          </m:sSub>
                        </m:e>
                      </m:d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𝜷</m:t>
                      </m:r>
                      <m:d>
                        <m:d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𝒔𝒄𝒎</m:t>
                              </m:r>
                            </m:sub>
                          </m:sSub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𝑹𝑺</m:t>
                              </m:r>
                            </m:sub>
                          </m:sSub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𝜸</m:t>
                          </m:r>
                        </m:e>
                        <m:sub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𝑺𝑪𝑴</m:t>
                          </m:r>
                        </m:sub>
                      </m:sSub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𝒕</m:t>
                          </m:r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𝒕</m:t>
                              </m:r>
                            </m:e>
                            <m:sub>
                              <m:r>
                                <a:rPr lang="es-CO" sz="2000" b="1" i="1">
                                  <a:solidFill>
                                    <a:schemeClr val="bg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𝑺𝑪𝑴</m:t>
                              </m:r>
                            </m:sub>
                          </m:sSub>
                        </m:e>
                      </m:d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]   +</m:t>
                      </m:r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𝒎𝒆𝒏</m:t>
                          </m:r>
                        </m:sub>
                      </m:sSub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 </m:t>
                      </m:r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𝒓𝒆𝒑</m:t>
                          </m:r>
                        </m:sub>
                      </m:sSub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𝜹</m:t>
                      </m:r>
                      <m:sSub>
                        <m:sSubPr>
                          <m:ctrlP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e>
                        <m:sub>
                          <m:r>
                            <a:rPr lang="es-CO" sz="2000" b="1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𝒂𝒅𝒅</m:t>
                          </m:r>
                        </m:sub>
                      </m:sSub>
                      <m:r>
                        <a:rPr lang="es-CO" sz="2000" b="1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d>
                </m:oMath>
              </a14:m>
              <a:endParaRPr lang="es-CO" sz="20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2082895" y="18602325"/>
              <a:ext cx="11557342" cy="392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algn="l"/>
              <a:r>
                <a:rPr lang="es-CO" sz="20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𝑽_𝒕</a:t>
              </a:r>
              <a:r>
                <a:rPr lang="es-CO" sz="2000" b="1" i="1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2000" b="1" i="1" baseline="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2000" b="1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𝑽_█(𝟎  @ ) [█(𝟏−𝜸_𝑹𝒔 ) (𝒕_𝟎𝑹𝑺  − 𝒕_𝒓𝒔 )+𝜷(𝒕_𝒔𝒄𝒎−𝒕_𝑹𝑺  )+𝜸_𝑺𝑪𝑴  ( 𝒕−𝒕_𝑺𝑪𝑴 )]   +𝜹𝑽_𝒎𝒆𝒏+ 𝜹𝑽_𝒓𝒆𝒑+𝜹𝑽_𝒂𝒅𝒅  ]</a:t>
              </a:r>
              <a:endParaRPr lang="es-CO" sz="20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67072</xdr:colOff>
      <xdr:row>62</xdr:row>
      <xdr:rowOff>68035</xdr:rowOff>
    </xdr:from>
    <xdr:ext cx="4294416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6153547" y="21813610"/>
              <a:ext cx="4294416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𝟏𝟏𝟕𝟔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sSup>
                          <m:sSup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e>
                          <m:sup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𝟏𝟓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𝟖𝟒𝟔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𝟔𝟐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𝟔𝟕𝟕</m:t>
                        </m:r>
                      </m:e>
                    </m:d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sSup>
                      <m:sSup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𝟏𝟎</m:t>
                        </m:r>
                      </m:e>
                      <m:sup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𝟔</m:t>
                        </m:r>
                      </m:sup>
                    </m:sSup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/°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</m:oMath>
                </m:oMathPara>
              </a14:m>
              <a:endParaRPr lang="es-CO" sz="1400">
                <a:effectLst/>
              </a:endParaRP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6153547" y="21813610"/>
              <a:ext cx="4294416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𝜷=(−𝟎,𝟏𝟏𝟕𝟔∗𝒕^𝟐+𝟏𝟓,𝟖𝟒𝟔∗𝒕−𝟔𝟐,𝟔𝟕𝟕)∗〖𝟏𝟎〗^(−𝟔)/°𝑪</a:t>
              </a:r>
              <a:endParaRPr lang="es-CO" sz="1400">
                <a:effectLst/>
              </a:endParaRPr>
            </a:p>
          </xdr:txBody>
        </xdr:sp>
      </mc:Fallback>
    </mc:AlternateContent>
    <xdr:clientData/>
  </xdr:oneCellAnchor>
  <xdr:oneCellAnchor>
    <xdr:from>
      <xdr:col>6</xdr:col>
      <xdr:colOff>327945</xdr:colOff>
      <xdr:row>62</xdr:row>
      <xdr:rowOff>372275</xdr:rowOff>
    </xdr:from>
    <xdr:ext cx="1232796" cy="391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6414420" y="22117850"/>
              <a:ext cx="1232796" cy="391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𝒕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𝑹𝑺</m:t>
                            </m:r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sub>
                        </m:sSub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sSub>
                          <m:sSub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e>
                          <m:sub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𝑺𝑪𝑴</m:t>
                            </m:r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sub>
                        </m:sSub>
                      </m:num>
                      <m:den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s-CO" sz="11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6414420" y="22117850"/>
              <a:ext cx="1232796" cy="391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𝒕=(𝒕_(𝑹𝑺 )+ 𝒕_(𝑺𝑪𝑴 ))/𝟐</a:t>
              </a:r>
              <a:endParaRPr lang="es-CO" sz="11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322117</xdr:colOff>
      <xdr:row>67</xdr:row>
      <xdr:rowOff>15585</xdr:rowOff>
    </xdr:from>
    <xdr:ext cx="4533485" cy="366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/>
            <xdr:cNvSpPr txBox="1"/>
          </xdr:nvSpPr>
          <xdr:spPr>
            <a:xfrm>
              <a:off x="4579792" y="233423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𝑽𝒕</m:t>
                        </m:r>
                      </m:num>
                      <m:den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𝝏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den>
                    </m:f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=[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𝑹𝑺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𝑹𝑺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𝜷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𝑺𝑪𝑴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𝒕𝑹𝑺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𝜸</m:t>
                    </m:r>
                    <m:r>
                      <a:rPr lang="es-CO" sz="1100" b="1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𝑺𝑪𝑴</m:t>
                    </m:r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𝒕𝑺𝑪𝑴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4579792" y="23342310"/>
              <a:ext cx="4533485" cy="366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𝝏𝑽𝒕/𝝏𝑽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=[𝟏−𝜸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𝟎𝑹𝑺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−𝒕𝑹𝑺)+𝜷∗(𝒕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−𝒕𝑹𝑺)+𝜸</a:t>
              </a:r>
              <a:r>
                <a:rPr lang="es-CO" sz="1100" b="1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𝑺𝑪𝑴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∗(𝒕−𝒕𝑺𝑪𝑴)]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232682</xdr:colOff>
      <xdr:row>113</xdr:row>
      <xdr:rowOff>79080</xdr:rowOff>
    </xdr:from>
    <xdr:ext cx="570140" cy="2338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3575957" y="377218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3575957" y="37721880"/>
              <a:ext cx="570140" cy="233883"/>
            </a:xfrm>
            <a:prstGeom prst="rect">
              <a:avLst/>
            </a:prstGeom>
            <a:solidFill>
              <a:srgbClr val="9BC2E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228599</xdr:colOff>
      <xdr:row>114</xdr:row>
      <xdr:rowOff>75320</xdr:rowOff>
    </xdr:from>
    <xdr:ext cx="583746" cy="2580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3571874" y="380991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𝑢</m:t>
                        </m:r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𝑚𝑒𝑛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3571874" y="38099120"/>
              <a:ext cx="583746" cy="2580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𝑢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𝑚𝑒𝑛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367392</xdr:colOff>
      <xdr:row>115</xdr:row>
      <xdr:rowOff>78440</xdr:rowOff>
    </xdr:from>
    <xdr:ext cx="427425" cy="2617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3710667" y="384832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𝑟𝑒𝑝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3710667" y="38483240"/>
              <a:ext cx="427425" cy="2617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𝑟𝑒𝑝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3</xdr:col>
      <xdr:colOff>379399</xdr:colOff>
      <xdr:row>116</xdr:row>
      <xdr:rowOff>68037</xdr:rowOff>
    </xdr:from>
    <xdr:ext cx="464243" cy="300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/>
            <xdr:cNvSpPr txBox="1"/>
          </xdr:nvSpPr>
          <xdr:spPr>
            <a:xfrm>
              <a:off x="3722674" y="388538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𝑎𝑑𝑑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3722674" y="38853837"/>
              <a:ext cx="464243" cy="300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</a:t>
              </a:r>
              <a:r>
                <a:rPr lang="es-CO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𝛿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𝑉〗_</a:t>
              </a:r>
              <a:r>
                <a:rPr lang="es-CO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𝑎𝑑𝑑</a:t>
              </a:r>
              <a:endParaRPr lang="es-CO" sz="12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218001</xdr:colOff>
      <xdr:row>82</xdr:row>
      <xdr:rowOff>35859</xdr:rowOff>
    </xdr:from>
    <xdr:ext cx="1115500" cy="395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6304476" y="268106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𝑽𝒕</m:t>
                        </m:r>
                      </m:num>
                      <m:den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𝝏𝜹</m:t>
                        </m:r>
                        <m:r>
                          <a:rPr lang="es-CO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𝑽𝒓𝒆𝒔</m:t>
                        </m:r>
                      </m:den>
                    </m:f>
                    <m:r>
                      <a:rPr lang="es-CO" sz="12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es-CO" sz="1200" b="1" i="1">
                        <a:latin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6304476" y="26810634"/>
              <a:ext cx="1115500" cy="395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𝝏𝑽𝒕/𝝏𝜹𝑽𝒓𝒆𝒔</a:t>
              </a:r>
              <a:r>
                <a:rPr lang="es-CO" sz="1200" b="1" i="0">
                  <a:latin typeface="Cambria Math" panose="02040503050406030204" pitchFamily="18" charset="0"/>
                </a:rPr>
                <a:t>= 𝟏</a:t>
              </a:r>
              <a:endParaRPr lang="es-CO" sz="1200" b="1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11</xdr:col>
      <xdr:colOff>169689</xdr:colOff>
      <xdr:row>117</xdr:row>
      <xdr:rowOff>1802</xdr:rowOff>
    </xdr:from>
    <xdr:ext cx="1344704" cy="4930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11218689" y="39168602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𝒖</m:t>
                            </m:r>
                          </m:e>
                          <m:sup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sub>
                        </m:sSub>
                        <m:r>
                          <a:rPr lang="es-CO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nary>
                          <m:naryPr>
                            <m:chr m:val="∑"/>
                            <m:supHide m:val="on"/>
                            <m:ctrl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7"/>
                              </m:rPr>
                              <a:rPr lang="es-CO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𝒊</m:t>
                            </m:r>
                          </m:sub>
                          <m:sup/>
                          <m:e>
                            <m:d>
                              <m:dPr>
                                <m:ctrlP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𝑽𝒕</m:t>
                                    </m:r>
                                  </m:num>
                                  <m:den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𝝏</m:t>
                                    </m:r>
                                    <m:r>
                                      <a:rPr lang="es-CO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𝒙𝒊</m:t>
                                    </m:r>
                                  </m:den>
                                </m:f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𝒙𝒊</m:t>
                                </m:r>
                                <m:r>
                                  <a:rPr lang="es-CO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e>
                        </m:nary>
                      </m:e>
                      <m:sup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11218689" y="39168602"/>
              <a:ext cx="1344704" cy="4930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〖</a:t>
              </a:r>
              <a:r>
                <a:rPr lang="es-CO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(𝑽_𝒕)∑_𝒊▒(𝝏𝑽𝒕/𝝏𝒙𝒊(𝒙𝒊)) 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1" i="0">
                  <a:latin typeface="Cambria Math" panose="02040503050406030204" pitchFamily="18" charset="0"/>
                </a:rPr>
                <a:t>𝟐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54</xdr:row>
      <xdr:rowOff>290512</xdr:rowOff>
    </xdr:from>
    <xdr:ext cx="65" cy="172227"/>
    <xdr:sp macro="" textlink="">
      <xdr:nvSpPr>
        <xdr:cNvPr id="32" name="CuadroTexto 31"/>
        <xdr:cNvSpPr txBox="1"/>
      </xdr:nvSpPr>
      <xdr:spPr>
        <a:xfrm>
          <a:off x="16497300" y="18988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16</xdr:col>
      <xdr:colOff>628650</xdr:colOff>
      <xdr:row>126</xdr:row>
      <xdr:rowOff>0</xdr:rowOff>
    </xdr:from>
    <xdr:ext cx="65" cy="172227"/>
    <xdr:sp macro="" textlink="">
      <xdr:nvSpPr>
        <xdr:cNvPr id="33" name="CuadroTexto 32"/>
        <xdr:cNvSpPr txBox="1"/>
      </xdr:nvSpPr>
      <xdr:spPr>
        <a:xfrm>
          <a:off x="16497300" y="42071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</xdr:col>
      <xdr:colOff>649387</xdr:colOff>
      <xdr:row>90</xdr:row>
      <xdr:rowOff>233584</xdr:rowOff>
    </xdr:from>
    <xdr:ext cx="286492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/>
            <xdr:cNvSpPr txBox="1"/>
          </xdr:nvSpPr>
          <xdr:spPr>
            <a:xfrm>
              <a:off x="2821087" y="287609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s-CO" sz="1200" b="0" i="1">
                            <a:latin typeface="Cambria Math" panose="02040503050406030204" pitchFamily="18" charset="0"/>
                          </a:rPr>
                          <m:t>𝑜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4" name="CuadroTexto 33"/>
            <xdr:cNvSpPr txBox="1"/>
          </xdr:nvSpPr>
          <xdr:spPr>
            <a:xfrm>
              <a:off x="2821087" y="28760959"/>
              <a:ext cx="286492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200" b="0" i="0">
                  <a:latin typeface="Cambria Math" panose="02040503050406030204" pitchFamily="18" charset="0"/>
                </a:rPr>
                <a:t>𝑉_𝑜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783977</xdr:colOff>
      <xdr:row>95</xdr:row>
      <xdr:rowOff>231239</xdr:rowOff>
    </xdr:from>
    <xdr:ext cx="322118" cy="3004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/>
            <xdr:cNvSpPr txBox="1"/>
          </xdr:nvSpPr>
          <xdr:spPr>
            <a:xfrm>
              <a:off x="1936502" y="30435014"/>
              <a:ext cx="322118" cy="3004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</a:rPr>
                          <m:t>𝑻</m:t>
                        </m:r>
                      </m:e>
                      <m:sub>
                        <m:r>
                          <a:rPr lang="es-CO" sz="1200" b="1" i="1">
                            <a:latin typeface="Cambria Math" panose="02040503050406030204" pitchFamily="18" charset="0"/>
                          </a:rPr>
                          <m:t>𝑹𝑽𝑷</m:t>
                        </m:r>
                      </m:sub>
                    </m:sSub>
                  </m:oMath>
                </m:oMathPara>
              </a14:m>
              <a:endParaRPr lang="es-CO" sz="1200" b="1"/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936502" y="30435014"/>
              <a:ext cx="322118" cy="3004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</a:rPr>
                <a:t>𝑻_𝑹𝑽𝑷</a:t>
              </a:r>
              <a:endParaRPr lang="es-CO" sz="1200" b="1"/>
            </a:p>
          </xdr:txBody>
        </xdr:sp>
      </mc:Fallback>
    </mc:AlternateContent>
    <xdr:clientData/>
  </xdr:oneCellAnchor>
  <xdr:oneCellAnchor>
    <xdr:from>
      <xdr:col>1</xdr:col>
      <xdr:colOff>771967</xdr:colOff>
      <xdr:row>100</xdr:row>
      <xdr:rowOff>205037</xdr:rowOff>
    </xdr:from>
    <xdr:ext cx="322118" cy="3004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1924492" y="32409062"/>
              <a:ext cx="322118" cy="3004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200" b="1" i="1">
                            <a:latin typeface="Cambria Math" panose="02040503050406030204" pitchFamily="18" charset="0"/>
                          </a:rPr>
                          <m:t>𝑻</m:t>
                        </m:r>
                      </m:e>
                      <m:sub>
                        <m:r>
                          <a:rPr lang="es-CO" sz="1200" b="1" i="1">
                            <a:latin typeface="Cambria Math" panose="02040503050406030204" pitchFamily="18" charset="0"/>
                          </a:rPr>
                          <m:t>𝑹𝑽𝑪</m:t>
                        </m:r>
                      </m:sub>
                    </m:sSub>
                  </m:oMath>
                </m:oMathPara>
              </a14:m>
              <a:endParaRPr lang="es-CO" sz="1200" b="1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1924492" y="32409062"/>
              <a:ext cx="322118" cy="3004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200" b="1" i="0">
                  <a:latin typeface="Cambria Math" panose="02040503050406030204" pitchFamily="18" charset="0"/>
                </a:rPr>
                <a:t>𝑻_𝑹𝑽𝑪</a:t>
              </a:r>
              <a:endParaRPr lang="es-CO" sz="1200" b="1"/>
            </a:p>
          </xdr:txBody>
        </xdr:sp>
      </mc:Fallback>
    </mc:AlternateContent>
    <xdr:clientData/>
  </xdr:oneCellAnchor>
  <xdr:oneCellAnchor>
    <xdr:from>
      <xdr:col>16</xdr:col>
      <xdr:colOff>628650</xdr:colOff>
      <xdr:row>126</xdr:row>
      <xdr:rowOff>0</xdr:rowOff>
    </xdr:from>
    <xdr:ext cx="65" cy="172227"/>
    <xdr:sp macro="" textlink="">
      <xdr:nvSpPr>
        <xdr:cNvPr id="37" name="CuadroTexto 36"/>
        <xdr:cNvSpPr txBox="1"/>
      </xdr:nvSpPr>
      <xdr:spPr>
        <a:xfrm>
          <a:off x="16497300" y="42071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5</xdr:colOff>
      <xdr:row>21</xdr:row>
      <xdr:rowOff>17316</xdr:rowOff>
    </xdr:from>
    <xdr:to>
      <xdr:col>18</xdr:col>
      <xdr:colOff>34641</xdr:colOff>
      <xdr:row>127</xdr:row>
      <xdr:rowOff>69273</xdr:rowOff>
    </xdr:to>
    <xdr:sp macro="" textlink="">
      <xdr:nvSpPr>
        <xdr:cNvPr id="40" name="Rectángulo 39"/>
        <xdr:cNvSpPr/>
      </xdr:nvSpPr>
      <xdr:spPr>
        <a:xfrm>
          <a:off x="5" y="8208816"/>
          <a:ext cx="17723922" cy="35484957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64</xdr:row>
      <xdr:rowOff>66675</xdr:rowOff>
    </xdr:from>
    <xdr:to>
      <xdr:col>9</xdr:col>
      <xdr:colOff>64135</xdr:colOff>
      <xdr:row>67</xdr:row>
      <xdr:rowOff>28575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6907" t="24203" r="3198" b="66560"/>
        <a:stretch/>
      </xdr:blipFill>
      <xdr:spPr bwMode="auto">
        <a:xfrm>
          <a:off x="161925" y="11477625"/>
          <a:ext cx="5798185" cy="5334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400049</xdr:colOff>
      <xdr:row>72</xdr:row>
      <xdr:rowOff>47625</xdr:rowOff>
    </xdr:from>
    <xdr:to>
      <xdr:col>1</xdr:col>
      <xdr:colOff>604156</xdr:colOff>
      <xdr:row>72</xdr:row>
      <xdr:rowOff>285750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3" t="26282" r="84860" b="67474"/>
        <a:stretch>
          <a:fillRect/>
        </a:stretch>
      </xdr:blipFill>
      <xdr:spPr bwMode="auto">
        <a:xfrm>
          <a:off x="752474" y="12734925"/>
          <a:ext cx="204107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390525</xdr:colOff>
      <xdr:row>74</xdr:row>
      <xdr:rowOff>28575</xdr:rowOff>
    </xdr:from>
    <xdr:to>
      <xdr:col>1</xdr:col>
      <xdr:colOff>716280</xdr:colOff>
      <xdr:row>75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80" t="27724" r="76804" b="66879"/>
        <a:stretch>
          <a:fillRect/>
        </a:stretch>
      </xdr:blipFill>
      <xdr:spPr bwMode="auto">
        <a:xfrm>
          <a:off x="742950" y="13220700"/>
          <a:ext cx="325755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76</xdr:row>
      <xdr:rowOff>19051</xdr:rowOff>
    </xdr:from>
    <xdr:to>
      <xdr:col>1</xdr:col>
      <xdr:colOff>706755</xdr:colOff>
      <xdr:row>76</xdr:row>
      <xdr:rowOff>333375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89" t="26923" r="72009" b="67484"/>
        <a:stretch>
          <a:fillRect/>
        </a:stretch>
      </xdr:blipFill>
      <xdr:spPr bwMode="auto">
        <a:xfrm>
          <a:off x="733425" y="13582651"/>
          <a:ext cx="325755" cy="3143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390524</xdr:colOff>
      <xdr:row>78</xdr:row>
      <xdr:rowOff>0</xdr:rowOff>
    </xdr:from>
    <xdr:to>
      <xdr:col>1</xdr:col>
      <xdr:colOff>704849</xdr:colOff>
      <xdr:row>79</xdr:row>
      <xdr:rowOff>19050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/>
        <a:srcRect l="30917" t="27092" r="66112" b="66954"/>
        <a:stretch/>
      </xdr:blipFill>
      <xdr:spPr bwMode="auto">
        <a:xfrm>
          <a:off x="742949" y="14106525"/>
          <a:ext cx="314325" cy="266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400050</xdr:colOff>
      <xdr:row>79</xdr:row>
      <xdr:rowOff>150935</xdr:rowOff>
    </xdr:from>
    <xdr:to>
      <xdr:col>1</xdr:col>
      <xdr:colOff>590550</xdr:colOff>
      <xdr:row>81</xdr:row>
      <xdr:rowOff>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97" t="26598" r="60135" b="68105"/>
        <a:stretch>
          <a:fillRect/>
        </a:stretch>
      </xdr:blipFill>
      <xdr:spPr bwMode="auto">
        <a:xfrm>
          <a:off x="752475" y="14476535"/>
          <a:ext cx="190500" cy="249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390526</xdr:colOff>
      <xdr:row>81</xdr:row>
      <xdr:rowOff>123825</xdr:rowOff>
    </xdr:from>
    <xdr:to>
      <xdr:col>1</xdr:col>
      <xdr:colOff>800100</xdr:colOff>
      <xdr:row>83</xdr:row>
      <xdr:rowOff>57150</xdr:rowOff>
    </xdr:to>
    <xdr:pic>
      <xdr:nvPicPr>
        <xdr:cNvPr id="8" name="Imagen 7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4791" b="66789"/>
        <a:stretch>
          <a:fillRect/>
        </a:stretch>
      </xdr:blipFill>
      <xdr:spPr bwMode="auto">
        <a:xfrm>
          <a:off x="742951" y="14849475"/>
          <a:ext cx="409574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419101</xdr:colOff>
      <xdr:row>84</xdr:row>
      <xdr:rowOff>76200</xdr:rowOff>
    </xdr:from>
    <xdr:to>
      <xdr:col>1</xdr:col>
      <xdr:colOff>772161</xdr:colOff>
      <xdr:row>85</xdr:row>
      <xdr:rowOff>28575</xdr:rowOff>
    </xdr:to>
    <xdr:pic>
      <xdr:nvPicPr>
        <xdr:cNvPr id="9" name="Imagen 8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910" t="28040" r="39955" b="67065"/>
        <a:stretch>
          <a:fillRect/>
        </a:stretch>
      </xdr:blipFill>
      <xdr:spPr bwMode="auto">
        <a:xfrm>
          <a:off x="771526" y="15297150"/>
          <a:ext cx="35306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438151</xdr:colOff>
      <xdr:row>86</xdr:row>
      <xdr:rowOff>0</xdr:rowOff>
    </xdr:from>
    <xdr:to>
      <xdr:col>1</xdr:col>
      <xdr:colOff>609601</xdr:colOff>
      <xdr:row>86</xdr:row>
      <xdr:rowOff>190499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0" t="26944" r="58366" b="68909"/>
        <a:stretch>
          <a:fillRect/>
        </a:stretch>
      </xdr:blipFill>
      <xdr:spPr bwMode="auto">
        <a:xfrm>
          <a:off x="790576" y="15592425"/>
          <a:ext cx="171450" cy="190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361950</xdr:colOff>
      <xdr:row>70</xdr:row>
      <xdr:rowOff>9526</xdr:rowOff>
    </xdr:from>
    <xdr:to>
      <xdr:col>1</xdr:col>
      <xdr:colOff>666750</xdr:colOff>
      <xdr:row>71</xdr:row>
      <xdr:rowOff>1</xdr:rowOff>
    </xdr:to>
    <xdr:pic>
      <xdr:nvPicPr>
        <xdr:cNvPr id="11" name="Imagen 10"/>
        <xdr:cNvPicPr/>
      </xdr:nvPicPr>
      <xdr:blipFill rotWithShape="1">
        <a:blip xmlns:r="http://schemas.openxmlformats.org/officeDocument/2006/relationships" r:embed="rId1"/>
        <a:srcRect l="6276" t="26472" r="90088" b="67694"/>
        <a:stretch/>
      </xdr:blipFill>
      <xdr:spPr bwMode="auto">
        <a:xfrm>
          <a:off x="714375" y="12315826"/>
          <a:ext cx="304800" cy="2476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400050</xdr:colOff>
      <xdr:row>91</xdr:row>
      <xdr:rowOff>85725</xdr:rowOff>
    </xdr:from>
    <xdr:to>
      <xdr:col>1</xdr:col>
      <xdr:colOff>778509</xdr:colOff>
      <xdr:row>94</xdr:row>
      <xdr:rowOff>28575</xdr:rowOff>
    </xdr:to>
    <xdr:pic>
      <xdr:nvPicPr>
        <xdr:cNvPr id="12" name="Imagen 11"/>
        <xdr:cNvPicPr/>
      </xdr:nvPicPr>
      <xdr:blipFill rotWithShape="1">
        <a:blip xmlns:r="http://schemas.openxmlformats.org/officeDocument/2006/relationships" r:embed="rId1"/>
        <a:srcRect l="90522" t="25661" r="3198" b="67370"/>
        <a:stretch/>
      </xdr:blipFill>
      <xdr:spPr bwMode="auto">
        <a:xfrm>
          <a:off x="752475" y="16640175"/>
          <a:ext cx="378459" cy="4095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400050</xdr:colOff>
      <xdr:row>87</xdr:row>
      <xdr:rowOff>85724</xdr:rowOff>
    </xdr:from>
    <xdr:to>
      <xdr:col>1</xdr:col>
      <xdr:colOff>790575</xdr:colOff>
      <xdr:row>89</xdr:row>
      <xdr:rowOff>38100</xdr:rowOff>
    </xdr:to>
    <xdr:pic>
      <xdr:nvPicPr>
        <xdr:cNvPr id="13" name="Imagen 12"/>
        <xdr:cNvPicPr/>
      </xdr:nvPicPr>
      <xdr:blipFill rotWithShape="1">
        <a:blip xmlns:r="http://schemas.openxmlformats.org/officeDocument/2006/relationships" r:embed="rId1"/>
        <a:srcRect l="73767" t="26471" r="19752" b="66560"/>
        <a:stretch/>
      </xdr:blipFill>
      <xdr:spPr bwMode="auto">
        <a:xfrm>
          <a:off x="752475" y="15925799"/>
          <a:ext cx="390525" cy="3238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390525</xdr:colOff>
      <xdr:row>89</xdr:row>
      <xdr:rowOff>19050</xdr:rowOff>
    </xdr:from>
    <xdr:to>
      <xdr:col>1</xdr:col>
      <xdr:colOff>790575</xdr:colOff>
      <xdr:row>90</xdr:row>
      <xdr:rowOff>228600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1"/>
        <a:srcRect l="82144" t="25661" r="11217" b="67371"/>
        <a:stretch/>
      </xdr:blipFill>
      <xdr:spPr bwMode="auto">
        <a:xfrm>
          <a:off x="742950" y="16230600"/>
          <a:ext cx="400050" cy="304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1019173</xdr:colOff>
      <xdr:row>7</xdr:row>
      <xdr:rowOff>57149</xdr:rowOff>
    </xdr:from>
    <xdr:to>
      <xdr:col>7</xdr:col>
      <xdr:colOff>1023937</xdr:colOff>
      <xdr:row>27</xdr:row>
      <xdr:rowOff>164306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Certificados%20de%20volumen%20Suplementos/LCV-001-16/RVC%20VERDE%20%20PEDRO%20CERTIFICAD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LOS PATRONES"/>
      <sheetName val="DATOS DE ENTRADA"/>
      <sheetName val="PRESUPUESTO u"/>
      <sheetName val="CALIBRACION DE LA ESCALA"/>
      <sheetName val="CERTIFICADO"/>
    </sheetNames>
    <sheetDataSet>
      <sheetData sheetId="0">
        <row r="29">
          <cell r="F29" t="str">
            <v>ACERO INOXIDABLE</v>
          </cell>
        </row>
      </sheetData>
      <sheetData sheetId="1" refreshError="1"/>
      <sheetData sheetId="2">
        <row r="42">
          <cell r="O42" t="str">
            <v>mL</v>
          </cell>
        </row>
      </sheetData>
      <sheetData sheetId="3">
        <row r="45">
          <cell r="O45" t="str">
            <v>in3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</sheetPr>
  <dimension ref="A1:AE127"/>
  <sheetViews>
    <sheetView showGridLines="0" tabSelected="1" view="pageBreakPreview" zoomScale="70" zoomScaleNormal="50" zoomScaleSheetLayoutView="70" workbookViewId="0">
      <selection activeCell="Q12" sqref="Q12"/>
    </sheetView>
  </sheetViews>
  <sheetFormatPr baseColWidth="10" defaultRowHeight="30" customHeight="1" x14ac:dyDescent="0.25"/>
  <cols>
    <col min="1" max="1" width="17.28515625" style="170" customWidth="1"/>
    <col min="2" max="2" width="15.28515625" style="172" customWidth="1"/>
    <col min="3" max="3" width="17.5703125" style="172" customWidth="1"/>
    <col min="4" max="8" width="13.7109375" style="172" customWidth="1"/>
    <col min="9" max="9" width="15.85546875" style="172" customWidth="1"/>
    <col min="10" max="10" width="15" style="172" customWidth="1"/>
    <col min="11" max="11" width="16.140625" style="172" customWidth="1"/>
    <col min="12" max="12" width="15.140625" style="172" customWidth="1"/>
    <col min="13" max="13" width="15.7109375" style="172" customWidth="1"/>
    <col min="14" max="14" width="14" style="172" customWidth="1"/>
    <col min="15" max="16" width="13.7109375" style="172" customWidth="1"/>
    <col min="17" max="18" width="13.7109375" style="170" customWidth="1"/>
    <col min="19" max="16384" width="11.42578125" style="170"/>
  </cols>
  <sheetData>
    <row r="1" spans="1:18" ht="66.75" customHeight="1" thickBot="1" x14ac:dyDescent="0.3">
      <c r="A1" s="167"/>
      <c r="B1" s="168"/>
      <c r="C1" s="169"/>
      <c r="D1" s="252" t="s">
        <v>263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4"/>
    </row>
    <row r="2" spans="1:18" s="174" customFormat="1" ht="5.0999999999999996" customHeight="1" thickBot="1" x14ac:dyDescent="0.3">
      <c r="A2" s="171"/>
      <c r="B2" s="171"/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251" customFormat="1" ht="37.5" customHeight="1" thickBot="1" x14ac:dyDescent="0.3">
      <c r="A3" s="239" t="s">
        <v>67</v>
      </c>
      <c r="B3" s="240"/>
      <c r="C3" s="241"/>
      <c r="D3" s="242"/>
      <c r="E3" s="243" t="s">
        <v>95</v>
      </c>
      <c r="F3" s="244"/>
      <c r="G3" s="245"/>
      <c r="H3" s="243" t="s">
        <v>96</v>
      </c>
      <c r="I3" s="37"/>
      <c r="J3" s="243" t="s">
        <v>97</v>
      </c>
      <c r="K3" s="246"/>
      <c r="L3" s="243" t="s">
        <v>252</v>
      </c>
      <c r="M3" s="38"/>
      <c r="N3" s="247" t="s">
        <v>251</v>
      </c>
      <c r="O3" s="248"/>
      <c r="P3" s="100"/>
      <c r="Q3" s="249"/>
      <c r="R3" s="250"/>
    </row>
    <row r="4" spans="1:18" s="174" customFormat="1" ht="5.0999999999999996" customHeight="1" thickBot="1" x14ac:dyDescent="0.3"/>
    <row r="5" spans="1:18" ht="30" customHeight="1" thickBot="1" x14ac:dyDescent="0.3">
      <c r="A5" s="175" t="s">
        <v>98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7"/>
    </row>
    <row r="6" spans="1:18" ht="54" customHeight="1" x14ac:dyDescent="0.25">
      <c r="A6" s="85" t="s">
        <v>14</v>
      </c>
      <c r="B6" s="86" t="s">
        <v>99</v>
      </c>
      <c r="C6" s="86" t="s">
        <v>100</v>
      </c>
      <c r="D6" s="86" t="s">
        <v>101</v>
      </c>
      <c r="E6" s="86" t="s">
        <v>102</v>
      </c>
      <c r="F6" s="86" t="s">
        <v>101</v>
      </c>
      <c r="G6" s="86" t="s">
        <v>103</v>
      </c>
      <c r="H6" s="86" t="s">
        <v>101</v>
      </c>
      <c r="I6" s="86" t="s">
        <v>104</v>
      </c>
      <c r="J6" s="86" t="s">
        <v>101</v>
      </c>
      <c r="K6" s="87" t="s">
        <v>105</v>
      </c>
      <c r="L6" s="86" t="s">
        <v>101</v>
      </c>
      <c r="M6" s="86" t="s">
        <v>106</v>
      </c>
      <c r="N6" s="86" t="s">
        <v>101</v>
      </c>
      <c r="O6" s="86" t="s">
        <v>107</v>
      </c>
      <c r="P6" s="88" t="s">
        <v>31</v>
      </c>
      <c r="Q6" s="97" t="s">
        <v>108</v>
      </c>
      <c r="R6" s="98"/>
    </row>
    <row r="7" spans="1:18" ht="30" customHeight="1" x14ac:dyDescent="0.25">
      <c r="A7" s="90" t="s">
        <v>1</v>
      </c>
      <c r="B7" s="178"/>
      <c r="C7" s="179"/>
      <c r="D7" s="178"/>
      <c r="E7" s="180"/>
      <c r="F7" s="178"/>
      <c r="G7" s="180"/>
      <c r="H7" s="178"/>
      <c r="I7" s="180"/>
      <c r="J7" s="178"/>
      <c r="K7" s="181">
        <f>(0+I7/2)/SQRT(12)</f>
        <v>0</v>
      </c>
      <c r="L7" s="182" t="s">
        <v>4</v>
      </c>
      <c r="M7" s="183">
        <f t="shared" ref="M7:M17" si="0">SQRT((I7/2)^2+(K7)^2)</f>
        <v>0</v>
      </c>
      <c r="N7" s="182" t="s">
        <v>4</v>
      </c>
      <c r="O7" s="184"/>
      <c r="P7" s="185"/>
      <c r="Q7" s="186"/>
      <c r="R7" s="187"/>
    </row>
    <row r="8" spans="1:18" ht="30" customHeight="1" x14ac:dyDescent="0.25">
      <c r="A8" s="91" t="s">
        <v>109</v>
      </c>
      <c r="B8" s="188"/>
      <c r="C8" s="189"/>
      <c r="D8" s="178"/>
      <c r="E8" s="190"/>
      <c r="F8" s="191"/>
      <c r="G8" s="180"/>
      <c r="H8" s="191"/>
      <c r="I8" s="180"/>
      <c r="J8" s="191"/>
      <c r="K8" s="192">
        <f t="shared" ref="K8:K17" si="1">(I8/2)/SQRT(12)</f>
        <v>0</v>
      </c>
      <c r="L8" s="193" t="s">
        <v>3</v>
      </c>
      <c r="M8" s="183">
        <f t="shared" si="0"/>
        <v>0</v>
      </c>
      <c r="N8" s="193" t="s">
        <v>3</v>
      </c>
      <c r="O8" s="190"/>
      <c r="P8" s="194"/>
      <c r="Q8" s="171"/>
      <c r="R8" s="195"/>
    </row>
    <row r="9" spans="1:18" ht="30" customHeight="1" x14ac:dyDescent="0.25">
      <c r="A9" s="93"/>
      <c r="B9" s="196"/>
      <c r="C9" s="189"/>
      <c r="D9" s="178"/>
      <c r="E9" s="197"/>
      <c r="F9" s="198"/>
      <c r="G9" s="180"/>
      <c r="H9" s="198"/>
      <c r="I9" s="180"/>
      <c r="J9" s="198"/>
      <c r="K9" s="192">
        <f t="shared" si="1"/>
        <v>0</v>
      </c>
      <c r="L9" s="199"/>
      <c r="M9" s="183">
        <f t="shared" si="0"/>
        <v>0</v>
      </c>
      <c r="N9" s="199"/>
      <c r="O9" s="197"/>
      <c r="P9" s="200"/>
      <c r="Q9" s="171"/>
      <c r="R9" s="195"/>
    </row>
    <row r="10" spans="1:18" s="208" customFormat="1" ht="30" customHeight="1" x14ac:dyDescent="0.25">
      <c r="A10" s="99"/>
      <c r="B10" s="201"/>
      <c r="C10" s="202"/>
      <c r="D10" s="203"/>
      <c r="E10" s="204"/>
      <c r="F10" s="205"/>
      <c r="G10" s="180"/>
      <c r="H10" s="205"/>
      <c r="I10" s="180"/>
      <c r="J10" s="205"/>
      <c r="K10" s="192">
        <f t="shared" si="1"/>
        <v>0</v>
      </c>
      <c r="L10" s="206"/>
      <c r="M10" s="183">
        <f t="shared" si="0"/>
        <v>0</v>
      </c>
      <c r="N10" s="206"/>
      <c r="O10" s="204"/>
      <c r="P10" s="207"/>
      <c r="Q10" s="171"/>
      <c r="R10" s="195"/>
    </row>
    <row r="11" spans="1:18" s="208" customFormat="1" ht="30" customHeight="1" x14ac:dyDescent="0.25">
      <c r="A11" s="91" t="s">
        <v>110</v>
      </c>
      <c r="B11" s="188"/>
      <c r="C11" s="189"/>
      <c r="D11" s="209"/>
      <c r="E11" s="190"/>
      <c r="F11" s="191"/>
      <c r="G11" s="180"/>
      <c r="H11" s="191"/>
      <c r="I11" s="180"/>
      <c r="J11" s="191"/>
      <c r="K11" s="192">
        <f t="shared" si="1"/>
        <v>0</v>
      </c>
      <c r="L11" s="193" t="s">
        <v>3</v>
      </c>
      <c r="M11" s="183">
        <f t="shared" si="0"/>
        <v>0</v>
      </c>
      <c r="N11" s="193" t="s">
        <v>3</v>
      </c>
      <c r="O11" s="190"/>
      <c r="P11" s="194"/>
      <c r="Q11" s="171"/>
      <c r="R11" s="195"/>
    </row>
    <row r="12" spans="1:18" s="208" customFormat="1" ht="30" customHeight="1" x14ac:dyDescent="0.25">
      <c r="A12" s="93"/>
      <c r="B12" s="196"/>
      <c r="C12" s="189"/>
      <c r="D12" s="178"/>
      <c r="E12" s="197"/>
      <c r="F12" s="198"/>
      <c r="G12" s="180"/>
      <c r="H12" s="198"/>
      <c r="I12" s="180"/>
      <c r="J12" s="198"/>
      <c r="K12" s="192">
        <f t="shared" si="1"/>
        <v>0</v>
      </c>
      <c r="L12" s="199"/>
      <c r="M12" s="183">
        <f t="shared" si="0"/>
        <v>0</v>
      </c>
      <c r="N12" s="199"/>
      <c r="O12" s="197"/>
      <c r="P12" s="200"/>
      <c r="Q12" s="171"/>
      <c r="R12" s="195"/>
    </row>
    <row r="13" spans="1:18" s="208" customFormat="1" ht="30" customHeight="1" x14ac:dyDescent="0.25">
      <c r="A13" s="92"/>
      <c r="B13" s="201"/>
      <c r="C13" s="202"/>
      <c r="D13" s="178"/>
      <c r="E13" s="204"/>
      <c r="F13" s="205"/>
      <c r="G13" s="180"/>
      <c r="H13" s="205"/>
      <c r="I13" s="180"/>
      <c r="J13" s="205"/>
      <c r="K13" s="192">
        <f t="shared" si="1"/>
        <v>0</v>
      </c>
      <c r="L13" s="206"/>
      <c r="M13" s="183">
        <f t="shared" si="0"/>
        <v>0</v>
      </c>
      <c r="N13" s="206"/>
      <c r="O13" s="204"/>
      <c r="P13" s="207"/>
      <c r="Q13" s="171"/>
      <c r="R13" s="195"/>
    </row>
    <row r="14" spans="1:18" s="208" customFormat="1" ht="30" customHeight="1" x14ac:dyDescent="0.25">
      <c r="A14" s="94" t="s">
        <v>248</v>
      </c>
      <c r="B14" s="210"/>
      <c r="C14" s="189"/>
      <c r="D14" s="178"/>
      <c r="E14" s="190"/>
      <c r="F14" s="211"/>
      <c r="G14" s="184"/>
      <c r="H14" s="211"/>
      <c r="I14" s="184"/>
      <c r="J14" s="211"/>
      <c r="K14" s="212">
        <f t="shared" si="1"/>
        <v>0</v>
      </c>
      <c r="L14" s="213" t="s">
        <v>3</v>
      </c>
      <c r="M14" s="214">
        <f t="shared" si="0"/>
        <v>0</v>
      </c>
      <c r="N14" s="213" t="s">
        <v>3</v>
      </c>
      <c r="O14" s="215"/>
      <c r="P14" s="216"/>
      <c r="Q14" s="171"/>
      <c r="R14" s="195"/>
    </row>
    <row r="15" spans="1:18" s="208" customFormat="1" ht="30" customHeight="1" x14ac:dyDescent="0.25">
      <c r="A15" s="95"/>
      <c r="B15" s="210"/>
      <c r="C15" s="189"/>
      <c r="D15" s="217"/>
      <c r="E15" s="197"/>
      <c r="F15" s="217"/>
      <c r="G15" s="184"/>
      <c r="H15" s="217"/>
      <c r="I15" s="184"/>
      <c r="J15" s="217"/>
      <c r="K15" s="212">
        <f t="shared" si="1"/>
        <v>0</v>
      </c>
      <c r="L15" s="218" t="s">
        <v>249</v>
      </c>
      <c r="M15" s="214">
        <f t="shared" si="0"/>
        <v>0</v>
      </c>
      <c r="N15" s="218" t="s">
        <v>249</v>
      </c>
      <c r="O15" s="215"/>
      <c r="P15" s="216"/>
      <c r="Q15" s="171"/>
      <c r="R15" s="195"/>
    </row>
    <row r="16" spans="1:18" s="208" customFormat="1" ht="30" customHeight="1" x14ac:dyDescent="0.25">
      <c r="A16" s="96"/>
      <c r="B16" s="210"/>
      <c r="C16" s="189"/>
      <c r="D16" s="217"/>
      <c r="E16" s="204"/>
      <c r="F16" s="217"/>
      <c r="G16" s="184"/>
      <c r="H16" s="217"/>
      <c r="I16" s="184"/>
      <c r="J16" s="217"/>
      <c r="K16" s="212">
        <f t="shared" si="1"/>
        <v>0</v>
      </c>
      <c r="L16" s="218" t="s">
        <v>16</v>
      </c>
      <c r="M16" s="214">
        <f t="shared" si="0"/>
        <v>0</v>
      </c>
      <c r="N16" s="218" t="s">
        <v>16</v>
      </c>
      <c r="O16" s="215"/>
      <c r="P16" s="216"/>
      <c r="Q16" s="171"/>
      <c r="R16" s="195"/>
    </row>
    <row r="17" spans="1:18" ht="29.25" customHeight="1" x14ac:dyDescent="0.25">
      <c r="A17" s="89" t="s">
        <v>111</v>
      </c>
      <c r="B17" s="219"/>
      <c r="C17" s="220"/>
      <c r="D17" s="217"/>
      <c r="E17" s="184"/>
      <c r="F17" s="217"/>
      <c r="G17" s="184"/>
      <c r="H17" s="217"/>
      <c r="I17" s="184"/>
      <c r="J17" s="217"/>
      <c r="K17" s="212">
        <f t="shared" si="1"/>
        <v>0</v>
      </c>
      <c r="L17" s="221" t="s">
        <v>4</v>
      </c>
      <c r="M17" s="214">
        <f t="shared" si="0"/>
        <v>0</v>
      </c>
      <c r="N17" s="221" t="s">
        <v>4</v>
      </c>
      <c r="O17" s="184"/>
      <c r="P17" s="185"/>
      <c r="Q17" s="171"/>
      <c r="R17" s="195"/>
    </row>
    <row r="18" spans="1:18" s="208" customFormat="1" ht="30" customHeight="1" x14ac:dyDescent="0.25">
      <c r="A18" s="91" t="s">
        <v>112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3"/>
      <c r="L18" s="224"/>
      <c r="M18" s="223"/>
      <c r="N18" s="224"/>
      <c r="O18" s="222"/>
      <c r="P18" s="225"/>
      <c r="Q18" s="226"/>
      <c r="R18" s="180"/>
    </row>
    <row r="19" spans="1:18" s="208" customFormat="1" ht="30" customHeight="1" x14ac:dyDescent="0.25">
      <c r="A19" s="92"/>
      <c r="B19" s="222"/>
      <c r="C19" s="222"/>
      <c r="D19" s="222"/>
      <c r="E19" s="222"/>
      <c r="F19" s="222"/>
      <c r="G19" s="222"/>
      <c r="H19" s="222"/>
      <c r="I19" s="222"/>
      <c r="J19" s="222"/>
      <c r="K19" s="223"/>
      <c r="L19" s="224"/>
      <c r="M19" s="223"/>
      <c r="N19" s="224"/>
      <c r="O19" s="222"/>
      <c r="P19" s="225"/>
      <c r="Q19" s="226"/>
      <c r="R19" s="180"/>
    </row>
    <row r="20" spans="1:18" s="229" customFormat="1" ht="30" customHeight="1" x14ac:dyDescent="0.25">
      <c r="A20" s="90" t="s">
        <v>113</v>
      </c>
      <c r="B20" s="178"/>
      <c r="C20" s="178"/>
      <c r="D20" s="178"/>
      <c r="E20" s="180"/>
      <c r="F20" s="178"/>
      <c r="G20" s="180"/>
      <c r="H20" s="178"/>
      <c r="I20" s="180"/>
      <c r="J20" s="178"/>
      <c r="K20" s="183"/>
      <c r="L20" s="182"/>
      <c r="M20" s="183"/>
      <c r="N20" s="227"/>
      <c r="O20" s="180"/>
      <c r="P20" s="228"/>
      <c r="Q20" s="171"/>
      <c r="R20" s="171"/>
    </row>
    <row r="21" spans="1:18" ht="30" customHeight="1" thickBot="1" x14ac:dyDescent="0.3">
      <c r="A21" s="39" t="s">
        <v>114</v>
      </c>
      <c r="B21" s="230"/>
      <c r="C21" s="231"/>
      <c r="D21" s="231"/>
      <c r="E21" s="232"/>
      <c r="F21" s="231"/>
      <c r="G21" s="232"/>
      <c r="H21" s="231"/>
      <c r="I21" s="232"/>
      <c r="J21" s="231"/>
      <c r="K21" s="233">
        <f t="shared" ref="K21" si="2">(I21/2)/SQRT(12)</f>
        <v>0</v>
      </c>
      <c r="L21" s="234" t="s">
        <v>250</v>
      </c>
      <c r="M21" s="235">
        <f t="shared" ref="M21" si="3">SQRT((I21/2)^2+(K21)^2)</f>
        <v>0</v>
      </c>
      <c r="N21" s="234" t="s">
        <v>250</v>
      </c>
      <c r="O21" s="232"/>
      <c r="P21" s="236"/>
      <c r="Q21" s="171"/>
      <c r="R21" s="171"/>
    </row>
    <row r="22" spans="1:18" s="172" customFormat="1" ht="5.0999999999999996" customHeight="1" thickBot="1" x14ac:dyDescent="0.3">
      <c r="A22" s="237"/>
      <c r="B22" s="238"/>
      <c r="C22" s="238"/>
      <c r="D22" s="238"/>
      <c r="E22" s="171"/>
      <c r="F22" s="238"/>
      <c r="G22" s="171"/>
      <c r="H22" s="238"/>
      <c r="I22" s="171"/>
      <c r="J22" s="171"/>
      <c r="K22" s="171"/>
      <c r="L22" s="171"/>
      <c r="M22" s="171"/>
      <c r="N22" s="171"/>
      <c r="O22" s="171"/>
      <c r="P22" s="171"/>
      <c r="Q22" s="171"/>
      <c r="R22" s="171"/>
    </row>
    <row r="23" spans="1:18" s="261" customFormat="1" ht="30" customHeight="1" thickBot="1" x14ac:dyDescent="0.3">
      <c r="A23" s="255"/>
      <c r="B23" s="256" t="s">
        <v>115</v>
      </c>
      <c r="C23" s="257"/>
      <c r="D23" s="257"/>
      <c r="E23" s="257"/>
      <c r="F23" s="257"/>
      <c r="G23" s="258"/>
      <c r="H23" s="259"/>
      <c r="I23" s="256" t="s">
        <v>116</v>
      </c>
      <c r="J23" s="257"/>
      <c r="K23" s="257"/>
      <c r="L23" s="257"/>
      <c r="M23" s="257"/>
      <c r="N23" s="257"/>
      <c r="O23" s="257"/>
      <c r="P23" s="257"/>
      <c r="Q23" s="258"/>
      <c r="R23" s="260"/>
    </row>
    <row r="24" spans="1:18" s="261" customFormat="1" ht="30" customHeight="1" x14ac:dyDescent="0.25">
      <c r="A24" s="255"/>
      <c r="B24" s="262" t="s">
        <v>117</v>
      </c>
      <c r="C24" s="263"/>
      <c r="D24" s="264" t="s">
        <v>1</v>
      </c>
      <c r="E24" s="265"/>
      <c r="F24" s="264" t="s">
        <v>215</v>
      </c>
      <c r="G24" s="266"/>
      <c r="H24" s="259"/>
      <c r="I24" s="262" t="s">
        <v>101</v>
      </c>
      <c r="J24" s="263" t="s">
        <v>62</v>
      </c>
      <c r="K24" s="263" t="s">
        <v>63</v>
      </c>
      <c r="L24" s="263" t="s">
        <v>264</v>
      </c>
      <c r="M24" s="267" t="s">
        <v>118</v>
      </c>
      <c r="N24" s="268"/>
      <c r="O24" s="269" t="s">
        <v>119</v>
      </c>
      <c r="P24" s="269" t="s">
        <v>120</v>
      </c>
      <c r="Q24" s="270" t="s">
        <v>121</v>
      </c>
    </row>
    <row r="25" spans="1:18" s="261" customFormat="1" ht="30" customHeight="1" x14ac:dyDescent="0.25">
      <c r="A25" s="255"/>
      <c r="B25" s="271" t="s">
        <v>54</v>
      </c>
      <c r="C25" s="272"/>
      <c r="D25" s="273"/>
      <c r="E25" s="273"/>
      <c r="F25" s="273"/>
      <c r="G25" s="274"/>
      <c r="H25" s="268"/>
      <c r="I25" s="275"/>
      <c r="J25" s="276"/>
      <c r="K25" s="276"/>
      <c r="L25" s="276"/>
      <c r="M25" s="277"/>
      <c r="N25" s="268"/>
      <c r="O25" s="278"/>
      <c r="P25" s="278"/>
      <c r="Q25" s="279"/>
      <c r="R25" s="255"/>
    </row>
    <row r="26" spans="1:18" s="261" customFormat="1" ht="30" customHeight="1" x14ac:dyDescent="0.25">
      <c r="A26" s="255"/>
      <c r="B26" s="271" t="s">
        <v>55</v>
      </c>
      <c r="C26" s="272"/>
      <c r="D26" s="273"/>
      <c r="E26" s="273"/>
      <c r="F26" s="280"/>
      <c r="G26" s="274"/>
      <c r="H26" s="268"/>
      <c r="I26" s="281" t="s">
        <v>122</v>
      </c>
      <c r="J26" s="282">
        <v>3.7854109999999999</v>
      </c>
      <c r="K26" s="282">
        <f>(J26/J28)*1000</f>
        <v>3785.4110000000001</v>
      </c>
      <c r="L26" s="282">
        <f>(K26*K29)/K27</f>
        <v>231.00000854332629</v>
      </c>
      <c r="M26" s="282">
        <v>5</v>
      </c>
      <c r="N26" s="283"/>
      <c r="O26" s="284">
        <v>5.0019999999999998</v>
      </c>
      <c r="P26" s="282">
        <f>P29/K26</f>
        <v>0</v>
      </c>
      <c r="Q26" s="285">
        <f>P26-O26</f>
        <v>-5.0019999999999998</v>
      </c>
      <c r="R26" s="255"/>
    </row>
    <row r="27" spans="1:18" s="261" customFormat="1" ht="30" customHeight="1" x14ac:dyDescent="0.25">
      <c r="A27" s="255"/>
      <c r="B27" s="271" t="s">
        <v>60</v>
      </c>
      <c r="C27" s="272"/>
      <c r="D27" s="273"/>
      <c r="E27" s="273"/>
      <c r="F27" s="273"/>
      <c r="G27" s="274"/>
      <c r="H27" s="268"/>
      <c r="I27" s="281" t="s">
        <v>265</v>
      </c>
      <c r="J27" s="282">
        <v>1.6387059999999998E-2</v>
      </c>
      <c r="K27" s="282">
        <f>(J27/J28)*1000</f>
        <v>16.387059999999998</v>
      </c>
      <c r="L27" s="282">
        <v>1</v>
      </c>
      <c r="M27" s="286">
        <f>L26*M26</f>
        <v>1155.0000427166315</v>
      </c>
      <c r="N27" s="268"/>
      <c r="O27" s="282">
        <v>1155.46</v>
      </c>
      <c r="P27" s="282">
        <f>(P29*L27)/K27</f>
        <v>0</v>
      </c>
      <c r="Q27" s="285">
        <f>P27-O27</f>
        <v>-1155.46</v>
      </c>
      <c r="R27" s="255"/>
    </row>
    <row r="28" spans="1:18" s="261" customFormat="1" ht="30" customHeight="1" x14ac:dyDescent="0.25">
      <c r="A28" s="255"/>
      <c r="B28" s="271" t="s">
        <v>29</v>
      </c>
      <c r="C28" s="272"/>
      <c r="D28" s="280"/>
      <c r="E28" s="273"/>
      <c r="F28" s="273"/>
      <c r="G28" s="274"/>
      <c r="H28" s="268"/>
      <c r="I28" s="281" t="s">
        <v>25</v>
      </c>
      <c r="J28" s="282">
        <v>1</v>
      </c>
      <c r="K28" s="282">
        <f>(J28/J28)*1000</f>
        <v>1000</v>
      </c>
      <c r="L28" s="282">
        <f>J27</f>
        <v>1.6387059999999998E-2</v>
      </c>
      <c r="M28" s="287">
        <f>J26*M26</f>
        <v>18.927054999999999</v>
      </c>
      <c r="N28" s="268"/>
      <c r="O28" s="282">
        <v>18.926469999999998</v>
      </c>
      <c r="P28" s="282">
        <f>(P29*J28)/K28</f>
        <v>0</v>
      </c>
      <c r="Q28" s="285">
        <f>P28-O28</f>
        <v>-18.926469999999998</v>
      </c>
      <c r="R28" s="255"/>
    </row>
    <row r="29" spans="1:18" s="261" customFormat="1" ht="30" customHeight="1" x14ac:dyDescent="0.25">
      <c r="A29" s="255"/>
      <c r="B29" s="271" t="s">
        <v>52</v>
      </c>
      <c r="C29" s="272"/>
      <c r="D29" s="273"/>
      <c r="E29" s="273"/>
      <c r="F29" s="273"/>
      <c r="G29" s="274"/>
      <c r="H29" s="268"/>
      <c r="I29" s="281" t="s">
        <v>26</v>
      </c>
      <c r="J29" s="282">
        <v>1E-3</v>
      </c>
      <c r="K29" s="282">
        <f>(J29/J28)*1000</f>
        <v>1</v>
      </c>
      <c r="L29" s="282">
        <f>K27</f>
        <v>16.387059999999998</v>
      </c>
      <c r="M29" s="286" t="s">
        <v>241</v>
      </c>
      <c r="N29" s="268"/>
      <c r="O29" s="286">
        <f>O28*K28</f>
        <v>18926.469999999998</v>
      </c>
      <c r="P29" s="286">
        <f>E62</f>
        <v>0</v>
      </c>
      <c r="Q29" s="285">
        <f>P29-O29</f>
        <v>-18926.469999999998</v>
      </c>
      <c r="R29" s="255"/>
    </row>
    <row r="30" spans="1:18" s="261" customFormat="1" ht="30" customHeight="1" thickBot="1" x14ac:dyDescent="0.3">
      <c r="A30" s="255"/>
      <c r="B30" s="271" t="s">
        <v>53</v>
      </c>
      <c r="C30" s="272"/>
      <c r="D30" s="273"/>
      <c r="E30" s="273"/>
      <c r="F30" s="273"/>
      <c r="G30" s="274"/>
      <c r="H30" s="268"/>
      <c r="I30" s="288" t="s">
        <v>266</v>
      </c>
      <c r="J30" s="289">
        <v>1E-3</v>
      </c>
      <c r="K30" s="289">
        <f>(J30/J28)*1000</f>
        <v>1</v>
      </c>
      <c r="L30" s="289">
        <f>(J27*K30)/J30</f>
        <v>16.387059999999998</v>
      </c>
      <c r="M30" s="289">
        <f>K26*M26</f>
        <v>18927.055</v>
      </c>
      <c r="N30" s="268"/>
      <c r="O30" s="289">
        <f>O29</f>
        <v>18926.469999999998</v>
      </c>
      <c r="P30" s="289">
        <f>P29</f>
        <v>0</v>
      </c>
      <c r="Q30" s="285">
        <f>P30-O30</f>
        <v>-18926.469999999998</v>
      </c>
      <c r="R30" s="255"/>
    </row>
    <row r="31" spans="1:18" s="261" customFormat="1" ht="30" customHeight="1" thickBot="1" x14ac:dyDescent="0.3">
      <c r="A31" s="255"/>
      <c r="B31" s="271" t="s">
        <v>50</v>
      </c>
      <c r="C31" s="272"/>
      <c r="D31" s="273"/>
      <c r="E31" s="273"/>
      <c r="F31" s="273"/>
      <c r="G31" s="274"/>
      <c r="H31" s="268"/>
      <c r="I31" s="255"/>
      <c r="J31" s="255"/>
      <c r="K31" s="255"/>
      <c r="L31" s="255"/>
      <c r="M31" s="255"/>
      <c r="N31" s="255"/>
      <c r="O31" s="255"/>
      <c r="P31" s="255"/>
      <c r="Q31" s="255"/>
      <c r="R31" s="255"/>
    </row>
    <row r="32" spans="1:18" s="261" customFormat="1" ht="30" customHeight="1" thickBot="1" x14ac:dyDescent="0.3">
      <c r="A32" s="255"/>
      <c r="B32" s="271" t="s">
        <v>49</v>
      </c>
      <c r="C32" s="272"/>
      <c r="D32" s="273"/>
      <c r="E32" s="273"/>
      <c r="F32" s="273"/>
      <c r="G32" s="274"/>
      <c r="H32" s="268"/>
      <c r="I32" s="290" t="s">
        <v>123</v>
      </c>
      <c r="J32" s="291"/>
      <c r="K32" s="292"/>
      <c r="L32" s="293"/>
      <c r="M32" s="268"/>
      <c r="N32" s="290" t="s">
        <v>124</v>
      </c>
      <c r="O32" s="291"/>
      <c r="P32" s="292"/>
      <c r="Q32" s="293"/>
      <c r="R32" s="255"/>
    </row>
    <row r="33" spans="1:18" s="261" customFormat="1" ht="30" customHeight="1" x14ac:dyDescent="0.25">
      <c r="A33" s="255"/>
      <c r="B33" s="271" t="s">
        <v>61</v>
      </c>
      <c r="C33" s="272"/>
      <c r="D33" s="273"/>
      <c r="E33" s="273"/>
      <c r="F33" s="273"/>
      <c r="G33" s="274"/>
      <c r="H33" s="268"/>
      <c r="I33" s="268"/>
      <c r="J33" s="268"/>
      <c r="K33" s="268"/>
      <c r="L33" s="268"/>
      <c r="M33" s="268"/>
      <c r="N33" s="268"/>
      <c r="O33" s="268"/>
      <c r="P33" s="268"/>
      <c r="R33" s="255"/>
    </row>
    <row r="34" spans="1:18" s="261" customFormat="1" ht="30" customHeight="1" thickBot="1" x14ac:dyDescent="0.3">
      <c r="A34" s="255"/>
      <c r="B34" s="271" t="s">
        <v>125</v>
      </c>
      <c r="C34" s="272"/>
      <c r="D34" s="294"/>
      <c r="E34" s="273"/>
      <c r="F34" s="273"/>
      <c r="G34" s="274"/>
      <c r="H34" s="255"/>
      <c r="I34" s="295" t="s">
        <v>126</v>
      </c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8" s="261" customFormat="1" ht="30" customHeight="1" thickBot="1" x14ac:dyDescent="0.3">
      <c r="A35" s="255"/>
      <c r="B35" s="271" t="s">
        <v>59</v>
      </c>
      <c r="C35" s="272"/>
      <c r="D35" s="273"/>
      <c r="E35" s="273"/>
      <c r="F35" s="273"/>
      <c r="G35" s="274"/>
      <c r="H35" s="268"/>
      <c r="I35" s="297" t="s">
        <v>127</v>
      </c>
      <c r="J35" s="298"/>
      <c r="K35" s="298"/>
      <c r="L35" s="299"/>
      <c r="M35" s="297" t="s">
        <v>22</v>
      </c>
      <c r="N35" s="298"/>
      <c r="O35" s="298"/>
      <c r="P35" s="299"/>
      <c r="Q35" s="300" t="s">
        <v>23</v>
      </c>
      <c r="R35" s="300" t="s">
        <v>15</v>
      </c>
    </row>
    <row r="36" spans="1:18" s="261" customFormat="1" ht="30" customHeight="1" x14ac:dyDescent="0.25">
      <c r="A36" s="255"/>
      <c r="B36" s="271" t="s">
        <v>128</v>
      </c>
      <c r="C36" s="272"/>
      <c r="D36" s="273"/>
      <c r="E36" s="273"/>
      <c r="F36" s="273"/>
      <c r="G36" s="274"/>
      <c r="H36" s="268"/>
      <c r="I36" s="301" t="s">
        <v>33</v>
      </c>
      <c r="J36" s="302"/>
      <c r="K36" s="303"/>
      <c r="L36" s="304" t="s">
        <v>3</v>
      </c>
      <c r="M36" s="302" t="s">
        <v>33</v>
      </c>
      <c r="N36" s="302"/>
      <c r="O36" s="305"/>
      <c r="P36" s="306" t="s">
        <v>3</v>
      </c>
      <c r="Q36" s="307" t="e">
        <f>AVERAGE(K36,O36)</f>
        <v>#DIV/0!</v>
      </c>
      <c r="R36" s="308" t="e">
        <f>+Q36-G14</f>
        <v>#DIV/0!</v>
      </c>
    </row>
    <row r="37" spans="1:18" s="261" customFormat="1" ht="30" customHeight="1" x14ac:dyDescent="0.25">
      <c r="A37" s="255"/>
      <c r="B37" s="271" t="s">
        <v>51</v>
      </c>
      <c r="C37" s="272"/>
      <c r="D37" s="273"/>
      <c r="E37" s="273"/>
      <c r="F37" s="273"/>
      <c r="G37" s="274"/>
      <c r="H37" s="268"/>
      <c r="I37" s="309" t="s">
        <v>44</v>
      </c>
      <c r="J37" s="310"/>
      <c r="K37" s="311"/>
      <c r="L37" s="312" t="s">
        <v>129</v>
      </c>
      <c r="M37" s="310" t="s">
        <v>44</v>
      </c>
      <c r="N37" s="310"/>
      <c r="O37" s="313"/>
      <c r="P37" s="314" t="s">
        <v>129</v>
      </c>
      <c r="Q37" s="315" t="e">
        <f>AVERAGE(K37,O37)</f>
        <v>#DIV/0!</v>
      </c>
      <c r="R37" s="308" t="e">
        <f t="shared" ref="R37:R38" si="4">+Q37-G15</f>
        <v>#DIV/0!</v>
      </c>
    </row>
    <row r="38" spans="1:18" s="261" customFormat="1" ht="30" customHeight="1" thickBot="1" x14ac:dyDescent="0.3">
      <c r="A38" s="255"/>
      <c r="B38" s="271" t="s">
        <v>130</v>
      </c>
      <c r="C38" s="272"/>
      <c r="D38" s="316"/>
      <c r="E38" s="273"/>
      <c r="F38" s="316"/>
      <c r="G38" s="274"/>
      <c r="H38" s="268"/>
      <c r="I38" s="317" t="s">
        <v>131</v>
      </c>
      <c r="J38" s="318"/>
      <c r="K38" s="319"/>
      <c r="L38" s="320" t="s">
        <v>16</v>
      </c>
      <c r="M38" s="318" t="s">
        <v>131</v>
      </c>
      <c r="N38" s="318"/>
      <c r="O38" s="319"/>
      <c r="P38" s="321" t="s">
        <v>16</v>
      </c>
      <c r="Q38" s="322" t="e">
        <f>AVERAGE(K38,O38)</f>
        <v>#DIV/0!</v>
      </c>
      <c r="R38" s="308" t="e">
        <f t="shared" si="4"/>
        <v>#DIV/0!</v>
      </c>
    </row>
    <row r="39" spans="1:18" s="261" customFormat="1" ht="39" customHeight="1" x14ac:dyDescent="0.25">
      <c r="A39" s="255"/>
      <c r="B39" s="271" t="s">
        <v>132</v>
      </c>
      <c r="C39" s="272"/>
      <c r="D39" s="273"/>
      <c r="E39" s="273"/>
      <c r="F39" s="273"/>
      <c r="G39" s="274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55"/>
    </row>
    <row r="40" spans="1:18" s="261" customFormat="1" ht="30" customHeight="1" x14ac:dyDescent="0.25">
      <c r="A40" s="255"/>
      <c r="B40" s="271" t="s">
        <v>133</v>
      </c>
      <c r="C40" s="272"/>
      <c r="D40" s="323"/>
      <c r="E40" s="273"/>
      <c r="F40" s="324"/>
      <c r="G40" s="274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55"/>
    </row>
    <row r="41" spans="1:18" s="261" customFormat="1" ht="30" customHeight="1" x14ac:dyDescent="0.25">
      <c r="A41" s="255"/>
      <c r="B41" s="325" t="s">
        <v>134</v>
      </c>
      <c r="C41" s="326"/>
      <c r="D41" s="294"/>
      <c r="E41" s="273"/>
      <c r="F41" s="294"/>
      <c r="G41" s="274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55"/>
    </row>
    <row r="42" spans="1:18" s="255" customFormat="1" ht="30" customHeight="1" thickBot="1" x14ac:dyDescent="0.3">
      <c r="B42" s="327" t="s">
        <v>135</v>
      </c>
      <c r="C42" s="328"/>
      <c r="D42" s="329"/>
      <c r="E42" s="330"/>
      <c r="F42" s="329"/>
      <c r="G42" s="331"/>
      <c r="H42" s="268"/>
      <c r="I42" s="268"/>
      <c r="J42" s="268"/>
      <c r="K42" s="268"/>
      <c r="L42" s="268"/>
      <c r="M42" s="268"/>
      <c r="N42" s="332"/>
      <c r="O42" s="332"/>
    </row>
    <row r="43" spans="1:18" s="268" customFormat="1" ht="5.0999999999999996" customHeight="1" thickBot="1" x14ac:dyDescent="0.3">
      <c r="B43" s="332"/>
      <c r="C43" s="333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</row>
    <row r="44" spans="1:18" s="261" customFormat="1" ht="30" customHeight="1" thickBot="1" x14ac:dyDescent="0.3">
      <c r="B44" s="255"/>
      <c r="C44" s="334" t="s">
        <v>212</v>
      </c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6"/>
      <c r="O44" s="268"/>
      <c r="P44" s="268"/>
      <c r="Q44" s="255"/>
      <c r="R44" s="255"/>
    </row>
    <row r="45" spans="1:18" s="261" customFormat="1" ht="30" customHeight="1" x14ac:dyDescent="0.25">
      <c r="A45" s="255"/>
      <c r="B45" s="268"/>
      <c r="C45" s="337" t="s">
        <v>136</v>
      </c>
      <c r="D45" s="338"/>
      <c r="E45" s="338"/>
      <c r="F45" s="338"/>
      <c r="G45" s="339"/>
      <c r="H45" s="268"/>
      <c r="I45" s="337" t="s">
        <v>255</v>
      </c>
      <c r="J45" s="338"/>
      <c r="K45" s="338"/>
      <c r="L45" s="338"/>
      <c r="M45" s="338"/>
      <c r="N45" s="339"/>
      <c r="O45" s="268"/>
      <c r="P45" s="268"/>
      <c r="Q45" s="255"/>
      <c r="R45" s="255"/>
    </row>
    <row r="46" spans="1:18" s="261" customFormat="1" ht="30" customHeight="1" x14ac:dyDescent="0.25">
      <c r="A46" s="255"/>
      <c r="B46" s="268"/>
      <c r="C46" s="281" t="s">
        <v>137</v>
      </c>
      <c r="D46" s="340" t="s">
        <v>138</v>
      </c>
      <c r="E46" s="340" t="s">
        <v>139</v>
      </c>
      <c r="F46" s="340" t="s">
        <v>140</v>
      </c>
      <c r="G46" s="341" t="s">
        <v>141</v>
      </c>
      <c r="H46" s="268"/>
      <c r="I46" s="281" t="s">
        <v>137</v>
      </c>
      <c r="J46" s="340" t="s">
        <v>138</v>
      </c>
      <c r="K46" s="340" t="s">
        <v>139</v>
      </c>
      <c r="L46" s="340" t="s">
        <v>140</v>
      </c>
      <c r="M46" s="340" t="s">
        <v>141</v>
      </c>
      <c r="N46" s="341" t="s">
        <v>142</v>
      </c>
      <c r="O46" s="268"/>
      <c r="P46" s="255"/>
      <c r="Q46" s="255"/>
      <c r="R46" s="255"/>
    </row>
    <row r="47" spans="1:18" s="350" customFormat="1" ht="30" customHeight="1" x14ac:dyDescent="0.25">
      <c r="A47" s="342"/>
      <c r="B47" s="343"/>
      <c r="C47" s="344">
        <v>1</v>
      </c>
      <c r="D47" s="345"/>
      <c r="E47" s="345"/>
      <c r="F47" s="346"/>
      <c r="G47" s="347">
        <f>(E47+F47)/2</f>
        <v>0</v>
      </c>
      <c r="H47" s="343"/>
      <c r="I47" s="344">
        <v>1</v>
      </c>
      <c r="J47" s="345"/>
      <c r="K47" s="345"/>
      <c r="L47" s="346"/>
      <c r="M47" s="348">
        <f>(K47+L47)/2</f>
        <v>0</v>
      </c>
      <c r="N47" s="349"/>
      <c r="O47" s="343"/>
      <c r="P47" s="342"/>
      <c r="Q47" s="342"/>
      <c r="R47" s="342"/>
    </row>
    <row r="48" spans="1:18" s="350" customFormat="1" ht="30" customHeight="1" x14ac:dyDescent="0.25">
      <c r="A48" s="342"/>
      <c r="B48" s="343"/>
      <c r="C48" s="344">
        <v>2</v>
      </c>
      <c r="D48" s="345"/>
      <c r="E48" s="345"/>
      <c r="F48" s="346"/>
      <c r="G48" s="351">
        <f>(E48+F48)/2</f>
        <v>0</v>
      </c>
      <c r="H48" s="343"/>
      <c r="I48" s="344">
        <v>2</v>
      </c>
      <c r="J48" s="345"/>
      <c r="K48" s="345"/>
      <c r="L48" s="346"/>
      <c r="M48" s="348">
        <f>(K48+L48)/2</f>
        <v>0</v>
      </c>
      <c r="N48" s="349"/>
      <c r="O48" s="343"/>
      <c r="P48" s="342"/>
      <c r="Q48" s="342"/>
      <c r="R48" s="342"/>
    </row>
    <row r="49" spans="1:18" s="350" customFormat="1" ht="30" customHeight="1" x14ac:dyDescent="0.25">
      <c r="A49" s="342"/>
      <c r="B49" s="343"/>
      <c r="C49" s="344">
        <v>3</v>
      </c>
      <c r="D49" s="352"/>
      <c r="E49" s="345"/>
      <c r="F49" s="346"/>
      <c r="G49" s="347">
        <f>(E49+F49)/2</f>
        <v>0</v>
      </c>
      <c r="H49" s="343"/>
      <c r="I49" s="344">
        <v>3</v>
      </c>
      <c r="J49" s="345"/>
      <c r="K49" s="345"/>
      <c r="L49" s="346"/>
      <c r="M49" s="348">
        <f>(K49+L49)/2</f>
        <v>0</v>
      </c>
      <c r="N49" s="349"/>
      <c r="O49" s="343"/>
      <c r="P49" s="342"/>
      <c r="Q49" s="342"/>
      <c r="R49" s="342"/>
    </row>
    <row r="50" spans="1:18" s="350" customFormat="1" ht="30" customHeight="1" thickBot="1" x14ac:dyDescent="0.3">
      <c r="A50" s="342"/>
      <c r="B50" s="343"/>
      <c r="C50" s="353">
        <v>4</v>
      </c>
      <c r="D50" s="352"/>
      <c r="E50" s="345"/>
      <c r="F50" s="346"/>
      <c r="G50" s="354">
        <f>(E50+F50)/2</f>
        <v>0</v>
      </c>
      <c r="H50" s="343"/>
      <c r="I50" s="344">
        <v>4</v>
      </c>
      <c r="J50" s="345"/>
      <c r="K50" s="345"/>
      <c r="L50" s="346"/>
      <c r="M50" s="355">
        <f>(K50+L50)/2</f>
        <v>0</v>
      </c>
      <c r="N50" s="349"/>
      <c r="O50" s="343"/>
      <c r="P50" s="342"/>
      <c r="Q50" s="342"/>
      <c r="R50" s="342"/>
    </row>
    <row r="51" spans="1:18" s="350" customFormat="1" ht="30" customHeight="1" thickBot="1" x14ac:dyDescent="0.3">
      <c r="A51" s="342"/>
      <c r="B51" s="356" t="s">
        <v>143</v>
      </c>
      <c r="C51" s="357">
        <v>5</v>
      </c>
      <c r="D51" s="345"/>
      <c r="E51" s="358"/>
      <c r="F51" s="359"/>
      <c r="G51" s="360">
        <f>(E51+F51)/2</f>
        <v>0</v>
      </c>
      <c r="H51" s="343"/>
      <c r="I51" s="353">
        <v>5</v>
      </c>
      <c r="J51" s="345"/>
      <c r="K51" s="358"/>
      <c r="L51" s="359"/>
      <c r="M51" s="355">
        <f>(K51+L51)/2</f>
        <v>0</v>
      </c>
      <c r="N51" s="361"/>
      <c r="O51" s="343"/>
      <c r="P51" s="342"/>
      <c r="Q51" s="342"/>
      <c r="R51" s="342"/>
    </row>
    <row r="52" spans="1:18" s="261" customFormat="1" ht="30" customHeight="1" thickBot="1" x14ac:dyDescent="0.3">
      <c r="A52" s="255"/>
      <c r="B52" s="268"/>
      <c r="C52" s="362" t="s">
        <v>2</v>
      </c>
      <c r="D52" s="363" t="e">
        <f>AVERAGE(D47:D51)</f>
        <v>#DIV/0!</v>
      </c>
      <c r="E52" s="364" t="s">
        <v>144</v>
      </c>
      <c r="F52" s="365"/>
      <c r="G52" s="366" t="e">
        <f>D52-G9</f>
        <v>#DIV/0!</v>
      </c>
      <c r="H52" s="268"/>
      <c r="I52" s="288" t="s">
        <v>2</v>
      </c>
      <c r="J52" s="363" t="e">
        <f>AVERAGE(J47:J51)</f>
        <v>#DIV/0!</v>
      </c>
      <c r="K52" s="364" t="s">
        <v>144</v>
      </c>
      <c r="L52" s="367"/>
      <c r="M52" s="363" t="e">
        <f>J52-G12</f>
        <v>#DIV/0!</v>
      </c>
      <c r="N52" s="368" t="e">
        <f>AVERAGE(N47:N51)</f>
        <v>#DIV/0!</v>
      </c>
      <c r="O52" s="268"/>
      <c r="P52" s="268"/>
      <c r="Q52" s="255"/>
      <c r="R52" s="255"/>
    </row>
    <row r="53" spans="1:18" s="268" customFormat="1" ht="5.0999999999999996" customHeight="1" thickBot="1" x14ac:dyDescent="0.3"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</row>
    <row r="54" spans="1:18" s="261" customFormat="1" ht="30" customHeight="1" x14ac:dyDescent="0.25">
      <c r="A54" s="255"/>
      <c r="B54" s="370" t="s">
        <v>213</v>
      </c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2"/>
      <c r="P54" s="255"/>
      <c r="Q54" s="255"/>
    </row>
    <row r="55" spans="1:18" s="261" customFormat="1" ht="30" customHeight="1" thickBot="1" x14ac:dyDescent="0.3">
      <c r="A55" s="255"/>
      <c r="B55" s="295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373"/>
      <c r="P55" s="255"/>
      <c r="Q55" s="255"/>
      <c r="R55" s="255"/>
    </row>
    <row r="56" spans="1:18" s="261" customFormat="1" ht="30" customHeight="1" thickBot="1" x14ac:dyDescent="0.3">
      <c r="A56" s="255"/>
      <c r="B56" s="374" t="s">
        <v>137</v>
      </c>
      <c r="C56" s="375"/>
      <c r="D56" s="376" t="s">
        <v>267</v>
      </c>
      <c r="E56" s="377" t="s">
        <v>268</v>
      </c>
      <c r="F56" s="255"/>
      <c r="G56" s="378"/>
      <c r="H56" s="379"/>
      <c r="I56" s="380"/>
      <c r="J56" s="268"/>
      <c r="K56" s="255"/>
      <c r="L56" s="255"/>
      <c r="M56" s="268"/>
      <c r="N56" s="268"/>
      <c r="P56" s="268"/>
      <c r="Q56" s="255"/>
      <c r="R56" s="255"/>
    </row>
    <row r="57" spans="1:18" s="261" customFormat="1" ht="30" customHeight="1" x14ac:dyDescent="0.25">
      <c r="A57" s="255"/>
      <c r="B57" s="381">
        <v>1</v>
      </c>
      <c r="C57" s="278"/>
      <c r="D57" s="286">
        <f>$C$7*((1-$D$39*($D$34-D47))+($H$62)*(J47-D47)+$F$39*($D$34-J47))</f>
        <v>0</v>
      </c>
      <c r="E57" s="382">
        <f>D57+N47</f>
        <v>0</v>
      </c>
      <c r="F57" s="255"/>
      <c r="G57" s="281">
        <v>1</v>
      </c>
      <c r="H57" s="383">
        <f>(-0.1176*((D47+J47)/2)^2+(15.846*(D47+J47)/2)-62.677)*10^-6</f>
        <v>-6.2676999999999996E-5</v>
      </c>
      <c r="I57" s="384" t="s">
        <v>269</v>
      </c>
      <c r="J57" s="268"/>
      <c r="K57" s="255"/>
      <c r="L57" s="385" t="s">
        <v>145</v>
      </c>
      <c r="M57" s="386"/>
      <c r="N57" s="387"/>
      <c r="O57" s="388"/>
      <c r="P57" s="389"/>
      <c r="Q57" s="255"/>
      <c r="R57" s="255"/>
    </row>
    <row r="58" spans="1:18" s="261" customFormat="1" ht="30" customHeight="1" x14ac:dyDescent="0.25">
      <c r="A58" s="255"/>
      <c r="B58" s="381">
        <v>2</v>
      </c>
      <c r="C58" s="278"/>
      <c r="D58" s="286">
        <f>$C$7*((1-$D$39*($D$34-D48))+($H$62)*(J48-D48)+$F$39*($D$34-J48))</f>
        <v>0</v>
      </c>
      <c r="E58" s="382">
        <f>D58+N48</f>
        <v>0</v>
      </c>
      <c r="F58" s="255"/>
      <c r="G58" s="281">
        <v>2</v>
      </c>
      <c r="H58" s="383">
        <f>(-0.1176*((D48+J48)/2)^2+(15.846*(D48+J48)/2)-62.677)*10^-6</f>
        <v>-6.2676999999999996E-5</v>
      </c>
      <c r="I58" s="384" t="s">
        <v>269</v>
      </c>
      <c r="J58" s="268"/>
      <c r="K58" s="255"/>
      <c r="L58" s="390"/>
      <c r="M58" s="391"/>
      <c r="N58" s="392"/>
      <c r="O58" s="393">
        <f>Q29</f>
        <v>-18926.469999999998</v>
      </c>
      <c r="P58" s="394"/>
      <c r="Q58" s="255"/>
      <c r="R58" s="255"/>
    </row>
    <row r="59" spans="1:18" s="261" customFormat="1" ht="30" customHeight="1" x14ac:dyDescent="0.25">
      <c r="A59" s="255"/>
      <c r="B59" s="381">
        <v>3</v>
      </c>
      <c r="C59" s="278"/>
      <c r="D59" s="286">
        <f>$C$7*((1-$D$39*($D$34-D49))+($H$62)*(J49-D49)+$F$39*($D$34-J49))</f>
        <v>0</v>
      </c>
      <c r="E59" s="382">
        <f>D59+N49</f>
        <v>0</v>
      </c>
      <c r="F59" s="255"/>
      <c r="G59" s="281">
        <v>3</v>
      </c>
      <c r="H59" s="383">
        <f>(-0.1176*((D49+J49)/2)^2+(15.846*(D49+J49)/2)-62.677)*10^-6</f>
        <v>-6.2676999999999996E-5</v>
      </c>
      <c r="I59" s="384" t="s">
        <v>269</v>
      </c>
      <c r="J59" s="268"/>
      <c r="K59" s="255"/>
      <c r="L59" s="395"/>
      <c r="M59" s="396"/>
      <c r="N59" s="397"/>
      <c r="O59" s="398"/>
      <c r="P59" s="399"/>
      <c r="Q59" s="255"/>
      <c r="R59" s="255"/>
    </row>
    <row r="60" spans="1:18" s="261" customFormat="1" ht="30" customHeight="1" x14ac:dyDescent="0.25">
      <c r="A60" s="255"/>
      <c r="B60" s="381">
        <v>4</v>
      </c>
      <c r="C60" s="278"/>
      <c r="D60" s="286">
        <f>$C$7*((1-$D$39*($D$34-D50))+($H$62)*(J50-D50)+$F$39*($D$34-J50))</f>
        <v>0</v>
      </c>
      <c r="E60" s="382">
        <f>D60+N50</f>
        <v>0</v>
      </c>
      <c r="F60" s="255"/>
      <c r="G60" s="281">
        <v>4</v>
      </c>
      <c r="H60" s="383">
        <f>(-0.1176*((D50+J50)/2)^2+(15.846*(D50+J50)/2)-62.677)*10^-6</f>
        <v>-6.2676999999999996E-5</v>
      </c>
      <c r="I60" s="384" t="s">
        <v>269</v>
      </c>
      <c r="J60" s="268"/>
      <c r="K60" s="255"/>
      <c r="L60" s="400" t="s">
        <v>270</v>
      </c>
      <c r="M60" s="401"/>
      <c r="N60" s="402"/>
      <c r="O60" s="403"/>
      <c r="P60" s="404"/>
      <c r="Q60" s="255"/>
      <c r="R60" s="255"/>
    </row>
    <row r="61" spans="1:18" s="261" customFormat="1" ht="30" customHeight="1" thickBot="1" x14ac:dyDescent="0.3">
      <c r="A61" s="255"/>
      <c r="B61" s="405">
        <v>5</v>
      </c>
      <c r="C61" s="406"/>
      <c r="D61" s="407">
        <f>$C$7*((1-$D$39*($D$34-D51))+($H$62)*(J51-D51)+$F$39*($D$34-J51))</f>
        <v>0</v>
      </c>
      <c r="E61" s="408">
        <f>D61+N51</f>
        <v>0</v>
      </c>
      <c r="F61" s="255"/>
      <c r="G61" s="281">
        <v>5</v>
      </c>
      <c r="H61" s="383">
        <f>(-0.1176*((D51+J51)/2)^2+(15.846*(D51+J51)/2)-62.677)*10^-6</f>
        <v>-6.2676999999999996E-5</v>
      </c>
      <c r="I61" s="384" t="s">
        <v>269</v>
      </c>
      <c r="J61" s="268"/>
      <c r="K61" s="255"/>
      <c r="L61" s="390"/>
      <c r="M61" s="391"/>
      <c r="N61" s="392"/>
      <c r="O61" s="393">
        <f>Q27</f>
        <v>-1155.46</v>
      </c>
      <c r="P61" s="394"/>
      <c r="Q61" s="255"/>
      <c r="R61" s="255"/>
    </row>
    <row r="62" spans="1:18" s="261" customFormat="1" ht="30" customHeight="1" thickBot="1" x14ac:dyDescent="0.3">
      <c r="A62" s="255"/>
      <c r="B62" s="409"/>
      <c r="C62" s="410" t="s">
        <v>271</v>
      </c>
      <c r="D62" s="411"/>
      <c r="E62" s="412">
        <f>AVERAGE(E57:E61)</f>
        <v>0</v>
      </c>
      <c r="G62" s="413" t="s">
        <v>2</v>
      </c>
      <c r="H62" s="414">
        <f>AVERAGE(H57:H61)</f>
        <v>-6.2676999999999996E-5</v>
      </c>
      <c r="I62" s="415" t="s">
        <v>269</v>
      </c>
      <c r="J62" s="255"/>
      <c r="K62" s="255"/>
      <c r="L62" s="416"/>
      <c r="M62" s="417"/>
      <c r="N62" s="418"/>
      <c r="O62" s="419"/>
      <c r="P62" s="420"/>
      <c r="Q62" s="255"/>
      <c r="R62" s="255"/>
    </row>
    <row r="63" spans="1:18" s="261" customFormat="1" ht="30" customHeight="1" x14ac:dyDescent="0.25">
      <c r="A63" s="255"/>
      <c r="B63" s="268"/>
      <c r="C63" s="421" t="s">
        <v>272</v>
      </c>
      <c r="D63" s="422"/>
      <c r="E63" s="423">
        <f>_xlfn.STDEV.S(E57:E61)</f>
        <v>0</v>
      </c>
      <c r="F63" s="255"/>
      <c r="G63" s="424"/>
      <c r="H63" s="425"/>
      <c r="I63" s="425"/>
      <c r="J63" s="426"/>
      <c r="K63" s="427"/>
      <c r="L63" s="255"/>
      <c r="M63" s="268"/>
      <c r="N63" s="268"/>
      <c r="O63" s="268"/>
      <c r="P63" s="268"/>
      <c r="Q63" s="255"/>
      <c r="R63" s="255"/>
    </row>
    <row r="64" spans="1:18" s="261" customFormat="1" ht="30" customHeight="1" thickBot="1" x14ac:dyDescent="0.3">
      <c r="A64" s="255"/>
      <c r="B64" s="268"/>
      <c r="C64" s="428" t="s">
        <v>146</v>
      </c>
      <c r="D64" s="429"/>
      <c r="E64" s="430">
        <f>E63/SQRT(5)</f>
        <v>0</v>
      </c>
      <c r="F64" s="255"/>
      <c r="G64" s="424"/>
      <c r="H64" s="431"/>
      <c r="I64" s="268"/>
      <c r="J64" s="255"/>
      <c r="K64" s="255"/>
      <c r="L64" s="255"/>
      <c r="M64" s="268" t="s">
        <v>13</v>
      </c>
      <c r="N64" s="268"/>
      <c r="O64" s="268"/>
      <c r="P64" s="268"/>
      <c r="Q64" s="255"/>
      <c r="R64" s="255"/>
    </row>
    <row r="65" spans="1:18" s="268" customFormat="1" ht="5.0999999999999996" customHeight="1" thickBot="1" x14ac:dyDescent="0.3">
      <c r="A65" s="432"/>
      <c r="J65" s="332"/>
      <c r="K65" s="332"/>
      <c r="L65" s="332"/>
      <c r="M65" s="332"/>
      <c r="N65" s="332"/>
      <c r="O65" s="332"/>
      <c r="Q65" s="255"/>
      <c r="R65" s="255"/>
    </row>
    <row r="66" spans="1:18" s="261" customFormat="1" ht="30" customHeight="1" thickBot="1" x14ac:dyDescent="0.3">
      <c r="B66" s="334" t="s">
        <v>147</v>
      </c>
      <c r="C66" s="335"/>
      <c r="D66" s="335"/>
      <c r="E66" s="335"/>
      <c r="F66" s="335"/>
      <c r="G66" s="335"/>
      <c r="H66" s="335"/>
      <c r="I66" s="335"/>
      <c r="J66" s="335"/>
      <c r="K66" s="335"/>
      <c r="L66" s="336"/>
      <c r="M66" s="268"/>
      <c r="N66" s="268"/>
      <c r="O66" s="268"/>
      <c r="P66" s="268"/>
      <c r="Q66" s="255"/>
      <c r="R66" s="255"/>
    </row>
    <row r="67" spans="1:18" s="261" customFormat="1" ht="30" customHeight="1" x14ac:dyDescent="0.25">
      <c r="A67" s="268"/>
      <c r="B67" s="433"/>
      <c r="C67" s="268"/>
      <c r="D67" s="268"/>
      <c r="E67" s="268"/>
      <c r="F67" s="268"/>
      <c r="G67" s="268"/>
      <c r="H67" s="268"/>
      <c r="I67" s="268"/>
      <c r="J67" s="268"/>
      <c r="K67" s="434" t="s">
        <v>148</v>
      </c>
      <c r="L67" s="435" t="s">
        <v>101</v>
      </c>
      <c r="M67" s="268"/>
      <c r="N67" s="436" t="s">
        <v>101</v>
      </c>
      <c r="O67" s="437" t="s">
        <v>1</v>
      </c>
      <c r="P67" s="438" t="s">
        <v>0</v>
      </c>
      <c r="Q67" s="255"/>
      <c r="R67" s="255"/>
    </row>
    <row r="68" spans="1:18" s="261" customFormat="1" ht="30" customHeight="1" x14ac:dyDescent="0.25">
      <c r="A68" s="268"/>
      <c r="B68" s="439" t="s">
        <v>149</v>
      </c>
      <c r="C68" s="440"/>
      <c r="D68" s="440"/>
      <c r="E68" s="441"/>
      <c r="F68" s="441"/>
      <c r="G68" s="442"/>
      <c r="H68" s="442"/>
      <c r="I68" s="442"/>
      <c r="J68" s="443"/>
      <c r="K68" s="444" t="e">
        <f>(1-$O$78*(O76-O72))+(O82)*(P74-O72)+P80*(O84-P74)</f>
        <v>#DIV/0!</v>
      </c>
      <c r="L68" s="445" t="s">
        <v>273</v>
      </c>
      <c r="M68" s="268"/>
      <c r="N68" s="381"/>
      <c r="O68" s="278"/>
      <c r="P68" s="279"/>
      <c r="Q68" s="255"/>
      <c r="R68" s="255"/>
    </row>
    <row r="69" spans="1:18" s="268" customFormat="1" ht="5.0999999999999996" customHeight="1" x14ac:dyDescent="0.25">
      <c r="B69" s="446"/>
      <c r="C69" s="447"/>
      <c r="D69" s="447"/>
      <c r="E69" s="447"/>
      <c r="F69" s="447"/>
      <c r="K69" s="448"/>
      <c r="L69" s="449"/>
      <c r="N69" s="450"/>
      <c r="O69" s="451"/>
      <c r="P69" s="452"/>
    </row>
    <row r="70" spans="1:18" s="261" customFormat="1" ht="30" customHeight="1" x14ac:dyDescent="0.25">
      <c r="A70" s="268"/>
      <c r="B70" s="439" t="s">
        <v>150</v>
      </c>
      <c r="C70" s="440"/>
      <c r="D70" s="440"/>
      <c r="E70" s="441"/>
      <c r="F70" s="441"/>
      <c r="G70" s="442"/>
      <c r="H70" s="442"/>
      <c r="I70" s="442"/>
      <c r="J70" s="443"/>
      <c r="K70" s="444">
        <f>$O$70*(O78-O82)</f>
        <v>0</v>
      </c>
      <c r="L70" s="445" t="s">
        <v>273</v>
      </c>
      <c r="M70" s="268"/>
      <c r="N70" s="453"/>
      <c r="O70" s="286">
        <f>$C$7</f>
        <v>0</v>
      </c>
      <c r="P70" s="454"/>
      <c r="R70" s="255"/>
    </row>
    <row r="71" spans="1:18" s="255" customFormat="1" ht="5.0999999999999996" customHeight="1" x14ac:dyDescent="0.25">
      <c r="A71" s="268"/>
      <c r="B71" s="446"/>
      <c r="C71" s="447"/>
      <c r="D71" s="447"/>
      <c r="E71" s="447"/>
      <c r="F71" s="447"/>
      <c r="G71" s="268"/>
      <c r="H71" s="268"/>
      <c r="I71" s="268"/>
      <c r="J71" s="268"/>
      <c r="K71" s="448"/>
      <c r="L71" s="455"/>
      <c r="N71" s="450"/>
      <c r="O71" s="451"/>
      <c r="P71" s="452"/>
    </row>
    <row r="72" spans="1:18" s="261" customFormat="1" ht="30" customHeight="1" x14ac:dyDescent="0.25">
      <c r="A72" s="268"/>
      <c r="B72" s="439" t="s">
        <v>151</v>
      </c>
      <c r="C72" s="440"/>
      <c r="D72" s="440"/>
      <c r="E72" s="440"/>
      <c r="F72" s="441"/>
      <c r="G72" s="442"/>
      <c r="H72" s="442"/>
      <c r="I72" s="442"/>
      <c r="J72" s="443"/>
      <c r="K72" s="444">
        <f>$O$70*(O82-P80)</f>
        <v>0</v>
      </c>
      <c r="L72" s="445" t="s">
        <v>273</v>
      </c>
      <c r="M72" s="255"/>
      <c r="N72" s="453"/>
      <c r="O72" s="456" t="e">
        <f>$G$52</f>
        <v>#DIV/0!</v>
      </c>
      <c r="P72" s="454"/>
      <c r="Q72" s="255"/>
      <c r="R72" s="255"/>
    </row>
    <row r="73" spans="1:18" s="255" customFormat="1" ht="5.0999999999999996" customHeight="1" x14ac:dyDescent="0.25">
      <c r="A73" s="268"/>
      <c r="B73" s="446"/>
      <c r="C73" s="447"/>
      <c r="D73" s="447"/>
      <c r="E73" s="447"/>
      <c r="F73" s="447"/>
      <c r="G73" s="268"/>
      <c r="H73" s="268"/>
      <c r="I73" s="268"/>
      <c r="J73" s="268"/>
      <c r="K73" s="448"/>
      <c r="L73" s="455"/>
      <c r="N73" s="450"/>
      <c r="O73" s="451"/>
      <c r="P73" s="452"/>
    </row>
    <row r="74" spans="1:18" s="261" customFormat="1" ht="30" customHeight="1" x14ac:dyDescent="0.25">
      <c r="A74" s="268"/>
      <c r="B74" s="439" t="s">
        <v>152</v>
      </c>
      <c r="C74" s="440"/>
      <c r="D74" s="440"/>
      <c r="E74" s="440"/>
      <c r="F74" s="440"/>
      <c r="G74" s="442"/>
      <c r="H74" s="442"/>
      <c r="I74" s="442"/>
      <c r="J74" s="443"/>
      <c r="K74" s="444" t="e">
        <f>-O$70*(O76-O72)</f>
        <v>#DIV/0!</v>
      </c>
      <c r="L74" s="445" t="s">
        <v>273</v>
      </c>
      <c r="M74" s="255"/>
      <c r="N74" s="453"/>
      <c r="O74" s="457"/>
      <c r="P74" s="458" t="e">
        <f>$M$52</f>
        <v>#DIV/0!</v>
      </c>
      <c r="Q74" s="255"/>
      <c r="R74" s="255"/>
    </row>
    <row r="75" spans="1:18" s="255" customFormat="1" ht="5.0999999999999996" customHeight="1" x14ac:dyDescent="0.25">
      <c r="A75" s="268"/>
      <c r="B75" s="446"/>
      <c r="C75" s="447"/>
      <c r="D75" s="447"/>
      <c r="E75" s="447"/>
      <c r="F75" s="447"/>
      <c r="G75" s="268"/>
      <c r="H75" s="268"/>
      <c r="I75" s="268"/>
      <c r="J75" s="268"/>
      <c r="K75" s="448"/>
      <c r="L75" s="455"/>
      <c r="N75" s="450"/>
      <c r="O75" s="451"/>
      <c r="P75" s="452"/>
    </row>
    <row r="76" spans="1:18" s="261" customFormat="1" ht="30" customHeight="1" x14ac:dyDescent="0.25">
      <c r="A76" s="268"/>
      <c r="B76" s="439" t="s">
        <v>153</v>
      </c>
      <c r="C76" s="440"/>
      <c r="D76" s="440"/>
      <c r="E76" s="440"/>
      <c r="F76" s="440"/>
      <c r="G76" s="442"/>
      <c r="H76" s="442"/>
      <c r="I76" s="442"/>
      <c r="J76" s="443"/>
      <c r="K76" s="444" t="e">
        <f>$O$70*(O84-P74)</f>
        <v>#DIV/0!</v>
      </c>
      <c r="L76" s="445" t="s">
        <v>273</v>
      </c>
      <c r="M76" s="255"/>
      <c r="N76" s="459"/>
      <c r="O76" s="282">
        <f>$D$34</f>
        <v>0</v>
      </c>
      <c r="P76" s="460">
        <f>$D$34</f>
        <v>0</v>
      </c>
      <c r="Q76" s="255"/>
      <c r="R76" s="255"/>
    </row>
    <row r="77" spans="1:18" s="255" customFormat="1" ht="5.0999999999999996" customHeight="1" x14ac:dyDescent="0.25">
      <c r="A77" s="268"/>
      <c r="B77" s="446"/>
      <c r="C77" s="447"/>
      <c r="D77" s="447"/>
      <c r="E77" s="447"/>
      <c r="F77" s="447"/>
      <c r="G77" s="268"/>
      <c r="H77" s="268"/>
      <c r="I77" s="268"/>
      <c r="J77" s="268"/>
      <c r="K77" s="448"/>
      <c r="L77" s="455"/>
      <c r="N77" s="450"/>
      <c r="O77" s="451"/>
      <c r="P77" s="452"/>
    </row>
    <row r="78" spans="1:18" s="261" customFormat="1" ht="30" customHeight="1" x14ac:dyDescent="0.25">
      <c r="A78" s="268"/>
      <c r="B78" s="439" t="s">
        <v>154</v>
      </c>
      <c r="C78" s="440"/>
      <c r="D78" s="440"/>
      <c r="E78" s="440"/>
      <c r="F78" s="440"/>
      <c r="G78" s="442"/>
      <c r="H78" s="442"/>
      <c r="I78" s="442"/>
      <c r="J78" s="443"/>
      <c r="K78" s="444" t="e">
        <f>$O$70*(P74-O72)</f>
        <v>#DIV/0!</v>
      </c>
      <c r="L78" s="445" t="s">
        <v>273</v>
      </c>
      <c r="M78" s="255"/>
      <c r="N78" s="453"/>
      <c r="O78" s="282">
        <f>$D$39</f>
        <v>0</v>
      </c>
      <c r="P78" s="454"/>
      <c r="Q78" s="255"/>
      <c r="R78" s="255"/>
    </row>
    <row r="79" spans="1:18" s="255" customFormat="1" ht="5.0999999999999996" customHeight="1" x14ac:dyDescent="0.25">
      <c r="A79" s="268"/>
      <c r="B79" s="446"/>
      <c r="C79" s="447"/>
      <c r="D79" s="447"/>
      <c r="E79" s="447"/>
      <c r="F79" s="447"/>
      <c r="G79" s="268"/>
      <c r="H79" s="268"/>
      <c r="I79" s="268"/>
      <c r="J79" s="268"/>
      <c r="K79" s="461"/>
      <c r="L79" s="455"/>
      <c r="N79" s="450"/>
      <c r="O79" s="451"/>
      <c r="P79" s="452"/>
    </row>
    <row r="80" spans="1:18" s="261" customFormat="1" ht="30" customHeight="1" x14ac:dyDescent="0.25">
      <c r="A80" s="268"/>
      <c r="B80" s="439" t="s">
        <v>155</v>
      </c>
      <c r="C80" s="440"/>
      <c r="D80" s="440"/>
      <c r="E80" s="441"/>
      <c r="F80" s="441"/>
      <c r="G80" s="442"/>
      <c r="H80" s="442"/>
      <c r="I80" s="442"/>
      <c r="J80" s="443"/>
      <c r="K80" s="462">
        <v>1</v>
      </c>
      <c r="L80" s="445"/>
      <c r="M80" s="332"/>
      <c r="N80" s="453"/>
      <c r="O80" s="457"/>
      <c r="P80" s="460">
        <f>$F$39</f>
        <v>0</v>
      </c>
      <c r="Q80" s="255"/>
      <c r="R80" s="255"/>
    </row>
    <row r="81" spans="1:18" s="255" customFormat="1" ht="5.0999999999999996" customHeight="1" x14ac:dyDescent="0.25">
      <c r="A81" s="268"/>
      <c r="B81" s="446"/>
      <c r="C81" s="447"/>
      <c r="D81" s="447"/>
      <c r="E81" s="447"/>
      <c r="F81" s="447"/>
      <c r="G81" s="268"/>
      <c r="H81" s="268"/>
      <c r="I81" s="268"/>
      <c r="J81" s="268"/>
      <c r="K81" s="463"/>
      <c r="L81" s="455"/>
      <c r="M81" s="332"/>
      <c r="N81" s="464"/>
      <c r="O81" s="451"/>
      <c r="P81" s="452"/>
    </row>
    <row r="82" spans="1:18" s="261" customFormat="1" ht="30" customHeight="1" x14ac:dyDescent="0.25">
      <c r="A82" s="465"/>
      <c r="B82" s="439" t="s">
        <v>156</v>
      </c>
      <c r="C82" s="440"/>
      <c r="D82" s="440"/>
      <c r="E82" s="441"/>
      <c r="F82" s="441"/>
      <c r="G82" s="442"/>
      <c r="H82" s="442"/>
      <c r="I82" s="442"/>
      <c r="J82" s="443"/>
      <c r="K82" s="462">
        <v>1</v>
      </c>
      <c r="L82" s="445"/>
      <c r="M82" s="332"/>
      <c r="N82" s="453"/>
      <c r="O82" s="383">
        <f>$D$38</f>
        <v>0</v>
      </c>
      <c r="P82" s="466">
        <f>$F$38</f>
        <v>0</v>
      </c>
      <c r="Q82" s="255"/>
      <c r="R82" s="255"/>
    </row>
    <row r="83" spans="1:18" s="255" customFormat="1" ht="5.0999999999999996" customHeight="1" x14ac:dyDescent="0.25">
      <c r="A83" s="268"/>
      <c r="B83" s="446"/>
      <c r="C83" s="447"/>
      <c r="D83" s="447"/>
      <c r="E83" s="447"/>
      <c r="F83" s="447"/>
      <c r="G83" s="268"/>
      <c r="H83" s="268"/>
      <c r="I83" s="268"/>
      <c r="J83" s="268"/>
      <c r="K83" s="463"/>
      <c r="L83" s="455"/>
      <c r="M83" s="332"/>
      <c r="N83" s="464"/>
      <c r="O83" s="451"/>
      <c r="P83" s="452"/>
    </row>
    <row r="84" spans="1:18" s="261" customFormat="1" ht="30" customHeight="1" thickBot="1" x14ac:dyDescent="0.3">
      <c r="A84" s="268"/>
      <c r="B84" s="439" t="s">
        <v>157</v>
      </c>
      <c r="C84" s="440"/>
      <c r="D84" s="440"/>
      <c r="E84" s="441"/>
      <c r="F84" s="441"/>
      <c r="G84" s="442"/>
      <c r="H84" s="442"/>
      <c r="I84" s="442"/>
      <c r="J84" s="443"/>
      <c r="K84" s="462">
        <v>1</v>
      </c>
      <c r="L84" s="445"/>
      <c r="M84" s="332"/>
      <c r="N84" s="467"/>
      <c r="O84" s="289">
        <f>$D$34</f>
        <v>0</v>
      </c>
      <c r="P84" s="368">
        <f>$F$34</f>
        <v>0</v>
      </c>
      <c r="Q84" s="255"/>
      <c r="R84" s="255"/>
    </row>
    <row r="85" spans="1:18" s="255" customFormat="1" ht="5.0999999999999996" customHeight="1" x14ac:dyDescent="0.25">
      <c r="A85" s="268"/>
      <c r="B85" s="468"/>
      <c r="C85" s="343"/>
      <c r="D85" s="343"/>
      <c r="E85" s="343"/>
      <c r="F85" s="343"/>
      <c r="G85" s="268"/>
      <c r="H85" s="268"/>
      <c r="I85" s="268"/>
      <c r="J85" s="268"/>
      <c r="K85" s="469"/>
      <c r="L85" s="470"/>
      <c r="M85" s="332"/>
      <c r="N85" s="332"/>
      <c r="O85" s="268"/>
      <c r="P85" s="268"/>
    </row>
    <row r="86" spans="1:18" s="255" customFormat="1" ht="30" customHeight="1" thickBot="1" x14ac:dyDescent="0.3">
      <c r="A86" s="268"/>
      <c r="B86" s="471" t="s">
        <v>158</v>
      </c>
      <c r="C86" s="472"/>
      <c r="D86" s="472"/>
      <c r="E86" s="473"/>
      <c r="F86" s="473"/>
      <c r="G86" s="474"/>
      <c r="H86" s="474"/>
      <c r="I86" s="474"/>
      <c r="J86" s="475"/>
      <c r="K86" s="476">
        <v>1</v>
      </c>
      <c r="L86" s="477"/>
      <c r="M86" s="332"/>
      <c r="N86" s="332"/>
      <c r="O86" s="268"/>
      <c r="P86" s="268"/>
    </row>
    <row r="87" spans="1:18" s="255" customFormat="1" ht="5.0999999999999996" customHeight="1" x14ac:dyDescent="0.25">
      <c r="A87" s="268"/>
      <c r="M87" s="332"/>
      <c r="N87" s="332"/>
      <c r="O87" s="268"/>
      <c r="P87" s="268"/>
    </row>
    <row r="88" spans="1:18" s="255" customFormat="1" ht="5.0999999999999996" customHeight="1" x14ac:dyDescent="0.25">
      <c r="A88" s="268"/>
      <c r="M88" s="332"/>
      <c r="N88" s="332"/>
      <c r="O88" s="268"/>
      <c r="P88" s="268"/>
    </row>
    <row r="89" spans="1:18" s="261" customFormat="1" ht="30" customHeight="1" thickBot="1" x14ac:dyDescent="0.3">
      <c r="A89" s="478" t="s">
        <v>159</v>
      </c>
      <c r="B89" s="478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</row>
    <row r="90" spans="1:18" s="261" customFormat="1" ht="30" customHeight="1" x14ac:dyDescent="0.25">
      <c r="A90" s="255"/>
      <c r="B90" s="479" t="s">
        <v>160</v>
      </c>
      <c r="C90" s="480"/>
      <c r="D90" s="481" t="s">
        <v>274</v>
      </c>
      <c r="E90" s="482" t="s">
        <v>161</v>
      </c>
      <c r="F90" s="482"/>
      <c r="G90" s="481" t="s">
        <v>162</v>
      </c>
      <c r="H90" s="482" t="s">
        <v>163</v>
      </c>
      <c r="I90" s="482"/>
      <c r="J90" s="482" t="s">
        <v>164</v>
      </c>
      <c r="K90" s="482"/>
      <c r="L90" s="482" t="s">
        <v>165</v>
      </c>
      <c r="M90" s="482"/>
      <c r="N90" s="483" t="s">
        <v>275</v>
      </c>
      <c r="O90" s="481" t="s">
        <v>166</v>
      </c>
      <c r="P90" s="481" t="s">
        <v>167</v>
      </c>
      <c r="Q90" s="484" t="s">
        <v>168</v>
      </c>
    </row>
    <row r="91" spans="1:18" s="268" customFormat="1" ht="37.5" customHeight="1" x14ac:dyDescent="0.25">
      <c r="B91" s="485" t="s">
        <v>169</v>
      </c>
      <c r="C91" s="486"/>
      <c r="D91" s="487">
        <f>C7</f>
        <v>0</v>
      </c>
      <c r="E91" s="432"/>
      <c r="F91" s="432"/>
      <c r="G91" s="432"/>
      <c r="H91" s="432"/>
      <c r="I91" s="432"/>
      <c r="J91" s="432"/>
      <c r="K91" s="432"/>
      <c r="L91" s="432"/>
      <c r="M91" s="432"/>
      <c r="N91" s="488"/>
      <c r="O91" s="432"/>
      <c r="P91" s="432"/>
      <c r="Q91" s="489"/>
    </row>
    <row r="92" spans="1:18" s="261" customFormat="1" ht="30" customHeight="1" x14ac:dyDescent="0.25">
      <c r="A92" s="490"/>
      <c r="B92" s="491" t="s">
        <v>170</v>
      </c>
      <c r="C92" s="492"/>
      <c r="D92" s="493"/>
      <c r="E92" s="282">
        <f>I7</f>
        <v>0</v>
      </c>
      <c r="F92" s="494" t="s">
        <v>276</v>
      </c>
      <c r="G92" s="282">
        <f>O7</f>
        <v>0</v>
      </c>
      <c r="H92" s="282" t="e">
        <f>E92/G92</f>
        <v>#DIV/0!</v>
      </c>
      <c r="I92" s="494" t="s">
        <v>276</v>
      </c>
      <c r="J92" s="287" t="e">
        <f>K68</f>
        <v>#DIV/0!</v>
      </c>
      <c r="K92" s="495" t="str">
        <f>L68</f>
        <v>mL°C-1</v>
      </c>
      <c r="L92" s="282" t="e">
        <f>H92*J92</f>
        <v>#DIV/0!</v>
      </c>
      <c r="M92" s="495" t="s">
        <v>4</v>
      </c>
      <c r="N92" s="282" t="e">
        <f>L92^2</f>
        <v>#DIV/0!</v>
      </c>
      <c r="O92" s="495" t="s">
        <v>19</v>
      </c>
      <c r="P92" s="495" t="s">
        <v>171</v>
      </c>
      <c r="Q92" s="496">
        <v>50</v>
      </c>
      <c r="R92" s="255"/>
    </row>
    <row r="93" spans="1:18" s="261" customFormat="1" ht="30" customHeight="1" x14ac:dyDescent="0.25">
      <c r="A93" s="490"/>
      <c r="B93" s="491" t="s">
        <v>172</v>
      </c>
      <c r="C93" s="492"/>
      <c r="D93" s="493"/>
      <c r="E93" s="497">
        <f>K7</f>
        <v>0</v>
      </c>
      <c r="F93" s="494" t="s">
        <v>4</v>
      </c>
      <c r="G93" s="282">
        <f>SQRT(3)</f>
        <v>1.7320508075688772</v>
      </c>
      <c r="H93" s="282">
        <f>E93/G93</f>
        <v>0</v>
      </c>
      <c r="I93" s="494" t="str">
        <f>F93</f>
        <v>mL</v>
      </c>
      <c r="J93" s="282" t="e">
        <f>K68</f>
        <v>#DIV/0!</v>
      </c>
      <c r="K93" s="495" t="str">
        <f>L68</f>
        <v>mL°C-1</v>
      </c>
      <c r="L93" s="282" t="e">
        <f>H93*J93</f>
        <v>#DIV/0!</v>
      </c>
      <c r="M93" s="495" t="s">
        <v>4</v>
      </c>
      <c r="N93" s="282" t="e">
        <f>L93^2</f>
        <v>#DIV/0!</v>
      </c>
      <c r="O93" s="495" t="s">
        <v>19</v>
      </c>
      <c r="P93" s="495" t="s">
        <v>5</v>
      </c>
      <c r="Q93" s="496" t="s">
        <v>12</v>
      </c>
      <c r="R93" s="255"/>
    </row>
    <row r="94" spans="1:18" s="268" customFormat="1" ht="5.0999999999999996" customHeight="1" x14ac:dyDescent="0.25">
      <c r="B94" s="498"/>
      <c r="C94" s="499"/>
      <c r="D94" s="499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500"/>
    </row>
    <row r="95" spans="1:18" s="261" customFormat="1" ht="30" customHeight="1" x14ac:dyDescent="0.25">
      <c r="A95" s="268"/>
      <c r="B95" s="491" t="s">
        <v>173</v>
      </c>
      <c r="C95" s="492"/>
      <c r="D95" s="501">
        <f>O58</f>
        <v>-18926.469999999998</v>
      </c>
      <c r="E95" s="282">
        <f>I17</f>
        <v>0</v>
      </c>
      <c r="F95" s="494">
        <f>J17</f>
        <v>0</v>
      </c>
      <c r="G95" s="286">
        <f>O17</f>
        <v>0</v>
      </c>
      <c r="H95" s="282" t="e">
        <f>E95/G95</f>
        <v>#DIV/0!</v>
      </c>
      <c r="I95" s="494">
        <f>F95</f>
        <v>0</v>
      </c>
      <c r="J95" s="502" t="e">
        <f>K68</f>
        <v>#DIV/0!</v>
      </c>
      <c r="K95" s="503" t="str">
        <f>L68</f>
        <v>mL°C-1</v>
      </c>
      <c r="L95" s="282" t="e">
        <f>H95*J95</f>
        <v>#DIV/0!</v>
      </c>
      <c r="M95" s="495" t="s">
        <v>4</v>
      </c>
      <c r="N95" s="504" t="e">
        <f>L95^2</f>
        <v>#DIV/0!</v>
      </c>
      <c r="O95" s="495" t="s">
        <v>19</v>
      </c>
      <c r="P95" s="495" t="s">
        <v>171</v>
      </c>
      <c r="Q95" s="496">
        <v>50</v>
      </c>
      <c r="R95" s="255"/>
    </row>
    <row r="96" spans="1:18" s="268" customFormat="1" ht="37.5" customHeight="1" x14ac:dyDescent="0.25">
      <c r="B96" s="505" t="s">
        <v>174</v>
      </c>
      <c r="C96" s="506"/>
      <c r="D96" s="507" t="e">
        <f>G52</f>
        <v>#DIV/0!</v>
      </c>
      <c r="E96" s="456" t="e">
        <f>G52</f>
        <v>#DIV/0!</v>
      </c>
      <c r="F96" s="494" t="s">
        <v>3</v>
      </c>
      <c r="G96" s="332"/>
      <c r="H96" s="332"/>
      <c r="I96" s="332"/>
      <c r="J96" s="508"/>
      <c r="K96" s="332"/>
      <c r="L96" s="332"/>
      <c r="M96" s="332"/>
      <c r="N96" s="332"/>
      <c r="O96" s="332"/>
      <c r="P96" s="332"/>
      <c r="Q96" s="500"/>
    </row>
    <row r="97" spans="1:19" s="261" customFormat="1" ht="30" customHeight="1" x14ac:dyDescent="0.25">
      <c r="A97" s="268"/>
      <c r="B97" s="491" t="s">
        <v>175</v>
      </c>
      <c r="C97" s="492"/>
      <c r="D97" s="509"/>
      <c r="E97" s="282">
        <f>E8</f>
        <v>0</v>
      </c>
      <c r="F97" s="494" t="s">
        <v>3</v>
      </c>
      <c r="G97" s="282">
        <f>SQRT(12)</f>
        <v>3.4641016151377544</v>
      </c>
      <c r="H97" s="282">
        <f>E97/G97</f>
        <v>0</v>
      </c>
      <c r="I97" s="494" t="s">
        <v>3</v>
      </c>
      <c r="J97" s="502">
        <f>K70</f>
        <v>0</v>
      </c>
      <c r="K97" s="495" t="s">
        <v>21</v>
      </c>
      <c r="L97" s="282">
        <f t="shared" ref="L97:L110" si="5">H97*J97</f>
        <v>0</v>
      </c>
      <c r="M97" s="495" t="s">
        <v>4</v>
      </c>
      <c r="N97" s="282">
        <f t="shared" ref="N97:N110" si="6">L97^2</f>
        <v>0</v>
      </c>
      <c r="O97" s="495" t="s">
        <v>20</v>
      </c>
      <c r="P97" s="495" t="s">
        <v>5</v>
      </c>
      <c r="Q97" s="496" t="s">
        <v>12</v>
      </c>
      <c r="R97" s="255"/>
    </row>
    <row r="98" spans="1:19" s="261" customFormat="1" ht="30" customHeight="1" x14ac:dyDescent="0.25">
      <c r="A98" s="268"/>
      <c r="B98" s="491" t="s">
        <v>176</v>
      </c>
      <c r="C98" s="492"/>
      <c r="D98" s="509"/>
      <c r="E98" s="282">
        <f>I9</f>
        <v>0</v>
      </c>
      <c r="F98" s="494">
        <f>F11</f>
        <v>0</v>
      </c>
      <c r="G98" s="282">
        <f>O8</f>
        <v>0</v>
      </c>
      <c r="H98" s="282" t="e">
        <f t="shared" ref="H98:H110" si="7">E98/G98</f>
        <v>#DIV/0!</v>
      </c>
      <c r="I98" s="494" t="s">
        <v>3</v>
      </c>
      <c r="J98" s="502">
        <f>K70</f>
        <v>0</v>
      </c>
      <c r="K98" s="495" t="s">
        <v>21</v>
      </c>
      <c r="L98" s="282" t="e">
        <f t="shared" si="5"/>
        <v>#DIV/0!</v>
      </c>
      <c r="M98" s="495" t="s">
        <v>4</v>
      </c>
      <c r="N98" s="282" t="e">
        <f t="shared" si="6"/>
        <v>#DIV/0!</v>
      </c>
      <c r="O98" s="495" t="s">
        <v>19</v>
      </c>
      <c r="P98" s="495" t="s">
        <v>171</v>
      </c>
      <c r="Q98" s="496">
        <v>50</v>
      </c>
      <c r="R98" s="255"/>
    </row>
    <row r="99" spans="1:19" s="261" customFormat="1" ht="30" customHeight="1" x14ac:dyDescent="0.25">
      <c r="A99" s="268"/>
      <c r="B99" s="491" t="s">
        <v>172</v>
      </c>
      <c r="C99" s="492"/>
      <c r="D99" s="509"/>
      <c r="E99" s="287">
        <f>K9</f>
        <v>0</v>
      </c>
      <c r="F99" s="494">
        <f>F11</f>
        <v>0</v>
      </c>
      <c r="G99" s="282">
        <f>SQRT(3)</f>
        <v>1.7320508075688772</v>
      </c>
      <c r="H99" s="282">
        <f t="shared" si="7"/>
        <v>0</v>
      </c>
      <c r="I99" s="494" t="s">
        <v>3</v>
      </c>
      <c r="J99" s="502">
        <f>K70</f>
        <v>0</v>
      </c>
      <c r="K99" s="495" t="s">
        <v>21</v>
      </c>
      <c r="L99" s="282">
        <f t="shared" si="5"/>
        <v>0</v>
      </c>
      <c r="M99" s="495" t="s">
        <v>4</v>
      </c>
      <c r="N99" s="282">
        <f t="shared" si="6"/>
        <v>0</v>
      </c>
      <c r="O99" s="495" t="s">
        <v>19</v>
      </c>
      <c r="P99" s="495" t="s">
        <v>5</v>
      </c>
      <c r="Q99" s="496" t="s">
        <v>12</v>
      </c>
      <c r="R99" s="255"/>
    </row>
    <row r="100" spans="1:19" s="261" customFormat="1" ht="30" customHeight="1" x14ac:dyDescent="0.25">
      <c r="A100" s="268"/>
      <c r="B100" s="491" t="s">
        <v>177</v>
      </c>
      <c r="C100" s="492"/>
      <c r="D100" s="509"/>
      <c r="E100" s="282">
        <f>(MAX(D47:D51)-(MIN(D47:D51)))</f>
        <v>0</v>
      </c>
      <c r="F100" s="494">
        <f>F11</f>
        <v>0</v>
      </c>
      <c r="G100" s="282">
        <f>SQRT(12)</f>
        <v>3.4641016151377544</v>
      </c>
      <c r="H100" s="282">
        <f t="shared" si="7"/>
        <v>0</v>
      </c>
      <c r="I100" s="495" t="s">
        <v>4</v>
      </c>
      <c r="J100" s="502">
        <f>K70</f>
        <v>0</v>
      </c>
      <c r="K100" s="495" t="s">
        <v>21</v>
      </c>
      <c r="L100" s="282">
        <f t="shared" si="5"/>
        <v>0</v>
      </c>
      <c r="M100" s="495" t="s">
        <v>4</v>
      </c>
      <c r="N100" s="282">
        <f t="shared" si="6"/>
        <v>0</v>
      </c>
      <c r="O100" s="495" t="s">
        <v>20</v>
      </c>
      <c r="P100" s="495" t="s">
        <v>5</v>
      </c>
      <c r="Q100" s="496" t="s">
        <v>12</v>
      </c>
      <c r="R100" s="255"/>
    </row>
    <row r="101" spans="1:19" s="268" customFormat="1" ht="35.450000000000003" customHeight="1" x14ac:dyDescent="0.25">
      <c r="B101" s="505" t="s">
        <v>178</v>
      </c>
      <c r="C101" s="506"/>
      <c r="D101" s="507" t="e">
        <f>M52</f>
        <v>#DIV/0!</v>
      </c>
      <c r="E101" s="456" t="e">
        <f>M52</f>
        <v>#DIV/0!</v>
      </c>
      <c r="F101" s="494">
        <f>F11</f>
        <v>0</v>
      </c>
      <c r="G101" s="332"/>
      <c r="H101" s="332"/>
      <c r="I101" s="332"/>
      <c r="J101" s="508"/>
      <c r="K101" s="332"/>
      <c r="L101" s="332"/>
      <c r="M101" s="332"/>
      <c r="N101" s="332"/>
      <c r="O101" s="332"/>
      <c r="P101" s="332"/>
      <c r="Q101" s="500"/>
    </row>
    <row r="102" spans="1:19" s="261" customFormat="1" ht="30" customHeight="1" x14ac:dyDescent="0.25">
      <c r="A102" s="268"/>
      <c r="B102" s="491" t="s">
        <v>175</v>
      </c>
      <c r="C102" s="492"/>
      <c r="D102" s="509">
        <f>E11</f>
        <v>0</v>
      </c>
      <c r="E102" s="282">
        <f>E11</f>
        <v>0</v>
      </c>
      <c r="F102" s="495">
        <f>F11</f>
        <v>0</v>
      </c>
      <c r="G102" s="282">
        <f>SQRT(12)</f>
        <v>3.4641016151377544</v>
      </c>
      <c r="H102" s="282">
        <f t="shared" si="7"/>
        <v>0</v>
      </c>
      <c r="I102" s="495" t="s">
        <v>4</v>
      </c>
      <c r="J102" s="502">
        <f>K72</f>
        <v>0</v>
      </c>
      <c r="K102" s="495" t="s">
        <v>21</v>
      </c>
      <c r="L102" s="282">
        <f t="shared" si="5"/>
        <v>0</v>
      </c>
      <c r="M102" s="495" t="s">
        <v>4</v>
      </c>
      <c r="N102" s="282">
        <f t="shared" si="6"/>
        <v>0</v>
      </c>
      <c r="O102" s="495" t="s">
        <v>20</v>
      </c>
      <c r="P102" s="495" t="s">
        <v>5</v>
      </c>
      <c r="Q102" s="496" t="s">
        <v>12</v>
      </c>
      <c r="R102" s="255"/>
    </row>
    <row r="103" spans="1:19" s="261" customFormat="1" ht="30" customHeight="1" x14ac:dyDescent="0.25">
      <c r="A103" s="268"/>
      <c r="B103" s="491" t="s">
        <v>176</v>
      </c>
      <c r="C103" s="492"/>
      <c r="D103" s="509"/>
      <c r="E103" s="282">
        <f>I12</f>
        <v>0</v>
      </c>
      <c r="F103" s="494">
        <f>F11</f>
        <v>0</v>
      </c>
      <c r="G103" s="282">
        <f>O11</f>
        <v>0</v>
      </c>
      <c r="H103" s="282" t="e">
        <f t="shared" si="7"/>
        <v>#DIV/0!</v>
      </c>
      <c r="I103" s="495" t="s">
        <v>4</v>
      </c>
      <c r="J103" s="502">
        <f>K72</f>
        <v>0</v>
      </c>
      <c r="K103" s="495" t="s">
        <v>21</v>
      </c>
      <c r="L103" s="282" t="e">
        <f>H103*J103</f>
        <v>#DIV/0!</v>
      </c>
      <c r="M103" s="495" t="s">
        <v>4</v>
      </c>
      <c r="N103" s="282" t="e">
        <f>L103^2</f>
        <v>#DIV/0!</v>
      </c>
      <c r="O103" s="495" t="s">
        <v>19</v>
      </c>
      <c r="P103" s="495" t="s">
        <v>171</v>
      </c>
      <c r="Q103" s="496">
        <v>50</v>
      </c>
      <c r="R103" s="255"/>
    </row>
    <row r="104" spans="1:19" s="261" customFormat="1" ht="30" customHeight="1" x14ac:dyDescent="0.25">
      <c r="A104" s="268"/>
      <c r="B104" s="491" t="s">
        <v>172</v>
      </c>
      <c r="C104" s="492"/>
      <c r="D104" s="510"/>
      <c r="E104" s="287">
        <f>K12</f>
        <v>0</v>
      </c>
      <c r="F104" s="494">
        <f>F11</f>
        <v>0</v>
      </c>
      <c r="G104" s="282">
        <f>SQRT(3)</f>
        <v>1.7320508075688772</v>
      </c>
      <c r="H104" s="282">
        <f t="shared" si="7"/>
        <v>0</v>
      </c>
      <c r="I104" s="495" t="s">
        <v>4</v>
      </c>
      <c r="J104" s="502">
        <f>K72</f>
        <v>0</v>
      </c>
      <c r="K104" s="495" t="s">
        <v>21</v>
      </c>
      <c r="L104" s="282">
        <f t="shared" si="5"/>
        <v>0</v>
      </c>
      <c r="M104" s="495" t="s">
        <v>4</v>
      </c>
      <c r="N104" s="282">
        <f t="shared" si="6"/>
        <v>0</v>
      </c>
      <c r="O104" s="495" t="s">
        <v>19</v>
      </c>
      <c r="P104" s="495" t="s">
        <v>5</v>
      </c>
      <c r="Q104" s="496" t="s">
        <v>12</v>
      </c>
      <c r="R104" s="255"/>
    </row>
    <row r="105" spans="1:19" s="261" customFormat="1" ht="30" customHeight="1" x14ac:dyDescent="0.25">
      <c r="A105" s="268"/>
      <c r="B105" s="491" t="s">
        <v>177</v>
      </c>
      <c r="C105" s="492"/>
      <c r="D105" s="493"/>
      <c r="E105" s="286">
        <f>(MAX(J47:J51)-(MIN(J47:J51)))</f>
        <v>0</v>
      </c>
      <c r="F105" s="494">
        <f>F11</f>
        <v>0</v>
      </c>
      <c r="G105" s="282">
        <f>SQRT(12)</f>
        <v>3.4641016151377544</v>
      </c>
      <c r="H105" s="282">
        <f t="shared" si="7"/>
        <v>0</v>
      </c>
      <c r="I105" s="495" t="s">
        <v>4</v>
      </c>
      <c r="J105" s="502">
        <f>K72</f>
        <v>0</v>
      </c>
      <c r="K105" s="495" t="s">
        <v>21</v>
      </c>
      <c r="L105" s="282">
        <f t="shared" si="5"/>
        <v>0</v>
      </c>
      <c r="M105" s="495" t="s">
        <v>4</v>
      </c>
      <c r="N105" s="282">
        <f t="shared" si="6"/>
        <v>0</v>
      </c>
      <c r="O105" s="495" t="s">
        <v>20</v>
      </c>
      <c r="P105" s="495" t="s">
        <v>5</v>
      </c>
      <c r="Q105" s="496" t="s">
        <v>12</v>
      </c>
      <c r="R105" s="255"/>
    </row>
    <row r="106" spans="1:19" s="268" customFormat="1" ht="36" customHeight="1" x14ac:dyDescent="0.25">
      <c r="B106" s="511" t="s">
        <v>179</v>
      </c>
      <c r="C106" s="512"/>
      <c r="D106" s="513">
        <f>D38</f>
        <v>0</v>
      </c>
      <c r="E106" s="383">
        <f>D38</f>
        <v>0</v>
      </c>
      <c r="F106" s="495" t="s">
        <v>11</v>
      </c>
      <c r="G106" s="332"/>
      <c r="H106" s="332"/>
      <c r="I106" s="332"/>
      <c r="J106" s="508"/>
      <c r="K106" s="332"/>
      <c r="L106" s="332"/>
      <c r="M106" s="332"/>
      <c r="N106" s="332"/>
      <c r="O106" s="332"/>
      <c r="P106" s="332"/>
      <c r="Q106" s="500"/>
    </row>
    <row r="107" spans="1:19" s="261" customFormat="1" ht="40.5" customHeight="1" x14ac:dyDescent="0.25">
      <c r="A107" s="268"/>
      <c r="B107" s="491" t="s">
        <v>180</v>
      </c>
      <c r="C107" s="492"/>
      <c r="D107" s="493"/>
      <c r="E107" s="282">
        <f>(D38*5)/100</f>
        <v>0</v>
      </c>
      <c r="F107" s="495" t="s">
        <v>11</v>
      </c>
      <c r="G107" s="282">
        <f>SQRT(3)</f>
        <v>1.7320508075688772</v>
      </c>
      <c r="H107" s="282">
        <f t="shared" si="7"/>
        <v>0</v>
      </c>
      <c r="I107" s="495" t="s">
        <v>4</v>
      </c>
      <c r="J107" s="497" t="e">
        <f>K78</f>
        <v>#DIV/0!</v>
      </c>
      <c r="K107" s="495" t="s">
        <v>21</v>
      </c>
      <c r="L107" s="282" t="e">
        <f t="shared" si="5"/>
        <v>#DIV/0!</v>
      </c>
      <c r="M107" s="495" t="s">
        <v>4</v>
      </c>
      <c r="N107" s="282" t="e">
        <f t="shared" si="6"/>
        <v>#DIV/0!</v>
      </c>
      <c r="O107" s="495" t="s">
        <v>181</v>
      </c>
      <c r="P107" s="495" t="s">
        <v>5</v>
      </c>
      <c r="Q107" s="496" t="s">
        <v>12</v>
      </c>
      <c r="R107" s="255"/>
    </row>
    <row r="108" spans="1:19" s="261" customFormat="1" ht="40.5" customHeight="1" x14ac:dyDescent="0.25">
      <c r="A108" s="268"/>
      <c r="B108" s="491" t="s">
        <v>182</v>
      </c>
      <c r="C108" s="492"/>
      <c r="D108" s="514" t="s">
        <v>1</v>
      </c>
      <c r="E108" s="383">
        <f>(D39*5)/100</f>
        <v>0</v>
      </c>
      <c r="F108" s="495" t="s">
        <v>11</v>
      </c>
      <c r="G108" s="282">
        <f>SQRT(3)</f>
        <v>1.7320508075688772</v>
      </c>
      <c r="H108" s="282">
        <f t="shared" si="7"/>
        <v>0</v>
      </c>
      <c r="I108" s="495" t="s">
        <v>4</v>
      </c>
      <c r="J108" s="497" t="e">
        <f>K74</f>
        <v>#DIV/0!</v>
      </c>
      <c r="K108" s="495" t="s">
        <v>21</v>
      </c>
      <c r="L108" s="282" t="e">
        <f t="shared" si="5"/>
        <v>#DIV/0!</v>
      </c>
      <c r="M108" s="495" t="s">
        <v>4</v>
      </c>
      <c r="N108" s="282" t="e">
        <f t="shared" si="6"/>
        <v>#DIV/0!</v>
      </c>
      <c r="O108" s="495" t="s">
        <v>183</v>
      </c>
      <c r="P108" s="495" t="s">
        <v>5</v>
      </c>
      <c r="Q108" s="496" t="s">
        <v>12</v>
      </c>
      <c r="R108" s="255"/>
    </row>
    <row r="109" spans="1:19" s="261" customFormat="1" ht="40.5" customHeight="1" x14ac:dyDescent="0.25">
      <c r="A109" s="268"/>
      <c r="B109" s="491" t="s">
        <v>184</v>
      </c>
      <c r="C109" s="492"/>
      <c r="D109" s="514" t="s">
        <v>0</v>
      </c>
      <c r="E109" s="383">
        <f>(F39*5)/100</f>
        <v>0</v>
      </c>
      <c r="F109" s="495" t="s">
        <v>11</v>
      </c>
      <c r="G109" s="282">
        <f>SQRT(3)</f>
        <v>1.7320508075688772</v>
      </c>
      <c r="H109" s="282">
        <f t="shared" si="7"/>
        <v>0</v>
      </c>
      <c r="I109" s="495" t="s">
        <v>4</v>
      </c>
      <c r="J109" s="497" t="e">
        <f>K76</f>
        <v>#DIV/0!</v>
      </c>
      <c r="K109" s="495" t="s">
        <v>21</v>
      </c>
      <c r="L109" s="282" t="e">
        <f t="shared" si="5"/>
        <v>#DIV/0!</v>
      </c>
      <c r="M109" s="495" t="s">
        <v>4</v>
      </c>
      <c r="N109" s="282" t="e">
        <f t="shared" si="6"/>
        <v>#DIV/0!</v>
      </c>
      <c r="O109" s="495" t="s">
        <v>185</v>
      </c>
      <c r="P109" s="495" t="s">
        <v>5</v>
      </c>
      <c r="Q109" s="496" t="s">
        <v>12</v>
      </c>
      <c r="R109" s="255"/>
    </row>
    <row r="110" spans="1:19" s="268" customFormat="1" ht="40.5" customHeight="1" thickBot="1" x14ac:dyDescent="0.3">
      <c r="B110" s="515" t="s">
        <v>184</v>
      </c>
      <c r="C110" s="516"/>
      <c r="D110" s="517" t="s">
        <v>37</v>
      </c>
      <c r="E110" s="518">
        <f>(F40*5)/100</f>
        <v>0</v>
      </c>
      <c r="F110" s="519" t="s">
        <v>11</v>
      </c>
      <c r="G110" s="289">
        <f>SQRT(3)</f>
        <v>1.7320508075688772</v>
      </c>
      <c r="H110" s="289">
        <f t="shared" si="7"/>
        <v>0</v>
      </c>
      <c r="I110" s="519" t="s">
        <v>4</v>
      </c>
      <c r="J110" s="520">
        <f>K77</f>
        <v>0</v>
      </c>
      <c r="K110" s="519" t="s">
        <v>186</v>
      </c>
      <c r="L110" s="289">
        <f t="shared" si="5"/>
        <v>0</v>
      </c>
      <c r="M110" s="519" t="s">
        <v>4</v>
      </c>
      <c r="N110" s="289">
        <f t="shared" si="6"/>
        <v>0</v>
      </c>
      <c r="O110" s="519" t="s">
        <v>185</v>
      </c>
      <c r="P110" s="519" t="s">
        <v>5</v>
      </c>
      <c r="Q110" s="521" t="s">
        <v>12</v>
      </c>
      <c r="S110" s="261"/>
    </row>
    <row r="111" spans="1:19" s="523" customFormat="1" ht="40.5" customHeight="1" x14ac:dyDescent="0.25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522"/>
      <c r="S111" s="261"/>
    </row>
    <row r="112" spans="1:19" s="268" customFormat="1" ht="5.0999999999999996" customHeight="1" thickBot="1" x14ac:dyDescent="0.3">
      <c r="B112" s="524"/>
      <c r="C112" s="524"/>
      <c r="D112" s="524"/>
      <c r="E112" s="332"/>
      <c r="F112" s="332"/>
      <c r="H112" s="332"/>
      <c r="I112" s="332"/>
      <c r="J112" s="332"/>
      <c r="K112" s="332"/>
      <c r="L112" s="332"/>
      <c r="M112" s="332"/>
      <c r="N112" s="332"/>
      <c r="O112" s="332"/>
    </row>
    <row r="113" spans="1:31" s="261" customFormat="1" ht="30" customHeight="1" thickBot="1" x14ac:dyDescent="0.3">
      <c r="A113" s="255"/>
      <c r="B113" s="525" t="s">
        <v>187</v>
      </c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6"/>
      <c r="O113" s="526"/>
      <c r="P113" s="526"/>
      <c r="Q113" s="527"/>
    </row>
    <row r="114" spans="1:31" s="261" customFormat="1" ht="30" customHeight="1" x14ac:dyDescent="0.25">
      <c r="A114" s="332"/>
      <c r="B114" s="528" t="s">
        <v>188</v>
      </c>
      <c r="C114" s="529"/>
      <c r="D114" s="529"/>
      <c r="E114" s="530">
        <f>(3.1416*(D41)^2/4)*D42</f>
        <v>0</v>
      </c>
      <c r="F114" s="531" t="s">
        <v>4</v>
      </c>
      <c r="G114" s="530">
        <f>SQRT(3)</f>
        <v>1.7320508075688772</v>
      </c>
      <c r="H114" s="530">
        <f>E114/G114</f>
        <v>0</v>
      </c>
      <c r="I114" s="531" t="s">
        <v>4</v>
      </c>
      <c r="J114" s="530">
        <v>1</v>
      </c>
      <c r="K114" s="531"/>
      <c r="L114" s="530">
        <f>H114*J114</f>
        <v>0</v>
      </c>
      <c r="M114" s="495" t="s">
        <v>4</v>
      </c>
      <c r="N114" s="530">
        <f>L114^2</f>
        <v>0</v>
      </c>
      <c r="O114" s="531" t="s">
        <v>18</v>
      </c>
      <c r="P114" s="531" t="s">
        <v>5</v>
      </c>
      <c r="Q114" s="532" t="s">
        <v>12</v>
      </c>
      <c r="R114" s="255"/>
    </row>
    <row r="115" spans="1:31" s="261" customFormat="1" ht="30" customHeight="1" x14ac:dyDescent="0.25">
      <c r="A115" s="332"/>
      <c r="B115" s="271" t="s">
        <v>189</v>
      </c>
      <c r="C115" s="272"/>
      <c r="D115" s="272"/>
      <c r="E115" s="282">
        <f>(F37/2)</f>
        <v>0</v>
      </c>
      <c r="F115" s="495" t="s">
        <v>4</v>
      </c>
      <c r="G115" s="282">
        <f>SQRT(3)</f>
        <v>1.7320508075688772</v>
      </c>
      <c r="H115" s="282">
        <f>E115/G115</f>
        <v>0</v>
      </c>
      <c r="I115" s="495" t="s">
        <v>4</v>
      </c>
      <c r="J115" s="282">
        <v>1</v>
      </c>
      <c r="K115" s="495"/>
      <c r="L115" s="282">
        <f>H115*J115</f>
        <v>0</v>
      </c>
      <c r="M115" s="495" t="s">
        <v>4</v>
      </c>
      <c r="N115" s="282">
        <f>L115^2</f>
        <v>0</v>
      </c>
      <c r="O115" s="495" t="s">
        <v>18</v>
      </c>
      <c r="P115" s="495" t="s">
        <v>5</v>
      </c>
      <c r="Q115" s="496" t="s">
        <v>12</v>
      </c>
      <c r="R115" s="255"/>
    </row>
    <row r="116" spans="1:31" s="261" customFormat="1" ht="30" customHeight="1" x14ac:dyDescent="0.25">
      <c r="A116" s="268"/>
      <c r="B116" s="271" t="s">
        <v>190</v>
      </c>
      <c r="C116" s="272"/>
      <c r="D116" s="272"/>
      <c r="E116" s="497">
        <f>E63</f>
        <v>0</v>
      </c>
      <c r="F116" s="495" t="s">
        <v>4</v>
      </c>
      <c r="G116" s="286">
        <f>SQRT(5)</f>
        <v>2.2360679774997898</v>
      </c>
      <c r="H116" s="497">
        <f>E116/G116</f>
        <v>0</v>
      </c>
      <c r="I116" s="495" t="s">
        <v>4</v>
      </c>
      <c r="J116" s="282">
        <v>1</v>
      </c>
      <c r="K116" s="495"/>
      <c r="L116" s="282">
        <f>H116*J116</f>
        <v>0</v>
      </c>
      <c r="M116" s="495" t="s">
        <v>4</v>
      </c>
      <c r="N116" s="456">
        <f>L116^2</f>
        <v>0</v>
      </c>
      <c r="O116" s="495" t="s">
        <v>6</v>
      </c>
      <c r="P116" s="495" t="s">
        <v>171</v>
      </c>
      <c r="Q116" s="496">
        <f>C51-1</f>
        <v>4</v>
      </c>
      <c r="R116" s="255"/>
    </row>
    <row r="117" spans="1:31" s="261" customFormat="1" ht="30" customHeight="1" thickBot="1" x14ac:dyDescent="0.3">
      <c r="A117" s="268" t="s">
        <v>191</v>
      </c>
      <c r="B117" s="533" t="s">
        <v>192</v>
      </c>
      <c r="C117" s="534"/>
      <c r="D117" s="534"/>
      <c r="E117" s="289">
        <f>(0.2+0.51+0.68)</f>
        <v>1.3900000000000001</v>
      </c>
      <c r="F117" s="519" t="s">
        <v>4</v>
      </c>
      <c r="G117" s="289">
        <v>1</v>
      </c>
      <c r="H117" s="289">
        <f>E117/G117</f>
        <v>1.3900000000000001</v>
      </c>
      <c r="I117" s="519" t="s">
        <v>4</v>
      </c>
      <c r="J117" s="289">
        <v>1</v>
      </c>
      <c r="K117" s="519"/>
      <c r="L117" s="289">
        <f>H117*J117</f>
        <v>1.3900000000000001</v>
      </c>
      <c r="M117" s="535" t="s">
        <v>4</v>
      </c>
      <c r="N117" s="536">
        <f>L117^2</f>
        <v>1.9321000000000004</v>
      </c>
      <c r="O117" s="519" t="s">
        <v>193</v>
      </c>
      <c r="P117" s="519" t="s">
        <v>5</v>
      </c>
      <c r="Q117" s="521" t="s">
        <v>12</v>
      </c>
      <c r="R117" s="255"/>
    </row>
    <row r="118" spans="1:31" s="541" customFormat="1" ht="39.950000000000003" customHeight="1" x14ac:dyDescent="0.25">
      <c r="A118" s="465"/>
      <c r="B118" s="537"/>
      <c r="C118" s="537"/>
      <c r="D118" s="537"/>
      <c r="E118" s="332"/>
      <c r="F118" s="332"/>
      <c r="G118" s="268"/>
      <c r="H118" s="332"/>
      <c r="I118" s="332"/>
      <c r="J118" s="332"/>
      <c r="K118" s="332"/>
      <c r="L118" s="538"/>
      <c r="M118" s="539"/>
      <c r="N118" s="540" t="e">
        <f>SQRT(SUM(N92:N93,N95,N97:N100,N102:N105,N107:N109,N110,N114,N115,N116,N117,))</f>
        <v>#DIV/0!</v>
      </c>
      <c r="O118" s="332"/>
      <c r="P118" s="268"/>
      <c r="Q118" s="268"/>
    </row>
    <row r="119" spans="1:31" s="545" customFormat="1" ht="30" customHeight="1" thickBot="1" x14ac:dyDescent="0.3">
      <c r="A119" s="268"/>
      <c r="B119" s="542"/>
      <c r="C119" s="543"/>
      <c r="D119" s="543"/>
      <c r="E119" s="543"/>
      <c r="F119" s="543"/>
      <c r="G119" s="543"/>
      <c r="H119" s="543"/>
      <c r="I119" s="543"/>
      <c r="J119" s="543"/>
      <c r="K119" s="543"/>
      <c r="L119" s="543"/>
      <c r="M119" s="544" t="s">
        <v>194</v>
      </c>
      <c r="N119" s="540" t="e">
        <f>E123*N118</f>
        <v>#DIV/0!</v>
      </c>
      <c r="O119" s="543"/>
      <c r="P119" s="543"/>
      <c r="Q119" s="543"/>
      <c r="R119" s="543"/>
    </row>
    <row r="120" spans="1:31" s="545" customFormat="1" ht="30" customHeight="1" thickBot="1" x14ac:dyDescent="0.3">
      <c r="A120" s="268"/>
      <c r="B120" s="546" t="s">
        <v>195</v>
      </c>
      <c r="C120" s="547"/>
      <c r="D120" s="547"/>
      <c r="E120" s="547"/>
      <c r="F120" s="547"/>
      <c r="G120" s="547"/>
      <c r="H120" s="547"/>
      <c r="I120" s="547"/>
      <c r="J120" s="548"/>
      <c r="K120" s="549"/>
      <c r="L120" s="550" t="s">
        <v>17</v>
      </c>
      <c r="M120" s="551"/>
      <c r="N120" s="540" t="e">
        <f>(N118^4)/((L92^4/Q92)+(L95^4/Q95)+(L98^4/Q98)+(L103^4/Q103)+(L116^4/Q116))</f>
        <v>#DIV/0!</v>
      </c>
      <c r="O120" s="268"/>
      <c r="P120" s="268"/>
      <c r="Q120" s="268"/>
      <c r="R120" s="543"/>
      <c r="U120" s="542"/>
      <c r="V120" s="542"/>
      <c r="W120" s="542"/>
    </row>
    <row r="121" spans="1:31" s="545" customFormat="1" ht="30" customHeight="1" thickBot="1" x14ac:dyDescent="0.3">
      <c r="A121" s="268"/>
      <c r="B121" s="268"/>
      <c r="C121" s="552" t="s">
        <v>277</v>
      </c>
      <c r="D121" s="553" t="s">
        <v>278</v>
      </c>
      <c r="E121" s="553" t="s">
        <v>162</v>
      </c>
      <c r="F121" s="553" t="s">
        <v>7</v>
      </c>
      <c r="G121" s="553" t="s">
        <v>8</v>
      </c>
      <c r="H121" s="553" t="s">
        <v>9</v>
      </c>
      <c r="I121" s="553" t="s">
        <v>196</v>
      </c>
      <c r="J121" s="554" t="s">
        <v>197</v>
      </c>
      <c r="K121" s="268"/>
      <c r="L121" s="268"/>
      <c r="M121" s="268"/>
      <c r="N121" s="268"/>
      <c r="O121" s="268"/>
      <c r="P121" s="268"/>
      <c r="Q121" s="268"/>
      <c r="R121" s="543"/>
      <c r="U121" s="542"/>
      <c r="V121" s="542"/>
      <c r="W121" s="542"/>
    </row>
    <row r="122" spans="1:31" s="261" customFormat="1" ht="30" customHeight="1" x14ac:dyDescent="0.25">
      <c r="A122" s="255"/>
      <c r="B122" s="555" t="s">
        <v>4</v>
      </c>
      <c r="C122" s="556">
        <f>E62</f>
        <v>0</v>
      </c>
      <c r="D122" s="557" t="e">
        <f>N118</f>
        <v>#DIV/0!</v>
      </c>
      <c r="E122" s="558"/>
      <c r="F122" s="557" t="e">
        <f>D122*$E$123</f>
        <v>#DIV/0!</v>
      </c>
      <c r="G122" s="558"/>
      <c r="H122" s="559">
        <f>C122-C7</f>
        <v>0</v>
      </c>
      <c r="I122" s="559">
        <f>ABS(H122)</f>
        <v>0</v>
      </c>
      <c r="J122" s="560" t="e">
        <f>F122*I122</f>
        <v>#DIV/0!</v>
      </c>
      <c r="K122" s="561"/>
      <c r="L122" s="255"/>
      <c r="M122" s="562" t="s">
        <v>162</v>
      </c>
      <c r="N122" s="563"/>
      <c r="O122" s="268"/>
      <c r="P122" s="268"/>
      <c r="Q122" s="255"/>
      <c r="R122" s="268"/>
    </row>
    <row r="123" spans="1:31" s="261" customFormat="1" ht="30" customHeight="1" thickBot="1" x14ac:dyDescent="0.3">
      <c r="A123" s="255"/>
      <c r="B123" s="564" t="s">
        <v>279</v>
      </c>
      <c r="C123" s="565">
        <f>C122/L29</f>
        <v>0</v>
      </c>
      <c r="D123" s="566" t="e">
        <f>D122/L29</f>
        <v>#DIV/0!</v>
      </c>
      <c r="E123" s="567" t="e">
        <f>M123</f>
        <v>#DIV/0!</v>
      </c>
      <c r="F123" s="566" t="e">
        <f>D123*$E$123</f>
        <v>#DIV/0!</v>
      </c>
      <c r="G123" s="568">
        <v>0.95</v>
      </c>
      <c r="H123" s="569">
        <f>H122/L29</f>
        <v>0</v>
      </c>
      <c r="I123" s="569">
        <f>ABS(H123)</f>
        <v>0</v>
      </c>
      <c r="J123" s="560" t="e">
        <f>F123*I123</f>
        <v>#DIV/0!</v>
      </c>
      <c r="K123" s="570"/>
      <c r="L123" s="255"/>
      <c r="M123" s="571" t="e">
        <f>_xlfn.T.INV.2T(0.05,N120)</f>
        <v>#DIV/0!</v>
      </c>
      <c r="N123" s="572" t="e">
        <f>TINV(0.05,N120)</f>
        <v>#DIV/0!</v>
      </c>
      <c r="O123" s="255"/>
      <c r="P123" s="255"/>
      <c r="Q123" s="255"/>
      <c r="R123" s="268"/>
    </row>
    <row r="124" spans="1:31" s="261" customFormat="1" ht="30" customHeight="1" thickBot="1" x14ac:dyDescent="0.3">
      <c r="A124" s="255"/>
      <c r="B124" s="573" t="s">
        <v>10</v>
      </c>
      <c r="C124" s="574">
        <f>C123/L26</f>
        <v>0</v>
      </c>
      <c r="D124" s="574" t="e">
        <f>D123/L26</f>
        <v>#DIV/0!</v>
      </c>
      <c r="E124" s="575"/>
      <c r="F124" s="574" t="e">
        <f>D124*$E$123</f>
        <v>#DIV/0!</v>
      </c>
      <c r="G124" s="575"/>
      <c r="H124" s="574">
        <f>H123/L26</f>
        <v>0</v>
      </c>
      <c r="I124" s="574">
        <f>ABS(H124)</f>
        <v>0</v>
      </c>
      <c r="J124" s="560" t="e">
        <f>F124*I124</f>
        <v>#DIV/0!</v>
      </c>
      <c r="K124" s="255"/>
      <c r="L124" s="255"/>
      <c r="M124" s="255"/>
      <c r="N124" s="255"/>
      <c r="O124" s="255"/>
      <c r="P124" s="255"/>
      <c r="Q124" s="543"/>
      <c r="R124" s="543"/>
      <c r="S124" s="543"/>
      <c r="T124" s="576"/>
      <c r="U124" s="576"/>
      <c r="V124" s="576"/>
      <c r="W124" s="576"/>
      <c r="X124" s="576"/>
      <c r="Y124" s="576"/>
      <c r="Z124" s="576"/>
      <c r="AA124" s="576"/>
      <c r="AB124" s="545"/>
      <c r="AC124" s="545"/>
      <c r="AD124" s="545"/>
      <c r="AE124" s="545"/>
    </row>
    <row r="125" spans="1:31" s="268" customFormat="1" ht="5.0999999999999996" customHeight="1" x14ac:dyDescent="0.25">
      <c r="B125" s="577"/>
      <c r="C125" s="578"/>
      <c r="D125" s="578"/>
      <c r="E125" s="579"/>
      <c r="F125" s="578"/>
      <c r="G125" s="579"/>
      <c r="H125" s="578"/>
      <c r="I125" s="578"/>
      <c r="J125" s="580"/>
      <c r="Q125" s="543"/>
      <c r="R125" s="543"/>
      <c r="S125" s="543"/>
      <c r="T125" s="543"/>
      <c r="U125" s="543"/>
      <c r="V125" s="543"/>
      <c r="W125" s="543"/>
      <c r="X125" s="543"/>
      <c r="Y125" s="543"/>
      <c r="Z125" s="543"/>
      <c r="AA125" s="543"/>
    </row>
    <row r="126" spans="1:31" s="261" customFormat="1" ht="5.0999999999999996" customHeight="1" x14ac:dyDescent="0.25">
      <c r="A126" s="255"/>
      <c r="B126" s="268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68"/>
      <c r="R126" s="268"/>
      <c r="S126" s="268"/>
      <c r="T126" s="581"/>
      <c r="U126" s="582"/>
      <c r="V126" s="268"/>
      <c r="W126" s="581"/>
      <c r="X126" s="582"/>
      <c r="Y126" s="268"/>
      <c r="Z126" s="583"/>
      <c r="AA126" s="582"/>
      <c r="AB126" s="545"/>
      <c r="AC126" s="545"/>
      <c r="AD126" s="545"/>
      <c r="AE126" s="545"/>
    </row>
    <row r="127" spans="1:31" s="261" customFormat="1" ht="30" customHeight="1" x14ac:dyDescent="0.25"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584" t="s">
        <v>211</v>
      </c>
      <c r="R127" s="584"/>
    </row>
  </sheetData>
  <sheetProtection algorithmName="SHA-512" hashValue="RZRm5u6uwUwepV4OHLtWrH9lzhs0XE16gaVw0yv0XxxUWs2hRzl0gt8ud1FDUpxfc+ue59NyN1//v6RyqliMpQ==" saltValue="6kXDhtgztggxJwT2s2VA8Q==" spinCount="100000" sheet="1" objects="1" scenarios="1"/>
  <mergeCells count="158">
    <mergeCell ref="A1:B1"/>
    <mergeCell ref="D1:R1"/>
    <mergeCell ref="A3:B3"/>
    <mergeCell ref="N3:O3"/>
    <mergeCell ref="A5:R5"/>
    <mergeCell ref="Q6:R6"/>
    <mergeCell ref="A8:A10"/>
    <mergeCell ref="B8:B10"/>
    <mergeCell ref="E8:E10"/>
    <mergeCell ref="F8:F10"/>
    <mergeCell ref="H8:H10"/>
    <mergeCell ref="J8:J10"/>
    <mergeCell ref="L8:L10"/>
    <mergeCell ref="N8:N10"/>
    <mergeCell ref="O8:O10"/>
    <mergeCell ref="P8:P10"/>
    <mergeCell ref="P3:R3"/>
    <mergeCell ref="P11:P13"/>
    <mergeCell ref="A18:A19"/>
    <mergeCell ref="B18:B19"/>
    <mergeCell ref="C18:C19"/>
    <mergeCell ref="D18:D19"/>
    <mergeCell ref="E18:E19"/>
    <mergeCell ref="F18:F19"/>
    <mergeCell ref="G18:G19"/>
    <mergeCell ref="H18:H19"/>
    <mergeCell ref="A11:A13"/>
    <mergeCell ref="B11:B13"/>
    <mergeCell ref="E11:E13"/>
    <mergeCell ref="F11:F13"/>
    <mergeCell ref="H11:H13"/>
    <mergeCell ref="J11:J13"/>
    <mergeCell ref="L11:L13"/>
    <mergeCell ref="N11:N13"/>
    <mergeCell ref="O11:O13"/>
    <mergeCell ref="A14:A16"/>
    <mergeCell ref="E14:E16"/>
    <mergeCell ref="P24:P25"/>
    <mergeCell ref="Q24:Q25"/>
    <mergeCell ref="B25:C25"/>
    <mergeCell ref="O18:O19"/>
    <mergeCell ref="P18:P19"/>
    <mergeCell ref="B23:G23"/>
    <mergeCell ref="I23:Q23"/>
    <mergeCell ref="B24:C24"/>
    <mergeCell ref="D24:E24"/>
    <mergeCell ref="F24:G24"/>
    <mergeCell ref="I24:I25"/>
    <mergeCell ref="J24:J25"/>
    <mergeCell ref="K24:K25"/>
    <mergeCell ref="I18:I19"/>
    <mergeCell ref="J18:J19"/>
    <mergeCell ref="K18:K19"/>
    <mergeCell ref="L18:L19"/>
    <mergeCell ref="M18:M19"/>
    <mergeCell ref="N18:N19"/>
    <mergeCell ref="B26:C26"/>
    <mergeCell ref="B27:C27"/>
    <mergeCell ref="B28:C28"/>
    <mergeCell ref="B29:C29"/>
    <mergeCell ref="B30:C30"/>
    <mergeCell ref="B31:C31"/>
    <mergeCell ref="L24:L25"/>
    <mergeCell ref="M24:M25"/>
    <mergeCell ref="O24:O25"/>
    <mergeCell ref="B34:C34"/>
    <mergeCell ref="I34:R34"/>
    <mergeCell ref="B35:C35"/>
    <mergeCell ref="I35:L35"/>
    <mergeCell ref="M35:P35"/>
    <mergeCell ref="B36:C36"/>
    <mergeCell ref="I36:J36"/>
    <mergeCell ref="M36:N36"/>
    <mergeCell ref="B32:C32"/>
    <mergeCell ref="I32:J32"/>
    <mergeCell ref="K32:L32"/>
    <mergeCell ref="N32:O32"/>
    <mergeCell ref="P32:Q32"/>
    <mergeCell ref="B33:C33"/>
    <mergeCell ref="B39:C39"/>
    <mergeCell ref="B40:C40"/>
    <mergeCell ref="B41:C41"/>
    <mergeCell ref="B42:C42"/>
    <mergeCell ref="C44:N44"/>
    <mergeCell ref="C45:G45"/>
    <mergeCell ref="I45:N45"/>
    <mergeCell ref="B37:C37"/>
    <mergeCell ref="I37:J37"/>
    <mergeCell ref="M37:N37"/>
    <mergeCell ref="B38:C38"/>
    <mergeCell ref="I38:J38"/>
    <mergeCell ref="M38:N38"/>
    <mergeCell ref="E52:F52"/>
    <mergeCell ref="K52:L52"/>
    <mergeCell ref="B54:O54"/>
    <mergeCell ref="B55:O55"/>
    <mergeCell ref="B56:C56"/>
    <mergeCell ref="B57:C57"/>
    <mergeCell ref="L57:M59"/>
    <mergeCell ref="B58:C58"/>
    <mergeCell ref="B59:C59"/>
    <mergeCell ref="P67:P68"/>
    <mergeCell ref="B68:D68"/>
    <mergeCell ref="B70:D70"/>
    <mergeCell ref="B60:C60"/>
    <mergeCell ref="L60:M62"/>
    <mergeCell ref="B61:C61"/>
    <mergeCell ref="C62:D62"/>
    <mergeCell ref="C63:D63"/>
    <mergeCell ref="C64:D64"/>
    <mergeCell ref="B72:E72"/>
    <mergeCell ref="B74:F74"/>
    <mergeCell ref="B76:F76"/>
    <mergeCell ref="B78:F78"/>
    <mergeCell ref="B80:D80"/>
    <mergeCell ref="B82:D82"/>
    <mergeCell ref="B66:L66"/>
    <mergeCell ref="N67:N68"/>
    <mergeCell ref="O67:O68"/>
    <mergeCell ref="B91:C91"/>
    <mergeCell ref="A92:A93"/>
    <mergeCell ref="B92:C92"/>
    <mergeCell ref="B93:C93"/>
    <mergeCell ref="B94:D94"/>
    <mergeCell ref="B95:C95"/>
    <mergeCell ref="B84:D84"/>
    <mergeCell ref="B86:D86"/>
    <mergeCell ref="A89:R89"/>
    <mergeCell ref="B90:C90"/>
    <mergeCell ref="E90:F90"/>
    <mergeCell ref="H90:I90"/>
    <mergeCell ref="J90:K90"/>
    <mergeCell ref="L90:M90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Q127:R127"/>
    <mergeCell ref="B116:D116"/>
    <mergeCell ref="B117:D117"/>
    <mergeCell ref="B118:D118"/>
    <mergeCell ref="B120:J120"/>
    <mergeCell ref="L120:M120"/>
    <mergeCell ref="M122:N122"/>
    <mergeCell ref="B108:C108"/>
    <mergeCell ref="B109:C109"/>
    <mergeCell ref="B110:C110"/>
    <mergeCell ref="B113:Q113"/>
    <mergeCell ref="B114:D114"/>
    <mergeCell ref="B115:D115"/>
  </mergeCells>
  <printOptions horizontalCentered="1"/>
  <pageMargins left="0.70866141732283472" right="0.70866141732283472" top="0.74803149606299213" bottom="0.74803149606299213" header="0.31496062992125984" footer="0.31496062992125984"/>
  <pageSetup scale="34" fitToHeight="2" orientation="portrait" r:id="rId1"/>
  <headerFooter>
    <oddFooter>&amp;RRT03-F33 Vr.0(2017-04-28)</oddFooter>
  </headerFooter>
  <rowBreaks count="1" manualBreakCount="1">
    <brk id="64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</sheetPr>
  <dimension ref="A3:J200"/>
  <sheetViews>
    <sheetView showGridLines="0" view="pageLayout" zoomScaleNormal="100" zoomScaleSheetLayoutView="100" workbookViewId="0">
      <selection activeCell="F12" sqref="F12:G12"/>
    </sheetView>
  </sheetViews>
  <sheetFormatPr baseColWidth="10" defaultRowHeight="15.75" x14ac:dyDescent="0.25"/>
  <cols>
    <col min="1" max="1" width="5.28515625" style="1" customWidth="1"/>
    <col min="2" max="2" width="12.85546875" style="1" customWidth="1"/>
    <col min="3" max="3" width="9.28515625" style="1" customWidth="1"/>
    <col min="4" max="4" width="8.7109375" style="1" customWidth="1"/>
    <col min="5" max="5" width="10.5703125" style="1" customWidth="1"/>
    <col min="6" max="6" width="11" style="1" customWidth="1"/>
    <col min="7" max="7" width="9" style="1" customWidth="1"/>
    <col min="8" max="8" width="8.42578125" style="1" customWidth="1"/>
    <col min="9" max="9" width="7.5703125" style="1" customWidth="1"/>
    <col min="10" max="10" width="5.42578125" style="1" customWidth="1"/>
    <col min="11" max="16384" width="11.42578125" style="1"/>
  </cols>
  <sheetData>
    <row r="3" spans="1:10" ht="16.5" thickBot="1" x14ac:dyDescent="0.3"/>
    <row r="4" spans="1:10" ht="3" customHeight="1" thickTop="1" thickBot="1" x14ac:dyDescent="0.3">
      <c r="A4" s="114"/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2" customHeight="1" thickTop="1" x14ac:dyDescent="0.25">
      <c r="A5" s="149"/>
      <c r="B5" s="149"/>
      <c r="C5" s="149"/>
      <c r="D5" s="36"/>
      <c r="E5" s="36"/>
      <c r="F5" s="36"/>
    </row>
    <row r="6" spans="1:10" ht="12" customHeight="1" x14ac:dyDescent="0.25">
      <c r="A6" s="149" t="s">
        <v>65</v>
      </c>
      <c r="B6" s="149"/>
      <c r="C6" s="149"/>
      <c r="D6" s="149"/>
      <c r="E6" s="149"/>
      <c r="F6" s="36"/>
    </row>
    <row r="7" spans="1:10" ht="12" customHeight="1" x14ac:dyDescent="0.25">
      <c r="A7" s="32"/>
      <c r="B7" s="32"/>
      <c r="C7" s="32"/>
      <c r="D7" s="36"/>
      <c r="E7" s="36"/>
      <c r="F7" s="36"/>
    </row>
    <row r="8" spans="1:10" ht="15" customHeight="1" x14ac:dyDescent="0.25">
      <c r="A8" s="129" t="s">
        <v>66</v>
      </c>
      <c r="B8" s="129"/>
      <c r="C8" s="32"/>
      <c r="D8" s="123">
        <f>'VERIFICACION INTERMEDIAS VOLUME'!F3</f>
        <v>0</v>
      </c>
      <c r="E8" s="123"/>
      <c r="F8" s="123"/>
      <c r="G8" s="123"/>
    </row>
    <row r="9" spans="1:10" ht="15" customHeight="1" x14ac:dyDescent="0.25">
      <c r="A9" s="129" t="s">
        <v>41</v>
      </c>
      <c r="B9" s="129"/>
      <c r="C9" s="32"/>
      <c r="D9" s="123"/>
      <c r="E9" s="123"/>
      <c r="F9" s="123"/>
      <c r="G9" s="123"/>
    </row>
    <row r="10" spans="1:10" ht="15" customHeight="1" x14ac:dyDescent="0.25">
      <c r="A10" s="129" t="s">
        <v>67</v>
      </c>
      <c r="B10" s="129"/>
      <c r="C10" s="32"/>
      <c r="D10" s="123">
        <f>'VERIFICACION INTERMEDIAS VOLUME'!C3</f>
        <v>0</v>
      </c>
      <c r="E10" s="123"/>
      <c r="F10" s="123"/>
      <c r="G10" s="123"/>
    </row>
    <row r="11" spans="1:10" ht="15" customHeight="1" x14ac:dyDescent="0.25">
      <c r="A11" s="31"/>
      <c r="B11" s="31"/>
      <c r="C11" s="32"/>
      <c r="D11" s="36"/>
      <c r="E11" s="36"/>
      <c r="F11" s="36"/>
      <c r="G11" s="36"/>
    </row>
    <row r="12" spans="1:10" ht="15" customHeight="1" x14ac:dyDescent="0.25">
      <c r="A12" s="129" t="s">
        <v>30</v>
      </c>
      <c r="B12" s="129"/>
      <c r="C12" s="129"/>
      <c r="D12" s="154">
        <f>'VERIFICACION INTERMEDIAS VOLUME'!I3</f>
        <v>0</v>
      </c>
      <c r="E12" s="154"/>
      <c r="F12" s="152" t="s">
        <v>214</v>
      </c>
      <c r="G12" s="152"/>
      <c r="H12" s="155">
        <f>'VERIFICACION INTERMEDIAS VOLUME'!M3</f>
        <v>0</v>
      </c>
      <c r="I12" s="155"/>
      <c r="J12" s="155"/>
    </row>
    <row r="13" spans="1:10" ht="12" customHeight="1" x14ac:dyDescent="0.25">
      <c r="A13" s="129"/>
      <c r="B13" s="129"/>
      <c r="C13" s="2"/>
      <c r="D13" s="129"/>
      <c r="E13" s="129"/>
      <c r="F13" s="129"/>
    </row>
    <row r="14" spans="1:10" ht="20.100000000000001" customHeight="1" x14ac:dyDescent="0.25">
      <c r="A14" s="149" t="s">
        <v>217</v>
      </c>
      <c r="B14" s="149"/>
      <c r="C14" s="149"/>
      <c r="D14" s="149"/>
      <c r="E14" s="149"/>
      <c r="F14" s="149"/>
      <c r="G14" s="149"/>
    </row>
    <row r="15" spans="1:10" ht="12" customHeight="1" x14ac:dyDescent="0.25">
      <c r="A15" s="32"/>
      <c r="B15" s="32"/>
      <c r="C15" s="32"/>
      <c r="D15" s="32"/>
      <c r="E15" s="32"/>
      <c r="F15" s="36"/>
    </row>
    <row r="16" spans="1:10" ht="15" customHeight="1" x14ac:dyDescent="0.25">
      <c r="A16" s="129" t="s">
        <v>27</v>
      </c>
      <c r="B16" s="129"/>
      <c r="C16" s="129"/>
      <c r="D16" s="153"/>
      <c r="E16" s="153"/>
      <c r="F16" s="153"/>
      <c r="G16" s="153"/>
      <c r="H16" s="153"/>
    </row>
    <row r="17" spans="1:10" ht="15" customHeight="1" x14ac:dyDescent="0.25">
      <c r="A17" s="129" t="s">
        <v>28</v>
      </c>
      <c r="B17" s="129"/>
      <c r="C17" s="129"/>
      <c r="D17" s="123">
        <f>'VERIFICACION INTERMEDIAS VOLUME'!F25</f>
        <v>0</v>
      </c>
      <c r="E17" s="123"/>
      <c r="F17" s="123"/>
      <c r="G17" s="123"/>
    </row>
    <row r="18" spans="1:10" ht="15" customHeight="1" x14ac:dyDescent="0.25">
      <c r="A18" s="129" t="s">
        <v>29</v>
      </c>
      <c r="B18" s="129"/>
      <c r="C18" s="129"/>
      <c r="D18" s="148">
        <f>'VERIFICACION INTERMEDIAS VOLUME'!D28</f>
        <v>0</v>
      </c>
      <c r="E18" s="123"/>
      <c r="F18" s="123"/>
      <c r="G18" s="123"/>
    </row>
    <row r="19" spans="1:10" ht="12" customHeight="1" x14ac:dyDescent="0.25">
      <c r="A19" s="31"/>
      <c r="B19" s="31"/>
      <c r="C19" s="31"/>
      <c r="D19" s="29"/>
      <c r="E19" s="29"/>
      <c r="F19" s="29"/>
      <c r="G19" s="29"/>
    </row>
    <row r="20" spans="1:10" ht="19.5" customHeight="1" x14ac:dyDescent="0.25">
      <c r="A20" s="149" t="s">
        <v>216</v>
      </c>
      <c r="B20" s="149"/>
      <c r="C20" s="149"/>
      <c r="D20" s="149"/>
      <c r="E20" s="149"/>
      <c r="F20" s="2"/>
      <c r="G20" s="2"/>
      <c r="H20" s="2"/>
      <c r="I20" s="2"/>
      <c r="J20" s="2"/>
    </row>
    <row r="21" spans="1:10" ht="12" customHeight="1" x14ac:dyDescent="0.25">
      <c r="A21" s="41"/>
      <c r="B21" s="41"/>
      <c r="C21" s="41"/>
      <c r="D21" s="40"/>
      <c r="E21" s="40"/>
      <c r="F21" s="40"/>
      <c r="G21" s="40"/>
      <c r="H21" s="40"/>
      <c r="I21" s="40"/>
      <c r="J21" s="40"/>
    </row>
    <row r="22" spans="1:10" ht="15" customHeight="1" x14ac:dyDescent="0.25">
      <c r="A22" s="151"/>
      <c r="B22" s="151"/>
      <c r="C22" s="151"/>
      <c r="D22" s="151"/>
      <c r="E22" s="151"/>
      <c r="F22" s="151"/>
      <c r="G22" s="152"/>
      <c r="H22" s="152"/>
      <c r="I22" s="152"/>
      <c r="J22" s="152"/>
    </row>
    <row r="23" spans="1:10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 customHeight="1" x14ac:dyDescent="0.25">
      <c r="A24" s="150" t="s">
        <v>68</v>
      </c>
      <c r="B24" s="150"/>
      <c r="C24" s="150"/>
      <c r="D24" s="129"/>
      <c r="E24" s="129"/>
      <c r="F24" s="129"/>
      <c r="G24" s="129"/>
      <c r="H24" s="129"/>
      <c r="I24" s="129"/>
      <c r="J24" s="129"/>
    </row>
    <row r="25" spans="1:10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 customHeight="1" x14ac:dyDescent="0.25">
      <c r="A26" s="119" t="s">
        <v>220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5" customHeight="1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5" customHeight="1" x14ac:dyDescent="0.25">
      <c r="A28" s="119" t="s">
        <v>32</v>
      </c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</row>
    <row r="30" spans="1:10" ht="45" customHeight="1" x14ac:dyDescent="0.25">
      <c r="A30" s="119" t="s">
        <v>221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" customHeigh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x14ac:dyDescent="0.25">
      <c r="A32" s="122" t="s">
        <v>218</v>
      </c>
      <c r="B32" s="122"/>
      <c r="C32" s="122"/>
      <c r="D32" s="122"/>
      <c r="E32" s="122"/>
      <c r="F32" s="122"/>
      <c r="G32" s="122"/>
      <c r="H32" s="122"/>
      <c r="I32" s="122"/>
    </row>
    <row r="34" spans="1:10" x14ac:dyDescent="0.25">
      <c r="A34" s="149" t="s">
        <v>42</v>
      </c>
      <c r="B34" s="149"/>
      <c r="C34" s="149"/>
      <c r="D34" s="149"/>
      <c r="E34" s="149"/>
      <c r="F34" s="149"/>
      <c r="G34" s="149"/>
      <c r="H34" s="149"/>
      <c r="I34" s="149"/>
      <c r="J34" s="149"/>
    </row>
    <row r="35" spans="1:10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5" customHeight="1" x14ac:dyDescent="0.25">
      <c r="A36" s="115" t="s">
        <v>48</v>
      </c>
      <c r="B36" s="115"/>
      <c r="C36" s="115"/>
      <c r="D36" s="7"/>
      <c r="E36" s="123"/>
      <c r="F36" s="123"/>
      <c r="G36" s="123"/>
    </row>
    <row r="37" spans="1:10" ht="15" customHeight="1" x14ac:dyDescent="0.25">
      <c r="A37" s="115" t="s">
        <v>50</v>
      </c>
      <c r="B37" s="115"/>
      <c r="C37" s="115"/>
      <c r="D37" s="115"/>
      <c r="E37" s="123">
        <f>'VERIFICACION INTERMEDIAS VOLUME'!F31</f>
        <v>0</v>
      </c>
      <c r="F37" s="123"/>
      <c r="G37" s="123"/>
    </row>
    <row r="38" spans="1:10" ht="15" customHeight="1" x14ac:dyDescent="0.25">
      <c r="A38" s="129" t="s">
        <v>49</v>
      </c>
      <c r="B38" s="129"/>
      <c r="C38" s="129"/>
      <c r="E38" s="129">
        <f>'VERIFICACION INTERMEDIAS VOLUME'!F32</f>
        <v>0</v>
      </c>
      <c r="F38" s="129"/>
      <c r="G38" s="129"/>
    </row>
    <row r="39" spans="1:10" ht="15" customHeight="1" x14ac:dyDescent="0.25">
      <c r="A39" s="129" t="s">
        <v>69</v>
      </c>
      <c r="B39" s="129"/>
      <c r="C39" s="129"/>
      <c r="D39" s="129"/>
      <c r="E39" s="129"/>
      <c r="F39" s="129"/>
      <c r="J39" s="33"/>
    </row>
    <row r="40" spans="1:10" ht="15" customHeight="1" x14ac:dyDescent="0.25">
      <c r="A40" s="129" t="s">
        <v>70</v>
      </c>
      <c r="B40" s="129"/>
      <c r="C40" s="129"/>
      <c r="E40" s="123"/>
      <c r="F40" s="123"/>
      <c r="G40" s="123"/>
    </row>
    <row r="41" spans="1:10" ht="15" customHeight="1" x14ac:dyDescent="0.25">
      <c r="A41" s="129" t="s">
        <v>52</v>
      </c>
      <c r="B41" s="129"/>
      <c r="C41" s="129"/>
      <c r="E41" s="8">
        <f>'VERIFICACION INTERMEDIAS VOLUME'!F29</f>
        <v>0</v>
      </c>
    </row>
    <row r="42" spans="1:10" ht="3" customHeight="1" x14ac:dyDescent="0.25"/>
    <row r="43" spans="1:10" ht="15" customHeight="1" thickBot="1" x14ac:dyDescent="0.3">
      <c r="A43" s="129" t="s">
        <v>55</v>
      </c>
      <c r="B43" s="129"/>
      <c r="C43" s="129"/>
      <c r="D43" s="129"/>
      <c r="E43" s="148">
        <f>'VERIFICACION INTERMEDIAS VOLUME'!D26</f>
        <v>0</v>
      </c>
      <c r="F43" s="123"/>
      <c r="G43" s="123"/>
      <c r="H43" s="42"/>
      <c r="I43" s="42"/>
      <c r="J43" s="42"/>
    </row>
    <row r="44" spans="1:10" ht="3.75" customHeight="1" thickTop="1" thickBot="1" x14ac:dyDescent="0.3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5" customHeight="1" thickTop="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5" customHeight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5" customHeight="1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5" customHeight="1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5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5" customHeight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5" customHeight="1" thickBot="1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3.75" customHeight="1" thickTop="1" thickBot="1" x14ac:dyDescent="0.3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8.4499999999999993" customHeight="1" thickTop="1" x14ac:dyDescent="0.25"/>
    <row r="54" spans="1:10" ht="8.4499999999999993" customHeight="1" x14ac:dyDescent="0.25"/>
    <row r="55" spans="1:10" ht="15" customHeight="1" x14ac:dyDescent="0.25">
      <c r="A55" s="129" t="s">
        <v>53</v>
      </c>
      <c r="B55" s="129"/>
      <c r="C55" s="129"/>
      <c r="E55" s="123" t="s">
        <v>236</v>
      </c>
      <c r="F55" s="123"/>
      <c r="G55" s="123"/>
      <c r="H55" s="123"/>
      <c r="I55" s="123"/>
    </row>
    <row r="56" spans="1:10" ht="3" customHeight="1" x14ac:dyDescent="0.25"/>
    <row r="57" spans="1:10" ht="3" customHeight="1" x14ac:dyDescent="0.25"/>
    <row r="58" spans="1:10" ht="15.75" customHeight="1" x14ac:dyDescent="0.25">
      <c r="A58" s="127" t="s">
        <v>219</v>
      </c>
      <c r="B58" s="127"/>
      <c r="C58" s="127"/>
      <c r="D58" s="127"/>
      <c r="E58" s="127"/>
      <c r="F58" s="127"/>
      <c r="G58" s="127"/>
      <c r="H58" s="127"/>
      <c r="I58" s="127"/>
      <c r="J58" s="127"/>
    </row>
    <row r="59" spans="1:10" ht="15.75" customHeight="1" x14ac:dyDescent="0.25">
      <c r="A59" s="29"/>
      <c r="B59" s="29"/>
      <c r="C59" s="29"/>
      <c r="D59" s="29"/>
      <c r="E59" s="29"/>
      <c r="F59" s="29"/>
      <c r="G59" s="29"/>
      <c r="H59" s="29"/>
      <c r="I59" s="29"/>
    </row>
    <row r="60" spans="1:10" ht="15.75" customHeight="1" x14ac:dyDescent="0.25">
      <c r="A60" s="119" t="s">
        <v>258</v>
      </c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0" ht="15.75" customHeight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</row>
    <row r="62" spans="1:10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</row>
    <row r="63" spans="1:10" ht="3" customHeight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2" customHeight="1" x14ac:dyDescent="0.25"/>
    <row r="65" spans="1:10" ht="15" customHeight="1" x14ac:dyDescent="0.25"/>
    <row r="66" spans="1:10" ht="15" customHeight="1" x14ac:dyDescent="0.25"/>
    <row r="67" spans="1:10" ht="15" customHeight="1" x14ac:dyDescent="0.25"/>
    <row r="68" spans="1:10" ht="15" customHeight="1" x14ac:dyDescent="0.25"/>
    <row r="69" spans="1:10" ht="15" customHeight="1" x14ac:dyDescent="0.25">
      <c r="A69" s="147" t="s">
        <v>56</v>
      </c>
      <c r="B69" s="147"/>
      <c r="C69" s="29"/>
      <c r="D69" s="29"/>
      <c r="E69" s="29"/>
      <c r="F69" s="29"/>
      <c r="G69" s="29"/>
      <c r="H69" s="29"/>
      <c r="I69" s="29"/>
      <c r="J69" s="26"/>
    </row>
    <row r="70" spans="1:10" ht="12" customHeight="1" x14ac:dyDescent="0.25">
      <c r="A70" s="9"/>
      <c r="B70" s="29"/>
      <c r="C70" s="29"/>
      <c r="D70" s="29"/>
      <c r="E70" s="29"/>
      <c r="F70" s="29"/>
      <c r="G70" s="29"/>
      <c r="H70" s="29"/>
      <c r="I70" s="29"/>
      <c r="J70" s="26"/>
    </row>
    <row r="71" spans="1:10" ht="20.25" customHeight="1" x14ac:dyDescent="0.25">
      <c r="A71" s="29"/>
      <c r="B71" s="10"/>
      <c r="C71" s="11" t="s">
        <v>256</v>
      </c>
      <c r="D71" s="29"/>
      <c r="E71" s="29"/>
      <c r="F71" s="29"/>
      <c r="G71" s="29"/>
      <c r="H71" s="29"/>
      <c r="I71" s="29"/>
      <c r="J71" s="26"/>
    </row>
    <row r="72" spans="1:10" ht="9.9499999999999993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30" customHeight="1" x14ac:dyDescent="0.25">
      <c r="A73" s="29"/>
      <c r="B73" s="12"/>
      <c r="C73" s="119" t="s">
        <v>238</v>
      </c>
      <c r="D73" s="119"/>
      <c r="E73" s="119"/>
      <c r="F73" s="119"/>
      <c r="G73" s="119"/>
      <c r="H73" s="119"/>
      <c r="I73" s="119"/>
      <c r="J73" s="119"/>
    </row>
    <row r="74" spans="1:10" ht="9.9499999999999993" customHeight="1" x14ac:dyDescent="0.25">
      <c r="A74" s="29"/>
      <c r="B74" s="12"/>
      <c r="C74" s="26"/>
      <c r="D74" s="26"/>
      <c r="E74" s="26"/>
      <c r="F74" s="26"/>
      <c r="G74" s="26"/>
      <c r="H74" s="26"/>
      <c r="I74" s="26"/>
      <c r="J74" s="26"/>
    </row>
    <row r="75" spans="1:10" ht="20.100000000000001" customHeight="1" x14ac:dyDescent="0.25">
      <c r="A75" s="29"/>
      <c r="B75" s="29"/>
      <c r="C75" s="119" t="s">
        <v>71</v>
      </c>
      <c r="D75" s="119"/>
      <c r="E75" s="119"/>
      <c r="F75" s="119"/>
      <c r="G75" s="119"/>
      <c r="H75" s="119"/>
      <c r="I75" s="119"/>
      <c r="J75" s="119"/>
    </row>
    <row r="76" spans="1:10" ht="9.9499999999999993" customHeight="1" x14ac:dyDescent="0.25">
      <c r="A76" s="29"/>
      <c r="B76" s="29"/>
      <c r="C76" s="26"/>
      <c r="D76" s="26"/>
      <c r="E76" s="26"/>
      <c r="F76" s="26"/>
      <c r="G76" s="26"/>
      <c r="H76" s="26"/>
      <c r="I76" s="26"/>
      <c r="J76" s="26"/>
    </row>
    <row r="77" spans="1:10" ht="33" customHeight="1" x14ac:dyDescent="0.25">
      <c r="A77" s="29"/>
      <c r="B77" s="29"/>
      <c r="C77" s="119" t="s">
        <v>72</v>
      </c>
      <c r="D77" s="119"/>
      <c r="E77" s="119"/>
      <c r="F77" s="119"/>
      <c r="G77" s="119"/>
      <c r="H77" s="119"/>
      <c r="I77" s="119"/>
      <c r="J77" s="119"/>
    </row>
    <row r="78" spans="1:10" ht="9.9499999999999993" customHeight="1" x14ac:dyDescent="0.25">
      <c r="A78" s="29"/>
      <c r="B78" s="29"/>
      <c r="C78" s="26"/>
      <c r="D78" s="26"/>
      <c r="E78" s="26"/>
      <c r="F78" s="26"/>
      <c r="G78" s="26"/>
      <c r="H78" s="26"/>
      <c r="I78" s="26"/>
      <c r="J78" s="26"/>
    </row>
    <row r="79" spans="1:10" ht="20.100000000000001" customHeight="1" x14ac:dyDescent="0.25">
      <c r="A79" s="29"/>
      <c r="B79" s="29"/>
      <c r="C79" s="119" t="s">
        <v>73</v>
      </c>
      <c r="D79" s="119"/>
      <c r="E79" s="119"/>
      <c r="F79" s="119"/>
      <c r="G79" s="119"/>
      <c r="H79" s="119"/>
      <c r="I79" s="119"/>
      <c r="J79" s="119"/>
    </row>
    <row r="80" spans="1:10" ht="9.9499999999999993" customHeight="1" x14ac:dyDescent="0.25">
      <c r="A80" s="29"/>
      <c r="B80" s="29"/>
      <c r="C80" s="26"/>
      <c r="D80" s="26"/>
      <c r="E80" s="26"/>
      <c r="F80" s="26"/>
      <c r="G80" s="26"/>
      <c r="H80" s="26"/>
      <c r="I80" s="26"/>
      <c r="J80" s="26"/>
    </row>
    <row r="81" spans="1:10" ht="20.100000000000001" customHeight="1" x14ac:dyDescent="0.25">
      <c r="A81" s="29"/>
      <c r="B81" s="1" t="s">
        <v>13</v>
      </c>
      <c r="C81" s="119" t="s">
        <v>74</v>
      </c>
      <c r="D81" s="119"/>
      <c r="E81" s="119"/>
      <c r="F81" s="119"/>
      <c r="G81" s="119"/>
      <c r="H81" s="119"/>
      <c r="I81" s="119"/>
      <c r="J81" s="119"/>
    </row>
    <row r="82" spans="1:10" ht="9.9499999999999993" customHeight="1" x14ac:dyDescent="0.25">
      <c r="A82" s="29"/>
      <c r="C82" s="26"/>
      <c r="D82" s="26"/>
      <c r="E82" s="26"/>
      <c r="F82" s="26"/>
      <c r="G82" s="26"/>
      <c r="H82" s="26"/>
      <c r="I82" s="26"/>
      <c r="J82" s="26"/>
    </row>
    <row r="83" spans="1:10" ht="20.100000000000001" customHeight="1" x14ac:dyDescent="0.25">
      <c r="A83" s="29"/>
      <c r="B83" s="29"/>
      <c r="C83" s="119" t="s">
        <v>257</v>
      </c>
      <c r="D83" s="119"/>
      <c r="E83" s="119"/>
      <c r="F83" s="119"/>
      <c r="G83" s="119"/>
      <c r="H83" s="119"/>
      <c r="I83" s="119"/>
      <c r="J83" s="119"/>
    </row>
    <row r="84" spans="1:10" ht="9.9499999999999993" customHeight="1" x14ac:dyDescent="0.25">
      <c r="A84" s="29"/>
      <c r="B84" s="29"/>
      <c r="C84" s="26"/>
      <c r="D84" s="26"/>
      <c r="E84" s="26"/>
      <c r="F84" s="26"/>
      <c r="G84" s="26"/>
      <c r="H84" s="26"/>
      <c r="I84" s="26"/>
      <c r="J84" s="26"/>
    </row>
    <row r="85" spans="1:10" ht="20.100000000000001" customHeight="1" x14ac:dyDescent="0.25">
      <c r="A85" s="29"/>
      <c r="B85" s="29"/>
      <c r="C85" s="119" t="s">
        <v>260</v>
      </c>
      <c r="D85" s="119"/>
      <c r="E85" s="119"/>
      <c r="F85" s="119"/>
      <c r="G85" s="119"/>
      <c r="H85" s="119"/>
      <c r="I85" s="119"/>
      <c r="J85" s="119"/>
    </row>
    <row r="86" spans="1:10" ht="9.9499999999999993" customHeight="1" x14ac:dyDescent="0.25">
      <c r="A86" s="29"/>
      <c r="B86" s="29"/>
      <c r="C86" s="26"/>
      <c r="D86" s="26"/>
      <c r="E86" s="26"/>
      <c r="F86" s="26"/>
      <c r="G86" s="26"/>
      <c r="H86" s="26"/>
      <c r="I86" s="26"/>
      <c r="J86" s="26"/>
    </row>
    <row r="87" spans="1:10" ht="20.100000000000001" customHeight="1" x14ac:dyDescent="0.25">
      <c r="A87" s="29"/>
      <c r="B87" s="29"/>
      <c r="C87" s="119" t="s">
        <v>75</v>
      </c>
      <c r="D87" s="119"/>
      <c r="E87" s="119"/>
      <c r="F87" s="119"/>
      <c r="G87" s="119"/>
      <c r="H87" s="119"/>
      <c r="I87" s="119"/>
      <c r="J87" s="119"/>
    </row>
    <row r="88" spans="1:10" ht="9.9499999999999993" customHeight="1" x14ac:dyDescent="0.25">
      <c r="A88" s="29"/>
      <c r="B88" s="29"/>
      <c r="C88" s="26"/>
      <c r="D88" s="26"/>
      <c r="E88" s="26"/>
      <c r="F88" s="26"/>
      <c r="G88" s="26"/>
      <c r="H88" s="26"/>
      <c r="I88" s="26"/>
      <c r="J88" s="26"/>
    </row>
    <row r="89" spans="1:10" ht="20.100000000000001" customHeight="1" x14ac:dyDescent="0.25">
      <c r="A89" s="29"/>
      <c r="B89" s="29"/>
      <c r="C89" s="119" t="s">
        <v>76</v>
      </c>
      <c r="D89" s="119"/>
      <c r="E89" s="119"/>
      <c r="F89" s="119"/>
      <c r="G89" s="119"/>
      <c r="H89" s="119"/>
      <c r="I89" s="33"/>
      <c r="J89" s="33"/>
    </row>
    <row r="90" spans="1:10" ht="8.1" customHeight="1" x14ac:dyDescent="0.25">
      <c r="A90" s="29"/>
      <c r="B90" s="29"/>
      <c r="I90" s="33"/>
      <c r="J90" s="33"/>
    </row>
    <row r="91" spans="1:10" ht="20.100000000000001" customHeight="1" x14ac:dyDescent="0.25">
      <c r="A91" s="29"/>
      <c r="B91" s="29"/>
      <c r="C91" s="119" t="s">
        <v>77</v>
      </c>
      <c r="D91" s="119"/>
      <c r="E91" s="119"/>
      <c r="F91" s="119"/>
      <c r="G91" s="119"/>
      <c r="H91" s="119"/>
      <c r="I91" s="33"/>
      <c r="J91" s="33"/>
    </row>
    <row r="92" spans="1:10" ht="8.1" customHeight="1" x14ac:dyDescent="0.25">
      <c r="A92" s="29"/>
      <c r="B92" s="29"/>
      <c r="C92" s="33"/>
      <c r="D92" s="33"/>
      <c r="E92" s="33"/>
      <c r="F92" s="33"/>
      <c r="G92" s="33"/>
      <c r="H92" s="33"/>
      <c r="I92" s="33"/>
      <c r="J92" s="33"/>
    </row>
    <row r="93" spans="1:10" ht="20.100000000000001" customHeight="1" x14ac:dyDescent="0.25">
      <c r="A93" s="29"/>
      <c r="B93" s="29"/>
      <c r="C93" s="119" t="s">
        <v>78</v>
      </c>
      <c r="D93" s="119"/>
      <c r="E93" s="119"/>
      <c r="F93" s="119"/>
      <c r="G93" s="119"/>
      <c r="H93" s="119"/>
      <c r="I93" s="33"/>
      <c r="J93" s="33"/>
    </row>
    <row r="94" spans="1:10" ht="9.75" customHeight="1" x14ac:dyDescent="0.25">
      <c r="A94" s="29"/>
      <c r="B94" s="29"/>
      <c r="C94" s="26"/>
      <c r="D94" s="26"/>
      <c r="E94" s="26"/>
      <c r="F94" s="26"/>
      <c r="G94" s="26"/>
      <c r="H94" s="26"/>
      <c r="I94" s="33"/>
      <c r="J94" s="33"/>
    </row>
    <row r="95" spans="1:10" ht="9" customHeight="1" thickBot="1" x14ac:dyDescent="0.3"/>
    <row r="96" spans="1:10" ht="3" customHeight="1" thickTop="1" thickBot="1" x14ac:dyDescent="0.3">
      <c r="A96" s="114"/>
      <c r="B96" s="114"/>
      <c r="C96" s="114"/>
      <c r="D96" s="114"/>
      <c r="E96" s="114"/>
      <c r="F96" s="114"/>
      <c r="G96" s="114"/>
      <c r="H96" s="114"/>
      <c r="I96" s="114"/>
      <c r="J96" s="114"/>
    </row>
    <row r="97" spans="1:10" ht="12" customHeight="1" thickTop="1" x14ac:dyDescent="0.25">
      <c r="A97" s="29"/>
      <c r="B97" s="29"/>
      <c r="C97" s="26"/>
      <c r="D97" s="26"/>
      <c r="E97" s="26"/>
      <c r="F97" s="26"/>
      <c r="G97" s="26"/>
      <c r="H97" s="26"/>
      <c r="I97" s="33"/>
      <c r="J97" s="33"/>
    </row>
    <row r="98" spans="1:10" ht="12" customHeight="1" x14ac:dyDescent="0.25">
      <c r="A98" s="29"/>
      <c r="B98" s="29"/>
      <c r="C98" s="26"/>
      <c r="D98" s="26"/>
      <c r="E98" s="26"/>
      <c r="F98" s="26"/>
      <c r="G98" s="26"/>
      <c r="H98" s="26"/>
      <c r="I98" s="33"/>
      <c r="J98" s="33"/>
    </row>
    <row r="99" spans="1:10" ht="3" customHeight="1" x14ac:dyDescent="0.25"/>
    <row r="100" spans="1:10" ht="12" customHeight="1" x14ac:dyDescent="0.25">
      <c r="A100" s="29"/>
      <c r="B100" s="29"/>
      <c r="C100" s="26"/>
      <c r="D100" s="26"/>
      <c r="E100" s="26"/>
      <c r="F100" s="26"/>
      <c r="G100" s="26"/>
      <c r="H100" s="26"/>
      <c r="I100" s="33"/>
      <c r="J100" s="33"/>
    </row>
    <row r="101" spans="1:10" ht="12" customHeight="1" x14ac:dyDescent="0.25">
      <c r="A101" s="29"/>
      <c r="B101" s="29"/>
      <c r="C101" s="26"/>
      <c r="D101" s="26"/>
      <c r="E101" s="26"/>
      <c r="F101" s="26"/>
      <c r="G101" s="26"/>
      <c r="H101" s="26"/>
      <c r="I101" s="33"/>
      <c r="J101" s="33"/>
    </row>
    <row r="102" spans="1:10" ht="12" customHeight="1" x14ac:dyDescent="0.25">
      <c r="A102" s="29"/>
      <c r="B102" s="29"/>
      <c r="C102" s="26"/>
      <c r="D102" s="26"/>
      <c r="E102" s="26"/>
      <c r="F102" s="26"/>
      <c r="G102" s="26"/>
      <c r="H102" s="26"/>
      <c r="I102" s="33"/>
      <c r="J102" s="33"/>
    </row>
    <row r="103" spans="1:10" ht="12" customHeight="1" x14ac:dyDescent="0.25">
      <c r="A103" s="29"/>
      <c r="B103" s="29"/>
      <c r="C103" s="26"/>
      <c r="D103" s="26"/>
      <c r="E103" s="26"/>
      <c r="F103" s="26"/>
      <c r="G103" s="26"/>
      <c r="H103" s="26"/>
      <c r="I103" s="33"/>
      <c r="J103" s="33"/>
    </row>
    <row r="104" spans="1:10" ht="12" customHeight="1" thickBot="1" x14ac:dyDescent="0.3">
      <c r="A104" s="29"/>
      <c r="B104" s="29"/>
      <c r="C104" s="26"/>
      <c r="D104" s="26"/>
      <c r="E104" s="26"/>
      <c r="F104" s="26"/>
      <c r="G104" s="26"/>
      <c r="H104" s="26"/>
      <c r="I104" s="33"/>
      <c r="J104" s="33"/>
    </row>
    <row r="105" spans="1:10" ht="3" customHeight="1" thickTop="1" thickBot="1" x14ac:dyDescent="0.3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</row>
    <row r="106" spans="1:10" ht="12" customHeight="1" thickTop="1" x14ac:dyDescent="0.25">
      <c r="A106" s="29"/>
      <c r="B106" s="29"/>
      <c r="C106" s="26"/>
      <c r="D106" s="26"/>
      <c r="E106" s="26"/>
      <c r="F106" s="26"/>
      <c r="G106" s="26"/>
      <c r="H106" s="26"/>
      <c r="I106" s="33"/>
      <c r="J106" s="33"/>
    </row>
    <row r="107" spans="1:10" ht="3" customHeight="1" x14ac:dyDescent="0.25"/>
    <row r="108" spans="1:10" ht="12" customHeight="1" x14ac:dyDescent="0.25">
      <c r="A108" s="29"/>
      <c r="B108" s="29"/>
      <c r="C108" s="26"/>
      <c r="D108" s="26"/>
      <c r="E108" s="26"/>
      <c r="F108" s="26"/>
      <c r="G108" s="26"/>
      <c r="H108" s="26"/>
      <c r="I108" s="33"/>
      <c r="J108" s="33"/>
    </row>
    <row r="109" spans="1:10" ht="20.100000000000001" customHeight="1" x14ac:dyDescent="0.25">
      <c r="A109" s="127" t="s">
        <v>79</v>
      </c>
      <c r="B109" s="127"/>
      <c r="C109" s="127"/>
      <c r="D109" s="127"/>
      <c r="E109" s="127"/>
      <c r="F109" s="29"/>
      <c r="G109" s="29"/>
      <c r="H109" s="29"/>
      <c r="I109" s="29"/>
      <c r="J109" s="26"/>
    </row>
    <row r="110" spans="1:10" ht="12" customHeight="1" x14ac:dyDescent="0.25">
      <c r="A110" s="30"/>
      <c r="B110" s="30"/>
      <c r="C110" s="30"/>
      <c r="D110" s="30"/>
      <c r="E110" s="30"/>
      <c r="F110" s="29"/>
      <c r="G110" s="29"/>
      <c r="H110" s="29"/>
      <c r="I110" s="29"/>
      <c r="J110" s="26"/>
    </row>
    <row r="111" spans="1:10" ht="15" customHeight="1" x14ac:dyDescent="0.25">
      <c r="A111" s="119" t="s">
        <v>43</v>
      </c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1:10" ht="12" customHeight="1" thickBot="1" x14ac:dyDescent="0.3">
      <c r="A112" s="29"/>
      <c r="B112" s="29"/>
      <c r="C112" s="29"/>
      <c r="D112" s="29"/>
      <c r="E112" s="29"/>
      <c r="F112" s="29"/>
      <c r="G112" s="29"/>
      <c r="H112" s="29"/>
      <c r="I112" s="29"/>
      <c r="J112" s="26"/>
    </row>
    <row r="113" spans="1:10" ht="20.100000000000001" customHeight="1" thickBot="1" x14ac:dyDescent="0.3">
      <c r="A113" s="29"/>
      <c r="B113" s="145" t="s">
        <v>33</v>
      </c>
      <c r="C113" s="146"/>
      <c r="D113" s="142" t="s">
        <v>44</v>
      </c>
      <c r="E113" s="143"/>
      <c r="F113" s="143"/>
      <c r="G113" s="142" t="s">
        <v>45</v>
      </c>
      <c r="H113" s="143"/>
      <c r="I113" s="144"/>
      <c r="J113" s="26"/>
    </row>
    <row r="114" spans="1:10" ht="20.100000000000001" customHeight="1" thickBot="1" x14ac:dyDescent="0.3">
      <c r="B114" s="124" t="s">
        <v>34</v>
      </c>
      <c r="C114" s="126"/>
      <c r="D114" s="124" t="s">
        <v>35</v>
      </c>
      <c r="E114" s="125"/>
      <c r="F114" s="126"/>
      <c r="G114" s="124" t="s">
        <v>94</v>
      </c>
      <c r="H114" s="125"/>
      <c r="I114" s="126"/>
      <c r="J114" s="26"/>
    </row>
    <row r="115" spans="1:10" ht="12" customHeight="1" x14ac:dyDescent="0.25">
      <c r="A115" s="29"/>
      <c r="B115" s="29"/>
      <c r="C115" s="2"/>
      <c r="D115" s="29"/>
      <c r="E115" s="29"/>
      <c r="F115" s="29"/>
      <c r="G115" s="29"/>
      <c r="H115" s="29"/>
      <c r="I115" s="29"/>
      <c r="J115" s="26"/>
    </row>
    <row r="116" spans="1:10" ht="20.100000000000001" customHeight="1" x14ac:dyDescent="0.25">
      <c r="A116" s="127" t="s">
        <v>80</v>
      </c>
      <c r="B116" s="127"/>
      <c r="C116" s="127"/>
      <c r="D116" s="127"/>
      <c r="E116" s="127"/>
      <c r="F116" s="29"/>
      <c r="G116" s="29"/>
      <c r="H116" s="29"/>
      <c r="I116" s="29"/>
      <c r="J116" s="26"/>
    </row>
    <row r="117" spans="1:10" ht="12" customHeight="1" x14ac:dyDescent="0.25">
      <c r="A117" s="13"/>
      <c r="B117" s="29"/>
      <c r="C117" s="29"/>
      <c r="D117" s="29"/>
      <c r="E117" s="29"/>
      <c r="F117" s="29"/>
      <c r="G117" s="29"/>
      <c r="H117" s="29"/>
      <c r="I117" s="29"/>
      <c r="J117" s="26"/>
    </row>
    <row r="118" spans="1:10" ht="30" customHeight="1" x14ac:dyDescent="0.25">
      <c r="A118" s="119" t="s">
        <v>36</v>
      </c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1:10" ht="12" customHeight="1" x14ac:dyDescent="0.25"/>
    <row r="120" spans="1:10" ht="12" customHeight="1" x14ac:dyDescent="0.25">
      <c r="A120" s="127" t="s">
        <v>81</v>
      </c>
      <c r="B120" s="127"/>
      <c r="C120" s="127"/>
      <c r="D120" s="127"/>
      <c r="E120" s="127"/>
      <c r="F120" s="29"/>
      <c r="G120" s="29"/>
      <c r="J120" s="26"/>
    </row>
    <row r="121" spans="1:10" ht="12" customHeight="1" x14ac:dyDescent="0.25">
      <c r="A121" s="30"/>
      <c r="B121" s="30"/>
      <c r="C121" s="30"/>
      <c r="D121" s="30"/>
      <c r="E121" s="30"/>
      <c r="F121" s="29"/>
      <c r="G121" s="29"/>
      <c r="J121" s="26"/>
    </row>
    <row r="122" spans="1:10" ht="15" customHeight="1" x14ac:dyDescent="0.25">
      <c r="A122" s="119" t="s">
        <v>222</v>
      </c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1:10" ht="15" customHeight="1" x14ac:dyDescent="0.2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1:10" ht="12" customHeight="1" thickBot="1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20.100000000000001" customHeight="1" thickBot="1" x14ac:dyDescent="0.3">
      <c r="A125" s="142" t="s">
        <v>82</v>
      </c>
      <c r="B125" s="143"/>
      <c r="C125" s="144"/>
      <c r="D125" s="142" t="s">
        <v>54</v>
      </c>
      <c r="E125" s="144"/>
      <c r="F125" s="14" t="s">
        <v>83</v>
      </c>
      <c r="G125" s="142" t="s">
        <v>84</v>
      </c>
      <c r="H125" s="143"/>
      <c r="I125" s="142" t="s">
        <v>85</v>
      </c>
      <c r="J125" s="144"/>
    </row>
    <row r="126" spans="1:10" ht="30" customHeight="1" thickBot="1" x14ac:dyDescent="0.3">
      <c r="A126" s="138" t="s">
        <v>46</v>
      </c>
      <c r="B126" s="139"/>
      <c r="C126" s="140"/>
      <c r="D126" s="124">
        <f>'VERIFICACION INTERMEDIAS VOLUME'!D25</f>
        <v>0</v>
      </c>
      <c r="E126" s="126"/>
      <c r="F126" s="15" t="s">
        <v>202</v>
      </c>
      <c r="G126" s="141">
        <f>'VERIFICACION INTERMEDIAS VOLUME'!D28</f>
        <v>0</v>
      </c>
      <c r="H126" s="126"/>
      <c r="I126" s="124">
        <f>'VERIFICACION INTERMEDIAS VOLUME'!D27</f>
        <v>0</v>
      </c>
      <c r="J126" s="126"/>
    </row>
    <row r="127" spans="1:10" ht="30" customHeight="1" thickBot="1" x14ac:dyDescent="0.3">
      <c r="A127" s="132" t="s">
        <v>200</v>
      </c>
      <c r="B127" s="133"/>
      <c r="C127" s="134"/>
      <c r="D127" s="124" t="s">
        <v>198</v>
      </c>
      <c r="E127" s="126"/>
      <c r="F127" s="15" t="s">
        <v>201</v>
      </c>
      <c r="G127" s="131">
        <f>'VERIFICACION INTERMEDIAS VOLUME'!B8</f>
        <v>0</v>
      </c>
      <c r="H127" s="126"/>
      <c r="I127" s="124" t="s">
        <v>199</v>
      </c>
      <c r="J127" s="126"/>
    </row>
    <row r="128" spans="1:10" ht="30" customHeight="1" thickBot="1" x14ac:dyDescent="0.3">
      <c r="A128" s="128" t="s">
        <v>261</v>
      </c>
      <c r="B128" s="129"/>
      <c r="C128" s="130"/>
      <c r="D128" s="124" t="s">
        <v>198</v>
      </c>
      <c r="E128" s="126"/>
      <c r="F128" s="15" t="s">
        <v>201</v>
      </c>
      <c r="G128" s="131">
        <f>'VERIFICACION INTERMEDIAS VOLUME'!B11</f>
        <v>0</v>
      </c>
      <c r="H128" s="126"/>
      <c r="I128" s="124" t="s">
        <v>203</v>
      </c>
      <c r="J128" s="126"/>
    </row>
    <row r="129" spans="1:10" ht="20.100000000000001" customHeight="1" thickBot="1" x14ac:dyDescent="0.3">
      <c r="A129" s="132" t="s">
        <v>37</v>
      </c>
      <c r="B129" s="133"/>
      <c r="C129" s="134"/>
      <c r="D129" s="135" t="s">
        <v>204</v>
      </c>
      <c r="E129" s="136"/>
      <c r="F129" s="16" t="s">
        <v>205</v>
      </c>
      <c r="G129" s="137">
        <f>'VERIFICACION INTERMEDIAS VOLUME'!B17</f>
        <v>0</v>
      </c>
      <c r="H129" s="136"/>
      <c r="I129" s="135">
        <v>32555</v>
      </c>
      <c r="J129" s="136"/>
    </row>
    <row r="130" spans="1:10" ht="20.100000000000001" customHeight="1" thickBot="1" x14ac:dyDescent="0.3">
      <c r="A130" s="124" t="s">
        <v>86</v>
      </c>
      <c r="B130" s="125"/>
      <c r="C130" s="125"/>
      <c r="D130" s="125"/>
      <c r="E130" s="125"/>
      <c r="F130" s="125"/>
      <c r="G130" s="125"/>
      <c r="H130" s="126"/>
      <c r="I130" s="124" t="s">
        <v>87</v>
      </c>
      <c r="J130" s="126"/>
    </row>
    <row r="131" spans="1:10" ht="20.100000000000001" customHeight="1" x14ac:dyDescent="0.25">
      <c r="B131" s="31"/>
      <c r="C131" s="31"/>
      <c r="D131" s="35"/>
      <c r="E131" s="35"/>
      <c r="F131" s="2"/>
      <c r="G131" s="35"/>
      <c r="H131" s="35"/>
      <c r="I131" s="35"/>
      <c r="J131" s="35"/>
    </row>
    <row r="132" spans="1:10" ht="12" customHeight="1" x14ac:dyDescent="0.25">
      <c r="A132" s="127" t="s">
        <v>223</v>
      </c>
      <c r="B132" s="127"/>
      <c r="C132" s="127"/>
      <c r="D132" s="127"/>
      <c r="E132" s="127"/>
      <c r="F132" s="34"/>
      <c r="G132" s="34"/>
      <c r="H132" s="34"/>
      <c r="I132" s="34"/>
      <c r="J132" s="26"/>
    </row>
    <row r="133" spans="1:10" ht="12" customHeight="1" thickBot="1" x14ac:dyDescent="0.3">
      <c r="A133" s="31"/>
      <c r="B133" s="31"/>
      <c r="C133" s="31"/>
      <c r="D133" s="29"/>
      <c r="E133" s="29"/>
      <c r="F133" s="29"/>
      <c r="G133" s="29"/>
      <c r="J133" s="26"/>
    </row>
    <row r="134" spans="1:10" ht="34.5" customHeight="1" thickBot="1" x14ac:dyDescent="0.3">
      <c r="A134" s="63"/>
      <c r="B134" s="64" t="s">
        <v>245</v>
      </c>
      <c r="C134" s="64" t="s">
        <v>259</v>
      </c>
      <c r="D134" s="101" t="s">
        <v>244</v>
      </c>
      <c r="E134" s="101"/>
      <c r="F134" s="101" t="s">
        <v>262</v>
      </c>
      <c r="G134" s="101"/>
      <c r="H134" s="102" t="s">
        <v>243</v>
      </c>
      <c r="I134" s="103"/>
      <c r="J134" s="65" t="s">
        <v>240</v>
      </c>
    </row>
    <row r="135" spans="1:10" ht="20.100000000000001" customHeight="1" x14ac:dyDescent="0.25">
      <c r="A135" s="66"/>
      <c r="B135" s="67">
        <v>18927.060000000001</v>
      </c>
      <c r="C135" s="67">
        <f>'VERIFICACION INTERMEDIAS VOLUME'!C122</f>
        <v>0</v>
      </c>
      <c r="D135" s="104">
        <f>'VERIFICACION INTERMEDIAS VOLUME'!C7</f>
        <v>0</v>
      </c>
      <c r="E135" s="104"/>
      <c r="F135" s="104">
        <v>18934.57</v>
      </c>
      <c r="G135" s="104"/>
      <c r="H135" s="105">
        <f>C135-E137</f>
        <v>-18934.57</v>
      </c>
      <c r="I135" s="106"/>
      <c r="J135" s="111">
        <v>9.4600000000000009</v>
      </c>
    </row>
    <row r="136" spans="1:10" ht="20.100000000000001" customHeight="1" x14ac:dyDescent="0.25">
      <c r="A136" s="66"/>
      <c r="B136" s="68"/>
      <c r="C136" s="69"/>
      <c r="D136" s="113" t="s">
        <v>242</v>
      </c>
      <c r="E136" s="113"/>
      <c r="F136" s="113"/>
      <c r="G136" s="113"/>
      <c r="H136" s="107"/>
      <c r="I136" s="108"/>
      <c r="J136" s="111"/>
    </row>
    <row r="137" spans="1:10" ht="20.100000000000001" customHeight="1" thickBot="1" x14ac:dyDescent="0.3">
      <c r="A137" s="70"/>
      <c r="B137" s="71"/>
      <c r="C137" s="72"/>
      <c r="D137" s="73"/>
      <c r="E137" s="74">
        <f>F135-D135</f>
        <v>18934.57</v>
      </c>
      <c r="F137" s="74"/>
      <c r="G137" s="75"/>
      <c r="H137" s="109"/>
      <c r="I137" s="110"/>
      <c r="J137" s="112"/>
    </row>
    <row r="138" spans="1:10" ht="12" customHeight="1" thickBot="1" x14ac:dyDescent="0.3">
      <c r="A138" s="31"/>
      <c r="B138" s="31"/>
      <c r="C138" s="31"/>
      <c r="D138" s="29"/>
      <c r="E138" s="29"/>
      <c r="F138" s="29"/>
      <c r="G138" s="29"/>
      <c r="J138" s="26"/>
    </row>
    <row r="139" spans="1:10" ht="12" customHeight="1" thickBot="1" x14ac:dyDescent="0.3">
      <c r="A139" s="122" t="s">
        <v>209</v>
      </c>
      <c r="B139" s="122"/>
      <c r="C139" s="122"/>
      <c r="D139" s="122"/>
      <c r="E139" s="122"/>
      <c r="F139" s="27" t="s">
        <v>24</v>
      </c>
      <c r="G139" s="14"/>
      <c r="H139" s="27" t="s">
        <v>89</v>
      </c>
      <c r="I139" s="14" t="s">
        <v>88</v>
      </c>
      <c r="J139" s="7"/>
    </row>
    <row r="140" spans="1:10" ht="12" customHeight="1" x14ac:dyDescent="0.25">
      <c r="A140" s="28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ht="12" customHeight="1" thickBot="1" x14ac:dyDescent="0.3">
      <c r="A141" s="123" t="s">
        <v>90</v>
      </c>
      <c r="B141" s="123"/>
      <c r="C141" s="123"/>
      <c r="D141" s="123"/>
      <c r="E141" s="123"/>
      <c r="F141" s="29"/>
      <c r="G141" s="29"/>
      <c r="H141" s="29"/>
      <c r="I141" s="29"/>
      <c r="J141" s="29"/>
    </row>
    <row r="142" spans="1:10" ht="3" customHeight="1" thickTop="1" thickBot="1" x14ac:dyDescent="0.3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</row>
    <row r="143" spans="1:10" ht="12" customHeight="1" thickTop="1" x14ac:dyDescent="0.25">
      <c r="A143" s="28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ht="15" customHeight="1" x14ac:dyDescent="0.25"/>
    <row r="145" spans="1:10" ht="3" customHeight="1" x14ac:dyDescent="0.25"/>
    <row r="146" spans="1:10" ht="12" customHeight="1" x14ac:dyDescent="0.25">
      <c r="A146" s="28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ht="12" customHeight="1" x14ac:dyDescent="0.25">
      <c r="A147" s="28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12" customHeight="1" x14ac:dyDescent="0.25">
      <c r="A148" s="28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ht="12" customHeight="1" x14ac:dyDescent="0.25">
      <c r="A149" s="28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ht="12" customHeight="1" thickBot="1" x14ac:dyDescent="0.3">
      <c r="A150" s="28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ht="3" customHeight="1" thickTop="1" thickBot="1" x14ac:dyDescent="0.3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</row>
    <row r="152" spans="1:10" ht="12" customHeight="1" thickTop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ht="12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ht="12" customHeight="1" thickBot="1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ht="20.100000000000001" customHeight="1" thickBot="1" x14ac:dyDescent="0.3">
      <c r="A155" s="123" t="s">
        <v>91</v>
      </c>
      <c r="B155" s="123"/>
      <c r="C155" s="123"/>
      <c r="D155" s="123"/>
      <c r="E155" s="123"/>
      <c r="F155" s="123"/>
      <c r="G155" s="17"/>
      <c r="H155" s="18" t="s">
        <v>64</v>
      </c>
      <c r="I155" s="19"/>
      <c r="J155" s="20" t="str">
        <f>'[1]CALIBRACION DE LA ESCALA'!O45</f>
        <v>in3</v>
      </c>
    </row>
    <row r="156" spans="1:10" ht="12" customHeight="1" x14ac:dyDescent="0.25">
      <c r="A156" s="29"/>
      <c r="B156" s="29"/>
      <c r="C156" s="29"/>
      <c r="D156" s="29"/>
      <c r="E156" s="29"/>
      <c r="F156" s="29"/>
      <c r="G156" s="21"/>
      <c r="H156" s="32"/>
      <c r="I156" s="22"/>
      <c r="J156" s="23"/>
    </row>
    <row r="157" spans="1:10" ht="30" customHeight="1" x14ac:dyDescent="0.25">
      <c r="A157" s="119" t="s">
        <v>57</v>
      </c>
      <c r="B157" s="119"/>
      <c r="C157" s="119"/>
      <c r="D157" s="119"/>
      <c r="E157" s="119"/>
      <c r="F157" s="119"/>
      <c r="G157" s="119"/>
      <c r="H157" s="119"/>
      <c r="I157" s="119"/>
      <c r="J157" s="119"/>
    </row>
    <row r="158" spans="1:10" ht="12" customHeight="1" x14ac:dyDescent="0.25">
      <c r="A158" s="29"/>
      <c r="B158" s="29"/>
      <c r="C158" s="29"/>
      <c r="D158" s="29"/>
      <c r="E158" s="29"/>
      <c r="F158" s="29"/>
      <c r="G158" s="21"/>
      <c r="H158" s="32"/>
      <c r="I158" s="22"/>
      <c r="J158" s="23"/>
    </row>
    <row r="159" spans="1:10" ht="12" customHeight="1" x14ac:dyDescent="0.25">
      <c r="A159" s="122" t="s">
        <v>206</v>
      </c>
      <c r="B159" s="122"/>
      <c r="C159" s="122"/>
      <c r="D159" s="122"/>
      <c r="E159" s="122"/>
      <c r="F159" s="122"/>
      <c r="G159" s="122"/>
      <c r="H159" s="122"/>
      <c r="I159" s="122"/>
      <c r="J159" s="26"/>
    </row>
    <row r="160" spans="1:10" ht="12" customHeight="1" x14ac:dyDescent="0.25">
      <c r="A160" s="31"/>
      <c r="B160" s="31"/>
      <c r="C160" s="31"/>
      <c r="D160" s="29"/>
      <c r="E160" s="29"/>
      <c r="F160" s="29"/>
      <c r="G160" s="29"/>
      <c r="J160" s="26"/>
    </row>
    <row r="161" spans="1:10" ht="15" customHeight="1" x14ac:dyDescent="0.2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</row>
    <row r="162" spans="1:10" ht="15" customHeight="1" x14ac:dyDescent="0.2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</row>
    <row r="163" spans="1:10" ht="15" customHeight="1" x14ac:dyDescent="0.2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</row>
    <row r="164" spans="1:10" ht="15" customHeight="1" x14ac:dyDescent="0.25">
      <c r="A164" s="119" t="s">
        <v>58</v>
      </c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1:10" ht="15" customHeight="1" x14ac:dyDescent="0.25">
      <c r="A165" s="119" t="s">
        <v>47</v>
      </c>
      <c r="B165" s="119"/>
      <c r="C165" s="119"/>
      <c r="D165" s="119"/>
      <c r="E165" s="119"/>
      <c r="F165" s="119"/>
      <c r="G165" s="119"/>
      <c r="H165" s="119"/>
      <c r="I165" s="119"/>
      <c r="J165" s="119"/>
    </row>
    <row r="166" spans="1:10" ht="15" customHeight="1" x14ac:dyDescent="0.25">
      <c r="A166" s="119" t="s">
        <v>92</v>
      </c>
      <c r="B166" s="119"/>
      <c r="C166" s="119"/>
      <c r="D166" s="119"/>
      <c r="E166" s="119"/>
      <c r="F166" s="119"/>
      <c r="G166" s="119"/>
      <c r="H166" s="119"/>
      <c r="I166" s="119"/>
      <c r="J166" s="119"/>
    </row>
    <row r="167" spans="1:10" ht="15" customHeight="1" x14ac:dyDescent="0.2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</row>
    <row r="168" spans="1:10" ht="20.100000000000001" customHeight="1" x14ac:dyDescent="0.2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</row>
    <row r="169" spans="1:10" ht="15" customHeight="1" x14ac:dyDescent="0.25">
      <c r="A169" s="119" t="s">
        <v>224</v>
      </c>
      <c r="B169" s="119"/>
      <c r="C169" s="119"/>
      <c r="D169" s="119"/>
      <c r="E169" s="119"/>
      <c r="F169" s="119"/>
      <c r="G169" s="119"/>
      <c r="H169" s="119"/>
      <c r="I169" s="119"/>
      <c r="J169" s="119"/>
    </row>
    <row r="170" spans="1:10" ht="15" customHeigh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25">
      <c r="A171" s="120"/>
      <c r="B171" s="120"/>
      <c r="C171" s="120"/>
      <c r="D171" s="120"/>
      <c r="E171" s="120"/>
      <c r="F171" s="120"/>
      <c r="G171" s="121"/>
    </row>
    <row r="173" spans="1:10" ht="15" customHeight="1" x14ac:dyDescent="0.25">
      <c r="A173" s="117" t="s">
        <v>38</v>
      </c>
      <c r="B173" s="117"/>
      <c r="C173" s="117"/>
      <c r="D173" s="117"/>
    </row>
    <row r="174" spans="1:10" ht="20.100000000000001" customHeight="1" x14ac:dyDescent="0.25"/>
    <row r="175" spans="1:10" ht="12" customHeight="1" x14ac:dyDescent="0.25"/>
    <row r="176" spans="1:10" ht="15" customHeight="1" x14ac:dyDescent="0.25">
      <c r="A176" s="4"/>
      <c r="B176" s="116" t="s">
        <v>39</v>
      </c>
      <c r="C176" s="116"/>
      <c r="D176" s="116"/>
      <c r="E176" s="5"/>
      <c r="G176" s="116" t="s">
        <v>39</v>
      </c>
      <c r="H176" s="116"/>
      <c r="I176" s="116"/>
    </row>
    <row r="177" spans="1:10" ht="15" customHeight="1" x14ac:dyDescent="0.25">
      <c r="B177" s="116" t="s">
        <v>40</v>
      </c>
      <c r="C177" s="116"/>
      <c r="D177" s="116"/>
      <c r="E177" s="5"/>
      <c r="F177" s="5"/>
      <c r="G177" s="116" t="s">
        <v>225</v>
      </c>
      <c r="H177" s="116"/>
      <c r="I177" s="116"/>
    </row>
    <row r="178" spans="1:10" ht="15" customHeight="1" x14ac:dyDescent="0.25">
      <c r="A178" s="115" t="s">
        <v>208</v>
      </c>
      <c r="B178" s="115"/>
      <c r="C178" s="115"/>
      <c r="D178" s="115"/>
      <c r="E178" s="115"/>
      <c r="F178" s="116" t="s">
        <v>210</v>
      </c>
      <c r="G178" s="116"/>
      <c r="H178" s="116"/>
      <c r="I178" s="116"/>
      <c r="J178" s="116"/>
    </row>
    <row r="179" spans="1:10" ht="15" customHeight="1" x14ac:dyDescent="0.25">
      <c r="B179" s="117" t="s">
        <v>207</v>
      </c>
      <c r="C179" s="117"/>
      <c r="D179" s="117"/>
      <c r="F179" s="117">
        <f>'VERIFICACION INTERMEDIAS VOLUME'!P3</f>
        <v>0</v>
      </c>
      <c r="G179" s="117"/>
      <c r="H179" s="117"/>
      <c r="I179" s="117"/>
      <c r="J179" s="117"/>
    </row>
    <row r="180" spans="1:10" ht="15" customHeight="1" x14ac:dyDescent="0.25"/>
    <row r="181" spans="1:10" ht="15" customHeight="1" x14ac:dyDescent="0.25">
      <c r="B181" s="5" t="s">
        <v>226</v>
      </c>
      <c r="C181" s="5"/>
      <c r="D181" s="5"/>
      <c r="F181" s="6">
        <v>42802</v>
      </c>
    </row>
    <row r="182" spans="1:10" ht="15" customHeight="1" x14ac:dyDescent="0.25"/>
    <row r="183" spans="1:10" ht="15" customHeight="1" x14ac:dyDescent="0.25"/>
    <row r="184" spans="1:10" ht="1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6"/>
    </row>
    <row r="185" spans="1:10" x14ac:dyDescent="0.25">
      <c r="B185" s="118" t="s">
        <v>93</v>
      </c>
      <c r="C185" s="118"/>
      <c r="D185" s="118"/>
      <c r="E185" s="118"/>
      <c r="F185" s="118"/>
      <c r="G185" s="118"/>
      <c r="H185" s="118"/>
      <c r="I185" s="118"/>
    </row>
    <row r="186" spans="1:10" ht="3" customHeight="1" x14ac:dyDescent="0.25"/>
    <row r="190" spans="1:10" ht="16.5" thickBot="1" x14ac:dyDescent="0.3"/>
    <row r="191" spans="1:10" ht="4.5" customHeight="1" thickTop="1" thickBot="1" x14ac:dyDescent="0.3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</row>
    <row r="192" spans="1:10" ht="16.5" thickTop="1" x14ac:dyDescent="0.25"/>
    <row r="200" ht="7.5" customHeight="1" x14ac:dyDescent="0.25"/>
  </sheetData>
  <sheetProtection algorithmName="SHA-512" hashValue="aBeqcfvY1+Mjl0KiOg8ywTl61uhkQ7mm+YpjlK6WDQ5O6MJKIgyUxCSjMyJVqYI2i8fOnIGQGrJqqZaSiueDvQ==" saltValue="gmSMJ4ERlvpJyJ2I4gTTtQ==" spinCount="100000" sheet="1" objects="1" scenarios="1"/>
  <mergeCells count="136">
    <mergeCell ref="A4:J4"/>
    <mergeCell ref="A5:C5"/>
    <mergeCell ref="A6:E6"/>
    <mergeCell ref="A8:B8"/>
    <mergeCell ref="D8:G8"/>
    <mergeCell ref="A9:B9"/>
    <mergeCell ref="D9:G9"/>
    <mergeCell ref="A13:B13"/>
    <mergeCell ref="D13:F13"/>
    <mergeCell ref="A14:G14"/>
    <mergeCell ref="A16:C16"/>
    <mergeCell ref="D16:H16"/>
    <mergeCell ref="A17:C17"/>
    <mergeCell ref="D17:G17"/>
    <mergeCell ref="A10:B10"/>
    <mergeCell ref="D10:G10"/>
    <mergeCell ref="A12:C12"/>
    <mergeCell ref="D12:E12"/>
    <mergeCell ref="F12:G12"/>
    <mergeCell ref="H12:J12"/>
    <mergeCell ref="A26:J27"/>
    <mergeCell ref="A28:J28"/>
    <mergeCell ref="A30:J30"/>
    <mergeCell ref="A32:I32"/>
    <mergeCell ref="A34:J34"/>
    <mergeCell ref="A36:C36"/>
    <mergeCell ref="E36:G36"/>
    <mergeCell ref="A18:C18"/>
    <mergeCell ref="D18:G18"/>
    <mergeCell ref="A24:C24"/>
    <mergeCell ref="D24:J24"/>
    <mergeCell ref="A22:F22"/>
    <mergeCell ref="A20:E20"/>
    <mergeCell ref="G22:J22"/>
    <mergeCell ref="A40:C40"/>
    <mergeCell ref="E40:G40"/>
    <mergeCell ref="A41:C41"/>
    <mergeCell ref="A43:D43"/>
    <mergeCell ref="E43:G43"/>
    <mergeCell ref="A55:C55"/>
    <mergeCell ref="E55:I55"/>
    <mergeCell ref="A37:D37"/>
    <mergeCell ref="E37:G37"/>
    <mergeCell ref="A38:C38"/>
    <mergeCell ref="E38:G38"/>
    <mergeCell ref="A39:D39"/>
    <mergeCell ref="E39:F39"/>
    <mergeCell ref="C75:J75"/>
    <mergeCell ref="C77:J77"/>
    <mergeCell ref="C79:J79"/>
    <mergeCell ref="C81:J81"/>
    <mergeCell ref="C83:J83"/>
    <mergeCell ref="C85:J85"/>
    <mergeCell ref="A44:J44"/>
    <mergeCell ref="A52:J52"/>
    <mergeCell ref="A58:J58"/>
    <mergeCell ref="A60:J63"/>
    <mergeCell ref="A69:B69"/>
    <mergeCell ref="C73:J73"/>
    <mergeCell ref="A109:E109"/>
    <mergeCell ref="A111:J111"/>
    <mergeCell ref="B113:C113"/>
    <mergeCell ref="D113:F113"/>
    <mergeCell ref="G113:I113"/>
    <mergeCell ref="B114:C114"/>
    <mergeCell ref="D114:F114"/>
    <mergeCell ref="G114:I114"/>
    <mergeCell ref="C87:J87"/>
    <mergeCell ref="C89:H89"/>
    <mergeCell ref="C91:H91"/>
    <mergeCell ref="C93:H93"/>
    <mergeCell ref="A96:J96"/>
    <mergeCell ref="A105:J105"/>
    <mergeCell ref="A126:C126"/>
    <mergeCell ref="D126:E126"/>
    <mergeCell ref="G126:H126"/>
    <mergeCell ref="I126:J126"/>
    <mergeCell ref="A127:C127"/>
    <mergeCell ref="D127:E127"/>
    <mergeCell ref="G127:H127"/>
    <mergeCell ref="I127:J127"/>
    <mergeCell ref="A116:E116"/>
    <mergeCell ref="A118:J118"/>
    <mergeCell ref="A120:E120"/>
    <mergeCell ref="A122:J123"/>
    <mergeCell ref="A125:C125"/>
    <mergeCell ref="D125:E125"/>
    <mergeCell ref="G125:H125"/>
    <mergeCell ref="I125:J125"/>
    <mergeCell ref="A130:H130"/>
    <mergeCell ref="I130:J130"/>
    <mergeCell ref="A132:E132"/>
    <mergeCell ref="A128:C128"/>
    <mergeCell ref="D128:E128"/>
    <mergeCell ref="G128:H128"/>
    <mergeCell ref="I128:J128"/>
    <mergeCell ref="A129:C129"/>
    <mergeCell ref="D129:E129"/>
    <mergeCell ref="G129:H129"/>
    <mergeCell ref="I129:J129"/>
    <mergeCell ref="A163:J163"/>
    <mergeCell ref="A164:J164"/>
    <mergeCell ref="A165:J165"/>
    <mergeCell ref="A166:J166"/>
    <mergeCell ref="A167:J167"/>
    <mergeCell ref="A168:J168"/>
    <mergeCell ref="A151:J151"/>
    <mergeCell ref="A155:F155"/>
    <mergeCell ref="A157:J157"/>
    <mergeCell ref="A159:I159"/>
    <mergeCell ref="A161:J161"/>
    <mergeCell ref="A162:J162"/>
    <mergeCell ref="D134:E134"/>
    <mergeCell ref="F134:G134"/>
    <mergeCell ref="H134:I134"/>
    <mergeCell ref="D135:E135"/>
    <mergeCell ref="F135:G135"/>
    <mergeCell ref="H135:I137"/>
    <mergeCell ref="J135:J137"/>
    <mergeCell ref="D136:G136"/>
    <mergeCell ref="A191:J191"/>
    <mergeCell ref="A178:E178"/>
    <mergeCell ref="F178:J178"/>
    <mergeCell ref="B179:D179"/>
    <mergeCell ref="F179:J179"/>
    <mergeCell ref="B185:I185"/>
    <mergeCell ref="A169:J169"/>
    <mergeCell ref="A171:G171"/>
    <mergeCell ref="A173:D173"/>
    <mergeCell ref="B176:D176"/>
    <mergeCell ref="G176:I176"/>
    <mergeCell ref="B177:D177"/>
    <mergeCell ref="G177:I177"/>
    <mergeCell ref="A139:E139"/>
    <mergeCell ref="A141:E141"/>
    <mergeCell ref="A142:J142"/>
  </mergeCells>
  <pageMargins left="0.70866141732283472" right="0.70866141732283472" top="0.74803149606299213" bottom="0.74803149606299213" header="0.31496062992125984" footer="0.31496062992125984"/>
  <pageSetup orientation="portrait" horizontalDpi="4294967293" r:id="rId1"/>
  <headerFooter>
    <oddHeader xml:space="preserve">&amp;L&amp;G&amp;C&amp;"Arial Narrow,Negrita"&amp;12
&amp;14                                     &amp;12INFORME DE               VERIFICACIONES                                INTERMEDIAS DE
    VOLUMEN&amp;R
&amp;"-,Negrita"
Informe No.ILCV-001
</oddHeader>
    <oddFooter>&amp;L&amp;G&amp;C&amp;8SUPERINTENDENCIA DE INDUSTRIA Y COMERCIO SEDE CAN
Laboratorio de calibración - Volumen
Avenida Carrera 50 No. 26-55, Interior 5 INM
CONMUTADOR: (57) (1) 2542222
Bogotá. D.C. Colombia&amp;R&amp;G
RT03-F14  Vr.1(2017-04-27)
Página 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showGridLines="0" view="pageBreakPreview" topLeftCell="A8" zoomScaleNormal="80" zoomScaleSheetLayoutView="100" workbookViewId="0">
      <selection activeCell="K19" sqref="K19"/>
    </sheetView>
  </sheetViews>
  <sheetFormatPr baseColWidth="10" defaultRowHeight="15" x14ac:dyDescent="0.25"/>
  <cols>
    <col min="1" max="1" width="15.42578125" style="43" bestFit="1" customWidth="1"/>
    <col min="2" max="2" width="18.42578125" style="43" bestFit="1" customWidth="1"/>
    <col min="3" max="3" width="17.5703125" style="43" bestFit="1" customWidth="1"/>
    <col min="4" max="4" width="22.5703125" style="43" bestFit="1" customWidth="1"/>
    <col min="5" max="5" width="21.7109375" style="43" customWidth="1"/>
    <col min="6" max="6" width="14.85546875" style="43" customWidth="1"/>
    <col min="7" max="7" width="14.5703125" style="43" customWidth="1"/>
    <col min="8" max="9" width="16.5703125" style="43" customWidth="1"/>
    <col min="10" max="16384" width="11.42578125" style="43"/>
  </cols>
  <sheetData>
    <row r="1" spans="2:13" ht="15.75" thickBot="1" x14ac:dyDescent="0.3"/>
    <row r="2" spans="2:13" s="44" customFormat="1" ht="67.5" customHeight="1" thickBot="1" x14ac:dyDescent="0.3">
      <c r="B2" s="53" t="s">
        <v>227</v>
      </c>
      <c r="C2" s="58" t="s">
        <v>229</v>
      </c>
      <c r="D2" s="58" t="s">
        <v>253</v>
      </c>
      <c r="E2" s="54" t="s">
        <v>228</v>
      </c>
      <c r="F2" s="60" t="s">
        <v>230</v>
      </c>
      <c r="G2" s="56" t="s">
        <v>231</v>
      </c>
      <c r="H2" s="58" t="s">
        <v>239</v>
      </c>
      <c r="I2" s="59" t="s">
        <v>254</v>
      </c>
      <c r="J2" s="156" t="s">
        <v>232</v>
      </c>
      <c r="K2" s="157"/>
      <c r="L2" s="157"/>
      <c r="M2" s="158"/>
    </row>
    <row r="3" spans="2:13" ht="30.75" customHeight="1" x14ac:dyDescent="0.25">
      <c r="B3" s="62" t="s">
        <v>235</v>
      </c>
      <c r="C3" s="45">
        <v>18927.060000000001</v>
      </c>
      <c r="D3" s="46">
        <v>18933.25</v>
      </c>
      <c r="E3" s="45">
        <v>6.5</v>
      </c>
      <c r="F3" s="45">
        <f>C3+$K$5</f>
        <v>18936.523530000002</v>
      </c>
      <c r="G3" s="45">
        <f>C3-$K$5</f>
        <v>18917.59647</v>
      </c>
      <c r="H3" s="76">
        <v>18926.47</v>
      </c>
      <c r="I3" s="77">
        <v>18934.57</v>
      </c>
      <c r="J3" s="80">
        <v>1</v>
      </c>
      <c r="K3" s="81">
        <v>3.785412</v>
      </c>
      <c r="L3" s="81">
        <v>1</v>
      </c>
      <c r="M3" s="77">
        <v>1000</v>
      </c>
    </row>
    <row r="4" spans="2:13" ht="30.75" customHeight="1" thickBot="1" x14ac:dyDescent="0.3">
      <c r="B4" s="62" t="s">
        <v>235</v>
      </c>
      <c r="C4" s="47">
        <v>18927.060000000001</v>
      </c>
      <c r="D4" s="48">
        <v>18935.28</v>
      </c>
      <c r="E4" s="47">
        <v>6.3</v>
      </c>
      <c r="F4" s="47">
        <f>C4+$K$5</f>
        <v>18936.523530000002</v>
      </c>
      <c r="G4" s="47">
        <f>C4-$K$5</f>
        <v>18917.59647</v>
      </c>
      <c r="H4" s="78" t="s">
        <v>247</v>
      </c>
      <c r="I4" s="79" t="s">
        <v>247</v>
      </c>
      <c r="J4" s="82">
        <v>5</v>
      </c>
      <c r="K4" s="83">
        <f>J4*K3</f>
        <v>18.927060000000001</v>
      </c>
      <c r="L4" s="83">
        <f>K4</f>
        <v>18.927060000000001</v>
      </c>
      <c r="M4" s="79">
        <f>L4*M3</f>
        <v>18927.060000000001</v>
      </c>
    </row>
    <row r="5" spans="2:13" ht="30.75" customHeight="1" thickBot="1" x14ac:dyDescent="0.3">
      <c r="B5" s="62" t="s">
        <v>235</v>
      </c>
      <c r="C5" s="47">
        <v>18927.060000000001</v>
      </c>
      <c r="D5" s="47">
        <v>18934.669999999998</v>
      </c>
      <c r="E5" s="47">
        <v>6.2</v>
      </c>
      <c r="F5" s="47">
        <f>C5+$K$5</f>
        <v>18936.523530000002</v>
      </c>
      <c r="G5" s="47">
        <f>C5-$K$5</f>
        <v>18917.59647</v>
      </c>
      <c r="H5" s="165" t="s">
        <v>246</v>
      </c>
      <c r="I5" s="166"/>
      <c r="J5" s="159" t="s">
        <v>240</v>
      </c>
      <c r="K5" s="84">
        <f>M4/2000</f>
        <v>9.4635300000000004</v>
      </c>
      <c r="L5" s="163" t="s">
        <v>233</v>
      </c>
      <c r="M5" s="164"/>
    </row>
    <row r="6" spans="2:13" ht="15.75" thickBot="1" x14ac:dyDescent="0.3">
      <c r="B6" s="61"/>
      <c r="C6" s="57"/>
      <c r="D6" s="49"/>
      <c r="E6" s="49"/>
      <c r="F6" s="49"/>
      <c r="G6" s="49"/>
      <c r="H6" s="161">
        <f>(I3-H3)</f>
        <v>8.0999999999985448</v>
      </c>
      <c r="I6" s="162"/>
      <c r="J6" s="160"/>
      <c r="K6" s="55">
        <f>(M4*0.05)/100</f>
        <v>9.4635300000000004</v>
      </c>
      <c r="L6" s="161" t="s">
        <v>234</v>
      </c>
      <c r="M6" s="162"/>
    </row>
    <row r="7" spans="2:13" ht="15.75" thickBot="1" x14ac:dyDescent="0.3">
      <c r="H7"/>
      <c r="J7"/>
    </row>
    <row r="8" spans="2:13" ht="15.75" thickBot="1" x14ac:dyDescent="0.3">
      <c r="I8" s="55" t="s">
        <v>237</v>
      </c>
    </row>
    <row r="9" spans="2:13" x14ac:dyDescent="0.25">
      <c r="I9" s="50">
        <f>D3-H6</f>
        <v>18925.150000000001</v>
      </c>
    </row>
    <row r="10" spans="2:13" x14ac:dyDescent="0.25">
      <c r="I10" s="51">
        <f>D4-H6</f>
        <v>18927.18</v>
      </c>
    </row>
    <row r="11" spans="2:13" ht="15.75" thickBot="1" x14ac:dyDescent="0.3">
      <c r="I11" s="52">
        <f>D5-H6</f>
        <v>18926.57</v>
      </c>
    </row>
  </sheetData>
  <mergeCells count="6">
    <mergeCell ref="J2:M2"/>
    <mergeCell ref="J5:J6"/>
    <mergeCell ref="L6:M6"/>
    <mergeCell ref="L5:M5"/>
    <mergeCell ref="H6:I6"/>
    <mergeCell ref="H5:I5"/>
  </mergeCells>
  <pageMargins left="0.7" right="0.7" top="0.75" bottom="0.75" header="0.3" footer="0.3"/>
  <pageSetup scale="4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VERIFICACION INTERMEDIAS VOLUME</vt:lpstr>
      <vt:lpstr>INFORME VOLUMEN</vt:lpstr>
      <vt:lpstr>CARTA DE CONTROL</vt:lpstr>
      <vt:lpstr>'CARTA DE CONTROL'!Área_de_impresión</vt:lpstr>
      <vt:lpstr>'VERIFICACION INTERMEDIAS VOLUME'!Área_de_impresión</vt:lpstr>
      <vt:lpstr>'VERIFICACION INTERMEDIAS VOLUME'!Títulos_a_imprimir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Jose Vargas</dc:creator>
  <cp:lastModifiedBy>Diana Alexandra Zambrano Rocha</cp:lastModifiedBy>
  <cp:lastPrinted>2017-04-28T15:45:45Z</cp:lastPrinted>
  <dcterms:created xsi:type="dcterms:W3CDTF">2015-11-06T23:47:29Z</dcterms:created>
  <dcterms:modified xsi:type="dcterms:W3CDTF">2017-04-28T16:04:18Z</dcterms:modified>
</cp:coreProperties>
</file>