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Enero a Junio 2023\Documentos\RT03\RT03-F33_V8\"/>
    </mc:Choice>
  </mc:AlternateContent>
  <workbookProtection workbookPassword="E9FB" lockStructure="1"/>
  <bookViews>
    <workbookView xWindow="-105" yWindow="-105" windowWidth="23250" windowHeight="12450" tabRatio="791" firstSheet="1" activeTab="1"/>
  </bookViews>
  <sheets>
    <sheet name="DATOS #" sheetId="22" state="hidden" r:id="rId1"/>
    <sheet name="RT03-F33 # " sheetId="30" r:id="rId2"/>
    <sheet name="PC #" sheetId="42" state="hidden" r:id="rId3"/>
  </sheets>
  <definedNames>
    <definedName name="aCinco" localSheetId="1">'RT03-F33 # '!#REF!</definedName>
    <definedName name="aCuatro" localSheetId="1">'RT03-F33 # '!$C$77</definedName>
    <definedName name="aDos" localSheetId="1">'RT03-F33 # '!$C$75</definedName>
    <definedName name="_xlnm.Print_Area" localSheetId="0">'DATOS #'!$A$1:$AI$249</definedName>
    <definedName name="_xlnm.Print_Area" localSheetId="1">'RT03-F33 # '!$A$1:$AC$214</definedName>
    <definedName name="aTres" localSheetId="1">'RT03-F33 # '!$C$76</definedName>
    <definedName name="aUno" localSheetId="1">'RT03-F33 # '!#REF!</definedName>
    <definedName name="kCero" localSheetId="1">'RT03-F33 # '!#REF!</definedName>
    <definedName name="kDos" localSheetId="1">'RT03-F33 # '!#REF!</definedName>
    <definedName name="kUno" localSheetId="1">'RT03-F33 # '!#REF!</definedName>
    <definedName name="p" localSheetId="1">'RT03-F33 # '!$C$51</definedName>
    <definedName name="Pcero" localSheetId="1">'RT03-F33 # '!#REF!</definedName>
    <definedName name="sCero" localSheetId="1">'RT03-F33 # '!$C$89</definedName>
    <definedName name="sUno" localSheetId="1">'RT03-F33 # '!$C$90</definedName>
    <definedName name="t" localSheetId="1">'RT03-F33 # '!$C$47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3" i="22" l="1"/>
  <c r="M32" i="22"/>
  <c r="O32" i="22" s="1"/>
  <c r="M31" i="22"/>
  <c r="O31" i="22" s="1"/>
  <c r="P60" i="22"/>
  <c r="R60" i="22" s="1"/>
  <c r="P59" i="22"/>
  <c r="R59" i="22" s="1"/>
  <c r="P58" i="22"/>
  <c r="R58" i="22"/>
  <c r="P57" i="22"/>
  <c r="R57" i="22" s="1"/>
  <c r="P56" i="22"/>
  <c r="R56" i="22"/>
  <c r="P54" i="22"/>
  <c r="R54" i="22" s="1"/>
  <c r="P53" i="22"/>
  <c r="R53" i="22" s="1"/>
  <c r="P52" i="22"/>
  <c r="R52" i="22" s="1"/>
  <c r="P51" i="22"/>
  <c r="R51" i="22" s="1"/>
  <c r="P50" i="22"/>
  <c r="R50" i="22" s="1"/>
  <c r="P48" i="22"/>
  <c r="R48" i="22"/>
  <c r="P47" i="22"/>
  <c r="R47" i="22" s="1"/>
  <c r="P46" i="22"/>
  <c r="R46" i="22"/>
  <c r="P45" i="22"/>
  <c r="R45" i="22" s="1"/>
  <c r="P44" i="22"/>
  <c r="R44" i="22" s="1"/>
  <c r="P42" i="22"/>
  <c r="R42" i="22" s="1"/>
  <c r="P41" i="22"/>
  <c r="R41" i="22" s="1"/>
  <c r="P40" i="22"/>
  <c r="R40" i="22" s="1"/>
  <c r="P39" i="22"/>
  <c r="R39" i="22" s="1"/>
  <c r="P38" i="22"/>
  <c r="R38" i="22"/>
  <c r="V137" i="22"/>
  <c r="S137" i="22"/>
  <c r="P137" i="22"/>
  <c r="W137" i="22"/>
  <c r="V136" i="22"/>
  <c r="S136" i="22"/>
  <c r="P136" i="22"/>
  <c r="W136" i="22"/>
  <c r="S194" i="22"/>
  <c r="D59" i="30"/>
  <c r="C59" i="30"/>
  <c r="C62" i="30" s="1"/>
  <c r="B59" i="30"/>
  <c r="C55" i="30"/>
  <c r="K222" i="22"/>
  <c r="K221" i="22"/>
  <c r="K220" i="22"/>
  <c r="K219" i="22"/>
  <c r="K218" i="22"/>
  <c r="K217" i="22"/>
  <c r="J236" i="22"/>
  <c r="J235" i="22"/>
  <c r="J234" i="22"/>
  <c r="K234" i="22" s="1"/>
  <c r="J232" i="22"/>
  <c r="K232" i="22" s="1"/>
  <c r="Z143" i="22"/>
  <c r="Z144" i="22"/>
  <c r="Z145" i="22"/>
  <c r="Z146" i="22"/>
  <c r="Z147" i="22"/>
  <c r="Z142" i="22"/>
  <c r="T143" i="22"/>
  <c r="T144" i="22"/>
  <c r="T145" i="22"/>
  <c r="T146" i="22"/>
  <c r="T147" i="22"/>
  <c r="AA147" i="22" s="1"/>
  <c r="T142" i="22"/>
  <c r="W144" i="22"/>
  <c r="W143" i="22"/>
  <c r="W145" i="22"/>
  <c r="W146" i="22"/>
  <c r="AA146" i="22" s="1"/>
  <c r="W147" i="22"/>
  <c r="W142" i="22"/>
  <c r="V134" i="22"/>
  <c r="W134" i="22" s="1"/>
  <c r="M44" i="22"/>
  <c r="M38" i="22"/>
  <c r="I235" i="22"/>
  <c r="K235" i="22" s="1"/>
  <c r="I236" i="22"/>
  <c r="K236" i="22"/>
  <c r="B4" i="42"/>
  <c r="B7" i="42" s="1"/>
  <c r="C7" i="42" s="1"/>
  <c r="T223" i="22"/>
  <c r="Q223" i="22"/>
  <c r="V222" i="22"/>
  <c r="T222" i="22"/>
  <c r="Q222" i="22"/>
  <c r="AA142" i="22"/>
  <c r="R222" i="22"/>
  <c r="O128" i="22"/>
  <c r="N128" i="22"/>
  <c r="M128" i="22"/>
  <c r="L128" i="22"/>
  <c r="K128" i="22"/>
  <c r="J128" i="22"/>
  <c r="O127" i="22"/>
  <c r="N127" i="22"/>
  <c r="M127" i="22"/>
  <c r="L127" i="22"/>
  <c r="K127" i="22"/>
  <c r="J127" i="22"/>
  <c r="O126" i="22"/>
  <c r="N126" i="22"/>
  <c r="M126" i="22"/>
  <c r="L126" i="22"/>
  <c r="K126" i="22"/>
  <c r="J126" i="22"/>
  <c r="O125" i="22"/>
  <c r="N125" i="22"/>
  <c r="M125" i="22"/>
  <c r="L125" i="22"/>
  <c r="K125" i="22"/>
  <c r="J125" i="22"/>
  <c r="O124" i="22"/>
  <c r="N124" i="22"/>
  <c r="M124" i="22"/>
  <c r="L124" i="22"/>
  <c r="K124" i="22"/>
  <c r="J124" i="22"/>
  <c r="F128" i="22"/>
  <c r="M112" i="22" s="1"/>
  <c r="E128" i="22"/>
  <c r="F127" i="22"/>
  <c r="M101" i="22" s="1"/>
  <c r="E127" i="22"/>
  <c r="F126" i="22"/>
  <c r="M90" i="22" s="1"/>
  <c r="E126" i="22"/>
  <c r="F125" i="22"/>
  <c r="M79" i="22" s="1"/>
  <c r="E125" i="22"/>
  <c r="F124" i="22"/>
  <c r="M68" i="22" s="1"/>
  <c r="V223" i="22"/>
  <c r="E124" i="22"/>
  <c r="D128" i="22"/>
  <c r="D127" i="22"/>
  <c r="D126" i="22"/>
  <c r="D125" i="22"/>
  <c r="C128" i="22"/>
  <c r="C127" i="22"/>
  <c r="C126" i="22"/>
  <c r="I30" i="30" s="1"/>
  <c r="D122" i="30" s="1"/>
  <c r="C125" i="22"/>
  <c r="B128" i="22"/>
  <c r="B127" i="22"/>
  <c r="B126" i="22"/>
  <c r="B125" i="22"/>
  <c r="V135" i="22"/>
  <c r="V133" i="22"/>
  <c r="J247" i="22"/>
  <c r="K247" i="22" s="1"/>
  <c r="J246" i="22"/>
  <c r="K246" i="22" s="1"/>
  <c r="J245" i="22"/>
  <c r="E59" i="30"/>
  <c r="E61" i="30" s="1"/>
  <c r="J244" i="22"/>
  <c r="K244" i="22" s="1"/>
  <c r="K223" i="22"/>
  <c r="K224" i="22"/>
  <c r="K225" i="22"/>
  <c r="K226" i="22"/>
  <c r="K227" i="22"/>
  <c r="K228" i="22"/>
  <c r="K229" i="22"/>
  <c r="K230" i="22"/>
  <c r="K231" i="22"/>
  <c r="K233" i="22"/>
  <c r="K237" i="22"/>
  <c r="K238" i="22"/>
  <c r="K239" i="22"/>
  <c r="K240" i="22"/>
  <c r="K241" i="22"/>
  <c r="K242" i="22"/>
  <c r="K243" i="22"/>
  <c r="K245" i="22"/>
  <c r="E62" i="30"/>
  <c r="C63" i="30"/>
  <c r="C60" i="30"/>
  <c r="C65" i="30" s="1"/>
  <c r="D45" i="30"/>
  <c r="G179" i="30"/>
  <c r="P12" i="30"/>
  <c r="P11" i="30"/>
  <c r="P10" i="30"/>
  <c r="P9" i="30"/>
  <c r="P8" i="30"/>
  <c r="O12" i="30"/>
  <c r="O11" i="30"/>
  <c r="O10" i="30"/>
  <c r="O9" i="30"/>
  <c r="O8" i="30"/>
  <c r="G175" i="30" s="1"/>
  <c r="I12" i="30"/>
  <c r="I11" i="30"/>
  <c r="I10" i="30"/>
  <c r="I9" i="30"/>
  <c r="I8" i="30"/>
  <c r="G12" i="30"/>
  <c r="G11" i="30"/>
  <c r="G10" i="30"/>
  <c r="G9" i="30"/>
  <c r="G8" i="30"/>
  <c r="E12" i="30"/>
  <c r="E11" i="30"/>
  <c r="E10" i="30"/>
  <c r="E9" i="30"/>
  <c r="E8" i="30"/>
  <c r="D141" i="30" s="1"/>
  <c r="C12" i="30"/>
  <c r="C11" i="30"/>
  <c r="C10" i="30"/>
  <c r="C9" i="30"/>
  <c r="C8" i="30"/>
  <c r="B12" i="30"/>
  <c r="B11" i="30"/>
  <c r="B10" i="30"/>
  <c r="B9" i="30"/>
  <c r="B8" i="30"/>
  <c r="N187" i="22"/>
  <c r="N186" i="22"/>
  <c r="N185" i="22"/>
  <c r="N184" i="22"/>
  <c r="N183" i="22"/>
  <c r="N182" i="22"/>
  <c r="N181" i="22"/>
  <c r="N180" i="22"/>
  <c r="N179" i="22"/>
  <c r="N178" i="22"/>
  <c r="M187" i="22"/>
  <c r="M186" i="22"/>
  <c r="M185" i="22"/>
  <c r="M184" i="22"/>
  <c r="M183" i="22"/>
  <c r="M182" i="22"/>
  <c r="M181" i="22"/>
  <c r="M180" i="22"/>
  <c r="M179" i="22"/>
  <c r="M178" i="22"/>
  <c r="P198" i="22"/>
  <c r="R198" i="22" s="1"/>
  <c r="O198" i="22"/>
  <c r="N198" i="22"/>
  <c r="M198" i="22"/>
  <c r="P197" i="22"/>
  <c r="R197" i="22" s="1"/>
  <c r="O197" i="22"/>
  <c r="N197" i="22"/>
  <c r="M197" i="22"/>
  <c r="P196" i="22"/>
  <c r="R196" i="22" s="1"/>
  <c r="O196" i="22"/>
  <c r="N196" i="22"/>
  <c r="M196" i="22"/>
  <c r="P195" i="22"/>
  <c r="R195" i="22"/>
  <c r="O195" i="22"/>
  <c r="N195" i="22"/>
  <c r="M195" i="22"/>
  <c r="P194" i="22"/>
  <c r="R194" i="22" s="1"/>
  <c r="O194" i="22"/>
  <c r="N194" i="22"/>
  <c r="M194" i="22"/>
  <c r="P193" i="22"/>
  <c r="R193" i="22"/>
  <c r="O193" i="22"/>
  <c r="N193" i="22"/>
  <c r="M193" i="22"/>
  <c r="P192" i="22"/>
  <c r="R192" i="22" s="1"/>
  <c r="O192" i="22"/>
  <c r="N192" i="22"/>
  <c r="M192" i="22"/>
  <c r="P191" i="22"/>
  <c r="R191" i="22" s="1"/>
  <c r="O191" i="22"/>
  <c r="N191" i="22"/>
  <c r="M191" i="22"/>
  <c r="P190" i="22"/>
  <c r="R190" i="22" s="1"/>
  <c r="O190" i="22"/>
  <c r="N190" i="22"/>
  <c r="M190" i="22"/>
  <c r="P189" i="22"/>
  <c r="R189" i="22"/>
  <c r="O189" i="22"/>
  <c r="N189" i="22"/>
  <c r="M189" i="22"/>
  <c r="P187" i="22"/>
  <c r="R187" i="22" s="1"/>
  <c r="O187" i="22"/>
  <c r="P186" i="22"/>
  <c r="R186" i="22" s="1"/>
  <c r="O186" i="22"/>
  <c r="P185" i="22"/>
  <c r="R185" i="22" s="1"/>
  <c r="O185" i="22"/>
  <c r="P184" i="22"/>
  <c r="R184" i="22" s="1"/>
  <c r="O184" i="22"/>
  <c r="P183" i="22"/>
  <c r="R183" i="22" s="1"/>
  <c r="O183" i="22"/>
  <c r="P182" i="22"/>
  <c r="R182" i="22"/>
  <c r="O182" i="22"/>
  <c r="P181" i="22"/>
  <c r="R181" i="22" s="1"/>
  <c r="O181" i="22"/>
  <c r="P180" i="22"/>
  <c r="R180" i="22" s="1"/>
  <c r="O180" i="22"/>
  <c r="P179" i="22"/>
  <c r="R179" i="22" s="1"/>
  <c r="O179" i="22"/>
  <c r="P178" i="22"/>
  <c r="R178" i="22" s="1"/>
  <c r="O178" i="22"/>
  <c r="R113" i="22"/>
  <c r="I128" i="22" s="1"/>
  <c r="Q113" i="22"/>
  <c r="H128" i="22" s="1"/>
  <c r="P113" i="22"/>
  <c r="G128" i="22" s="1"/>
  <c r="R102" i="22"/>
  <c r="I127" i="22" s="1"/>
  <c r="Q102" i="22"/>
  <c r="H127" i="22" s="1"/>
  <c r="P102" i="22"/>
  <c r="G127" i="22" s="1"/>
  <c r="R91" i="22"/>
  <c r="I126" i="22" s="1"/>
  <c r="Q91" i="22"/>
  <c r="H126" i="22"/>
  <c r="P91" i="22"/>
  <c r="G126" i="22" s="1"/>
  <c r="R80" i="22"/>
  <c r="I125" i="22" s="1"/>
  <c r="Q80" i="22"/>
  <c r="H125" i="22" s="1"/>
  <c r="P80" i="22"/>
  <c r="G125" i="22"/>
  <c r="R70" i="22"/>
  <c r="I124" i="22" s="1"/>
  <c r="Q70" i="22"/>
  <c r="H124" i="22" s="1"/>
  <c r="P70" i="22"/>
  <c r="N60" i="22"/>
  <c r="N59" i="22"/>
  <c r="N58" i="22"/>
  <c r="N57" i="22"/>
  <c r="N56" i="22"/>
  <c r="N54" i="22"/>
  <c r="N53" i="22"/>
  <c r="N52" i="22"/>
  <c r="N51" i="22"/>
  <c r="N50" i="22"/>
  <c r="M54" i="22"/>
  <c r="M53" i="22"/>
  <c r="M52" i="22"/>
  <c r="M51" i="22"/>
  <c r="M50" i="22"/>
  <c r="M60" i="22"/>
  <c r="M59" i="22"/>
  <c r="M58" i="22"/>
  <c r="M57" i="22"/>
  <c r="M56" i="22"/>
  <c r="N48" i="22"/>
  <c r="M48" i="22"/>
  <c r="N47" i="22"/>
  <c r="M47" i="22"/>
  <c r="N46" i="22"/>
  <c r="M46" i="22"/>
  <c r="N45" i="22"/>
  <c r="M45" i="22"/>
  <c r="N44" i="22"/>
  <c r="N38" i="22"/>
  <c r="M39" i="22"/>
  <c r="N39" i="22"/>
  <c r="M40" i="22"/>
  <c r="N40" i="22"/>
  <c r="M41" i="22"/>
  <c r="N41" i="22"/>
  <c r="M42" i="22"/>
  <c r="N42" i="22"/>
  <c r="Q18" i="30"/>
  <c r="P18" i="30"/>
  <c r="P32" i="30"/>
  <c r="O32" i="30"/>
  <c r="I32" i="30"/>
  <c r="G32" i="30"/>
  <c r="E32" i="30"/>
  <c r="D137" i="30" s="1"/>
  <c r="H137" i="30" s="1"/>
  <c r="L137" i="30" s="1"/>
  <c r="N137" i="30" s="1"/>
  <c r="C32" i="30"/>
  <c r="B32" i="30"/>
  <c r="P22" i="30"/>
  <c r="P21" i="30"/>
  <c r="P20" i="30"/>
  <c r="P19" i="30"/>
  <c r="P17" i="30"/>
  <c r="P16" i="30"/>
  <c r="P15" i="30"/>
  <c r="P14" i="30"/>
  <c r="P13" i="30"/>
  <c r="O22" i="30"/>
  <c r="O21" i="30"/>
  <c r="O20" i="30"/>
  <c r="O19" i="30"/>
  <c r="O18" i="30"/>
  <c r="O17" i="30"/>
  <c r="O16" i="30"/>
  <c r="G157" i="30" s="1"/>
  <c r="O15" i="30"/>
  <c r="O14" i="30"/>
  <c r="G162" i="30" s="1"/>
  <c r="O13" i="30"/>
  <c r="I22" i="30"/>
  <c r="I21" i="30"/>
  <c r="I20" i="30"/>
  <c r="I19" i="30"/>
  <c r="I18" i="30"/>
  <c r="I17" i="30"/>
  <c r="I16" i="30"/>
  <c r="I15" i="30"/>
  <c r="I14" i="30"/>
  <c r="I13" i="30"/>
  <c r="G22" i="30"/>
  <c r="G21" i="30"/>
  <c r="G20" i="30"/>
  <c r="G19" i="30"/>
  <c r="G18" i="30"/>
  <c r="G17" i="30"/>
  <c r="G16" i="30"/>
  <c r="G15" i="30"/>
  <c r="G14" i="30"/>
  <c r="G13" i="30"/>
  <c r="E22" i="30"/>
  <c r="E21" i="30"/>
  <c r="E20" i="30"/>
  <c r="E19" i="30"/>
  <c r="E18" i="30"/>
  <c r="E17" i="30"/>
  <c r="E16" i="30"/>
  <c r="E15" i="30"/>
  <c r="E14" i="30"/>
  <c r="E13" i="30"/>
  <c r="D156" i="30" s="1"/>
  <c r="C22" i="30"/>
  <c r="Q221" i="22" s="1"/>
  <c r="C21" i="30"/>
  <c r="C20" i="30"/>
  <c r="C19" i="30"/>
  <c r="C18" i="30"/>
  <c r="C17" i="30"/>
  <c r="C16" i="30"/>
  <c r="C15" i="30"/>
  <c r="C14" i="30"/>
  <c r="C13" i="30"/>
  <c r="B22" i="30"/>
  <c r="B21" i="30"/>
  <c r="B20" i="30"/>
  <c r="B19" i="30"/>
  <c r="B18" i="30"/>
  <c r="B17" i="30"/>
  <c r="B16" i="30"/>
  <c r="B15" i="30"/>
  <c r="B14" i="30"/>
  <c r="B13" i="30"/>
  <c r="D92" i="30"/>
  <c r="C92" i="30"/>
  <c r="B86" i="30"/>
  <c r="B155" i="30" s="1"/>
  <c r="B92" i="30"/>
  <c r="D86" i="30"/>
  <c r="C86" i="30"/>
  <c r="C94" i="30" s="1"/>
  <c r="K12" i="30"/>
  <c r="K11" i="30"/>
  <c r="K10" i="30"/>
  <c r="M10" i="30" s="1"/>
  <c r="K9" i="30"/>
  <c r="C88" i="30"/>
  <c r="D88" i="30"/>
  <c r="B88" i="30"/>
  <c r="K8" i="30"/>
  <c r="O182" i="30"/>
  <c r="O181" i="30"/>
  <c r="O180" i="30"/>
  <c r="O178" i="30"/>
  <c r="O177" i="30"/>
  <c r="O176" i="30"/>
  <c r="O175" i="30"/>
  <c r="O174" i="30"/>
  <c r="O172" i="30"/>
  <c r="O170" i="30"/>
  <c r="O156" i="30"/>
  <c r="O161" i="30"/>
  <c r="O168" i="30"/>
  <c r="O166" i="30"/>
  <c r="O164" i="30"/>
  <c r="O163" i="30"/>
  <c r="O162" i="30"/>
  <c r="O159" i="30"/>
  <c r="O158" i="30"/>
  <c r="O157" i="30"/>
  <c r="O146" i="30"/>
  <c r="O145" i="30"/>
  <c r="O144" i="30"/>
  <c r="O142" i="30"/>
  <c r="O141" i="30"/>
  <c r="O140" i="30"/>
  <c r="O138" i="30"/>
  <c r="O137" i="30"/>
  <c r="O136" i="30"/>
  <c r="O124" i="30"/>
  <c r="O123" i="30"/>
  <c r="O122" i="30"/>
  <c r="O120" i="30"/>
  <c r="O119" i="30"/>
  <c r="O118" i="30"/>
  <c r="O116" i="30"/>
  <c r="O115" i="30"/>
  <c r="O114" i="30"/>
  <c r="O112" i="30"/>
  <c r="G177" i="30"/>
  <c r="D94" i="30"/>
  <c r="K20" i="30"/>
  <c r="M20" i="30" s="1"/>
  <c r="K21" i="30"/>
  <c r="K22" i="30"/>
  <c r="G174" i="30"/>
  <c r="G176" i="30"/>
  <c r="G172" i="30"/>
  <c r="G181" i="30"/>
  <c r="H181" i="30" s="1"/>
  <c r="L181" i="30" s="1"/>
  <c r="G180" i="30"/>
  <c r="G178" i="30"/>
  <c r="G163" i="30"/>
  <c r="G161" i="30"/>
  <c r="G159" i="30"/>
  <c r="G158" i="30"/>
  <c r="G156" i="30"/>
  <c r="G137" i="30"/>
  <c r="G142" i="30"/>
  <c r="G141" i="30"/>
  <c r="G146" i="30"/>
  <c r="H146" i="30" s="1"/>
  <c r="G145" i="30"/>
  <c r="G124" i="30"/>
  <c r="H124" i="30" s="1"/>
  <c r="G123" i="30"/>
  <c r="G120" i="30"/>
  <c r="H120" i="30" s="1"/>
  <c r="G119" i="30"/>
  <c r="G116" i="30"/>
  <c r="H116" i="30"/>
  <c r="G115" i="30"/>
  <c r="C51" i="30"/>
  <c r="C50" i="30"/>
  <c r="AF136" i="22"/>
  <c r="AF135" i="22" s="1"/>
  <c r="H15" i="22"/>
  <c r="C45" i="30"/>
  <c r="B11" i="42" s="1"/>
  <c r="B12" i="42" s="1"/>
  <c r="B13" i="42" s="1"/>
  <c r="A9" i="42" s="1"/>
  <c r="C44" i="30"/>
  <c r="C43" i="30"/>
  <c r="C42" i="30"/>
  <c r="C41" i="30"/>
  <c r="D182" i="30"/>
  <c r="H182" i="30" s="1"/>
  <c r="L182" i="30" s="1"/>
  <c r="B93" i="30"/>
  <c r="D93" i="30" s="1"/>
  <c r="B183" i="30"/>
  <c r="D138" i="30"/>
  <c r="H138" i="30" s="1"/>
  <c r="L138" i="30" s="1"/>
  <c r="N138" i="30" s="1"/>
  <c r="P210" i="22"/>
  <c r="O210" i="22"/>
  <c r="C93" i="30"/>
  <c r="B124" i="22"/>
  <c r="B68" i="30" s="1"/>
  <c r="B117" i="30" s="1"/>
  <c r="D118" i="30" s="1"/>
  <c r="P7" i="30"/>
  <c r="O7" i="30"/>
  <c r="G170" i="30" s="1"/>
  <c r="H170" i="30" s="1"/>
  <c r="K7" i="30"/>
  <c r="I7" i="30"/>
  <c r="M7" i="30" s="1"/>
  <c r="G7" i="30"/>
  <c r="E7" i="30"/>
  <c r="C7" i="30"/>
  <c r="B169" i="30" s="1"/>
  <c r="B7" i="30"/>
  <c r="P203" i="22"/>
  <c r="O203" i="22"/>
  <c r="B69" i="30"/>
  <c r="B77" i="30" s="1"/>
  <c r="B167" i="30" s="1"/>
  <c r="U28" i="22"/>
  <c r="W28" i="22"/>
  <c r="W27" i="22"/>
  <c r="V27" i="22"/>
  <c r="V28" i="22"/>
  <c r="S28" i="22"/>
  <c r="R27" i="22"/>
  <c r="R28" i="22"/>
  <c r="T28" i="22"/>
  <c r="T27" i="22"/>
  <c r="U27" i="22"/>
  <c r="S27" i="22"/>
  <c r="D69" i="30"/>
  <c r="D68" i="30"/>
  <c r="C69" i="30"/>
  <c r="K18" i="30"/>
  <c r="K17" i="30"/>
  <c r="K13" i="30"/>
  <c r="K19" i="30"/>
  <c r="K15" i="30"/>
  <c r="M15" i="30" s="1"/>
  <c r="H159" i="30"/>
  <c r="K16" i="30"/>
  <c r="H164" i="30"/>
  <c r="L164" i="30" s="1"/>
  <c r="K14" i="30"/>
  <c r="G140" i="30"/>
  <c r="R35" i="30"/>
  <c r="R34" i="30"/>
  <c r="Q35" i="30"/>
  <c r="Q34" i="30"/>
  <c r="P34" i="30"/>
  <c r="O34" i="30"/>
  <c r="I34" i="30"/>
  <c r="G34" i="30"/>
  <c r="E34" i="30"/>
  <c r="C34" i="30"/>
  <c r="B34" i="30"/>
  <c r="P33" i="30"/>
  <c r="O33" i="30"/>
  <c r="B33" i="30"/>
  <c r="I33" i="30"/>
  <c r="G33" i="30"/>
  <c r="E33" i="30"/>
  <c r="C33" i="30"/>
  <c r="D175" i="30"/>
  <c r="H141" i="30"/>
  <c r="D174" i="30"/>
  <c r="H174" i="30" s="1"/>
  <c r="K33" i="30"/>
  <c r="K34" i="30"/>
  <c r="B3" i="30"/>
  <c r="P37" i="30"/>
  <c r="O37" i="30"/>
  <c r="I37" i="30"/>
  <c r="G37" i="30"/>
  <c r="E37" i="30"/>
  <c r="C37" i="30"/>
  <c r="B37" i="30"/>
  <c r="P36" i="30"/>
  <c r="O36" i="30"/>
  <c r="I36" i="30"/>
  <c r="K36" i="30" s="1"/>
  <c r="M36" i="30" s="1"/>
  <c r="G36" i="30"/>
  <c r="E36" i="30"/>
  <c r="C36" i="30"/>
  <c r="B36" i="30"/>
  <c r="M34" i="30"/>
  <c r="M33" i="30"/>
  <c r="M13" i="30"/>
  <c r="P3" i="30"/>
  <c r="M3" i="30"/>
  <c r="J3" i="30"/>
  <c r="G3" i="30"/>
  <c r="D3" i="30"/>
  <c r="K37" i="30"/>
  <c r="M37" i="30"/>
  <c r="K15" i="22"/>
  <c r="C49" i="30"/>
  <c r="D180" i="30"/>
  <c r="H180" i="30" s="1"/>
  <c r="L180" i="30" s="1"/>
  <c r="J15" i="22"/>
  <c r="C48" i="30"/>
  <c r="E32" i="22"/>
  <c r="E31" i="22"/>
  <c r="D32" i="22"/>
  <c r="D31" i="22"/>
  <c r="C32" i="22"/>
  <c r="C31" i="22"/>
  <c r="E6" i="42"/>
  <c r="B21" i="42"/>
  <c r="B22" i="42" s="1"/>
  <c r="N15" i="22"/>
  <c r="D124" i="22"/>
  <c r="G124" i="22"/>
  <c r="C124" i="22"/>
  <c r="F122" i="22"/>
  <c r="E122" i="22"/>
  <c r="D122" i="22"/>
  <c r="C122" i="22"/>
  <c r="B31" i="30"/>
  <c r="O30" i="30"/>
  <c r="G30" i="30"/>
  <c r="C30" i="30"/>
  <c r="O23" i="30"/>
  <c r="G114" i="30" s="1"/>
  <c r="E27" i="30"/>
  <c r="B29" i="30"/>
  <c r="I25" i="30"/>
  <c r="B23" i="30"/>
  <c r="O29" i="30"/>
  <c r="G144" i="30" s="1"/>
  <c r="E29" i="30"/>
  <c r="D123" i="30" s="1"/>
  <c r="H123" i="30" s="1"/>
  <c r="I28" i="30"/>
  <c r="B28" i="30"/>
  <c r="P26" i="30"/>
  <c r="I26" i="30"/>
  <c r="E26" i="30"/>
  <c r="D119" i="30" s="1"/>
  <c r="H119" i="30" s="1"/>
  <c r="O28" i="30"/>
  <c r="G23" i="30"/>
  <c r="C23" i="30"/>
  <c r="O25" i="30"/>
  <c r="B25" i="30"/>
  <c r="O31" i="30"/>
  <c r="G31" i="30"/>
  <c r="C31" i="30"/>
  <c r="O27" i="30"/>
  <c r="E28" i="30"/>
  <c r="B30" i="30"/>
  <c r="O24" i="30"/>
  <c r="B24" i="30"/>
  <c r="P23" i="30"/>
  <c r="C24" i="30"/>
  <c r="E24" i="30"/>
  <c r="M26" i="22"/>
  <c r="K25" i="22"/>
  <c r="K26" i="22"/>
  <c r="C46" i="30"/>
  <c r="I15" i="22"/>
  <c r="G32" i="22"/>
  <c r="G31" i="22"/>
  <c r="I25" i="22"/>
  <c r="C47" i="30"/>
  <c r="I26" i="22"/>
  <c r="N181" i="30" l="1"/>
  <c r="P181" i="30"/>
  <c r="Q181" i="30" s="1"/>
  <c r="N164" i="30"/>
  <c r="P164" i="30"/>
  <c r="Q164" i="30" s="1"/>
  <c r="D97" i="30"/>
  <c r="P24" i="30"/>
  <c r="G29" i="30"/>
  <c r="B26" i="30"/>
  <c r="I23" i="30"/>
  <c r="E31" i="30"/>
  <c r="P31" i="30"/>
  <c r="B27" i="30"/>
  <c r="I27" i="30"/>
  <c r="G26" i="30"/>
  <c r="I24" i="30"/>
  <c r="C29" i="30"/>
  <c r="P29" i="30"/>
  <c r="P25" i="30"/>
  <c r="G28" i="30"/>
  <c r="E30" i="30"/>
  <c r="P30" i="30"/>
  <c r="C67" i="30"/>
  <c r="D67" i="30"/>
  <c r="B67" i="30"/>
  <c r="G67" i="30" s="1"/>
  <c r="C52" i="30"/>
  <c r="M11" i="30"/>
  <c r="B94" i="30"/>
  <c r="H156" i="30"/>
  <c r="M17" i="30"/>
  <c r="E64" i="30"/>
  <c r="AA144" i="22"/>
  <c r="AA145" i="22"/>
  <c r="AA143" i="22"/>
  <c r="G27" i="30"/>
  <c r="G24" i="30"/>
  <c r="C25" i="30"/>
  <c r="P28" i="30"/>
  <c r="I31" i="30"/>
  <c r="G25" i="30"/>
  <c r="C28" i="30"/>
  <c r="C26" i="30"/>
  <c r="O26" i="30"/>
  <c r="G118" i="30" s="1"/>
  <c r="E23" i="30"/>
  <c r="D115" i="30" s="1"/>
  <c r="H115" i="30" s="1"/>
  <c r="I29" i="30"/>
  <c r="E25" i="30"/>
  <c r="C27" i="30"/>
  <c r="P27" i="30"/>
  <c r="M18" i="30"/>
  <c r="C68" i="30"/>
  <c r="M9" i="30"/>
  <c r="E63" i="30"/>
  <c r="H118" i="30"/>
  <c r="D161" i="30"/>
  <c r="H161" i="30" s="1"/>
  <c r="M21" i="30"/>
  <c r="M19" i="30"/>
  <c r="M14" i="30"/>
  <c r="M16" i="30"/>
  <c r="T221" i="22"/>
  <c r="V221" i="22"/>
  <c r="R221" i="22"/>
  <c r="D158" i="30"/>
  <c r="H158" i="30" s="1"/>
  <c r="M22" i="30"/>
  <c r="P182" i="30"/>
  <c r="Q182" i="30" s="1"/>
  <c r="N182" i="30"/>
  <c r="N180" i="30"/>
  <c r="P180" i="30"/>
  <c r="Q180" i="30" s="1"/>
  <c r="B97" i="30"/>
  <c r="B171" i="30"/>
  <c r="D172" i="30" s="1"/>
  <c r="H172" i="30" s="1"/>
  <c r="D157" i="30"/>
  <c r="H157" i="30" s="1"/>
  <c r="B160" i="30"/>
  <c r="B154" i="30" s="1"/>
  <c r="C61" i="30"/>
  <c r="E60" i="30"/>
  <c r="E65" i="30" s="1"/>
  <c r="M8" i="30"/>
  <c r="C64" i="30"/>
  <c r="B8" i="42"/>
  <c r="C8" i="42" s="1"/>
  <c r="B6" i="42"/>
  <c r="C6" i="42" s="1"/>
  <c r="C4" i="42"/>
  <c r="C97" i="30"/>
  <c r="B5" i="42"/>
  <c r="C5" i="42" s="1"/>
  <c r="G68" i="30"/>
  <c r="B143" i="30"/>
  <c r="B121" i="30"/>
  <c r="D178" i="30"/>
  <c r="H178" i="30" s="1"/>
  <c r="G122" i="30"/>
  <c r="H122" i="30" s="1"/>
  <c r="C73" i="30"/>
  <c r="C96" i="30" s="1"/>
  <c r="D73" i="30"/>
  <c r="D96" i="30" s="1"/>
  <c r="B113" i="30"/>
  <c r="J122" i="30" s="1"/>
  <c r="D144" i="30"/>
  <c r="H144" i="30" s="1"/>
  <c r="D145" i="30"/>
  <c r="H145" i="30" s="1"/>
  <c r="D77" i="30"/>
  <c r="H175" i="30"/>
  <c r="M12" i="30"/>
  <c r="D177" i="30"/>
  <c r="H177" i="30" s="1"/>
  <c r="B173" i="30"/>
  <c r="D176" i="30" s="1"/>
  <c r="H176" i="30" s="1"/>
  <c r="B139" i="30"/>
  <c r="C77" i="30"/>
  <c r="B73" i="30" l="1"/>
  <c r="B95" i="30" s="1"/>
  <c r="D162" i="30"/>
  <c r="H162" i="30" s="1"/>
  <c r="D163" i="30"/>
  <c r="H163" i="30" s="1"/>
  <c r="D95" i="30"/>
  <c r="D98" i="30" s="1"/>
  <c r="N82" i="30" s="1"/>
  <c r="K85" i="30" s="1"/>
  <c r="N85" i="30" s="1"/>
  <c r="J118" i="30"/>
  <c r="L118" i="30" s="1"/>
  <c r="N118" i="30" s="1"/>
  <c r="J124" i="30"/>
  <c r="L124" i="30" s="1"/>
  <c r="N124" i="30" s="1"/>
  <c r="C95" i="30"/>
  <c r="C98" i="30" s="1"/>
  <c r="M82" i="30" s="1"/>
  <c r="K84" i="30" s="1"/>
  <c r="J119" i="30"/>
  <c r="L119" i="30" s="1"/>
  <c r="N119" i="30" s="1"/>
  <c r="B125" i="30"/>
  <c r="B126" i="30" s="1"/>
  <c r="J114" i="30"/>
  <c r="J120" i="30"/>
  <c r="L120" i="30" s="1"/>
  <c r="N120" i="30" s="1"/>
  <c r="J115" i="30"/>
  <c r="L115" i="30" s="1"/>
  <c r="N115" i="30" s="1"/>
  <c r="J116" i="30"/>
  <c r="L116" i="30" s="1"/>
  <c r="N116" i="30" s="1"/>
  <c r="D114" i="30"/>
  <c r="H114" i="30" s="1"/>
  <c r="J123" i="30"/>
  <c r="L123" i="30" s="1"/>
  <c r="N123" i="30" s="1"/>
  <c r="L122" i="30"/>
  <c r="B165" i="30"/>
  <c r="J166" i="30" s="1"/>
  <c r="B96" i="30"/>
  <c r="B98" i="30" s="1"/>
  <c r="D140" i="30"/>
  <c r="H140" i="30" s="1"/>
  <c r="B147" i="30"/>
  <c r="J140" i="30"/>
  <c r="J145" i="30"/>
  <c r="L145" i="30" s="1"/>
  <c r="J141" i="30"/>
  <c r="L141" i="30" s="1"/>
  <c r="J146" i="30"/>
  <c r="L146" i="30" s="1"/>
  <c r="J142" i="30"/>
  <c r="J144" i="30"/>
  <c r="L144" i="30" s="1"/>
  <c r="D142" i="30"/>
  <c r="H142" i="30" s="1"/>
  <c r="D112" i="30" l="1"/>
  <c r="H112" i="30" s="1"/>
  <c r="L112" i="30" s="1"/>
  <c r="N112" i="30" s="1"/>
  <c r="L140" i="30"/>
  <c r="N140" i="30" s="1"/>
  <c r="J157" i="30"/>
  <c r="L157" i="30" s="1"/>
  <c r="P157" i="30" s="1"/>
  <c r="Q157" i="30" s="1"/>
  <c r="J162" i="30"/>
  <c r="L162" i="30" s="1"/>
  <c r="P162" i="30" s="1"/>
  <c r="Q162" i="30" s="1"/>
  <c r="J156" i="30"/>
  <c r="L156" i="30" s="1"/>
  <c r="N156" i="30" s="1"/>
  <c r="L194" i="30" s="1"/>
  <c r="L195" i="30" s="1"/>
  <c r="M194" i="30" s="1"/>
  <c r="L114" i="30"/>
  <c r="N114" i="30" s="1"/>
  <c r="G98" i="30"/>
  <c r="B194" i="30" s="1"/>
  <c r="D179" i="30"/>
  <c r="H179" i="30" s="1"/>
  <c r="L179" i="30" s="1"/>
  <c r="P179" i="30" s="1"/>
  <c r="Q179" i="30" s="1"/>
  <c r="L82" i="30"/>
  <c r="K83" i="30" s="1"/>
  <c r="M83" i="30" s="1"/>
  <c r="J176" i="30"/>
  <c r="L176" i="30" s="1"/>
  <c r="P176" i="30" s="1"/>
  <c r="Q176" i="30" s="1"/>
  <c r="J163" i="30"/>
  <c r="L163" i="30" s="1"/>
  <c r="J158" i="30"/>
  <c r="L158" i="30" s="1"/>
  <c r="J177" i="30"/>
  <c r="L177" i="30" s="1"/>
  <c r="N177" i="30" s="1"/>
  <c r="J175" i="30"/>
  <c r="L175" i="30" s="1"/>
  <c r="J178" i="30"/>
  <c r="L178" i="30" s="1"/>
  <c r="J174" i="30"/>
  <c r="L174" i="30" s="1"/>
  <c r="J161" i="30"/>
  <c r="L161" i="30" s="1"/>
  <c r="J170" i="30"/>
  <c r="L170" i="30" s="1"/>
  <c r="J168" i="30"/>
  <c r="J172" i="30"/>
  <c r="L172" i="30" s="1"/>
  <c r="B184" i="30"/>
  <c r="J159" i="30"/>
  <c r="L159" i="30" s="1"/>
  <c r="N159" i="30" s="1"/>
  <c r="N122" i="30"/>
  <c r="N144" i="30"/>
  <c r="N145" i="30"/>
  <c r="N146" i="30"/>
  <c r="N141" i="30"/>
  <c r="N84" i="30"/>
  <c r="M84" i="30"/>
  <c r="L142" i="30"/>
  <c r="D136" i="30"/>
  <c r="H136" i="30" s="1"/>
  <c r="L136" i="30" s="1"/>
  <c r="P177" i="30" l="1"/>
  <c r="Q177" i="30" s="1"/>
  <c r="N162" i="30"/>
  <c r="P156" i="30"/>
  <c r="Q156" i="30" s="1"/>
  <c r="N157" i="30"/>
  <c r="N83" i="30"/>
  <c r="L83" i="30"/>
  <c r="N125" i="30"/>
  <c r="P112" i="30" s="1"/>
  <c r="P111" i="30" s="1"/>
  <c r="N176" i="30"/>
  <c r="P159" i="30"/>
  <c r="Q159" i="30" s="1"/>
  <c r="P163" i="30"/>
  <c r="Q163" i="30" s="1"/>
  <c r="N163" i="30"/>
  <c r="G99" i="30"/>
  <c r="G100" i="30" s="1"/>
  <c r="B196" i="30" s="1"/>
  <c r="B16" i="42" s="1"/>
  <c r="B17" i="42" s="1"/>
  <c r="N179" i="30"/>
  <c r="N170" i="30"/>
  <c r="P170" i="30"/>
  <c r="Q170" i="30" s="1"/>
  <c r="P175" i="30"/>
  <c r="Q175" i="30" s="1"/>
  <c r="N175" i="30"/>
  <c r="N161" i="30"/>
  <c r="P161" i="30"/>
  <c r="Q161" i="30" s="1"/>
  <c r="N172" i="30"/>
  <c r="P172" i="30"/>
  <c r="Q172" i="30" s="1"/>
  <c r="P174" i="30"/>
  <c r="Q174" i="30" s="1"/>
  <c r="N174" i="30"/>
  <c r="N158" i="30"/>
  <c r="P158" i="30"/>
  <c r="Q158" i="30" s="1"/>
  <c r="P178" i="30"/>
  <c r="Q178" i="30" s="1"/>
  <c r="N178" i="30"/>
  <c r="G194" i="30"/>
  <c r="B197" i="30"/>
  <c r="B195" i="30"/>
  <c r="N136" i="30"/>
  <c r="N142" i="30"/>
  <c r="P122" i="30" l="1"/>
  <c r="P119" i="30"/>
  <c r="P116" i="30"/>
  <c r="P123" i="30"/>
  <c r="P120" i="30"/>
  <c r="N126" i="30"/>
  <c r="O126" i="30" s="1"/>
  <c r="N127" i="30" s="1"/>
  <c r="P115" i="30"/>
  <c r="P114" i="30"/>
  <c r="N128" i="30"/>
  <c r="D166" i="30" s="1"/>
  <c r="H166" i="30" s="1"/>
  <c r="L166" i="30" s="1"/>
  <c r="N166" i="30" s="1"/>
  <c r="P124" i="30"/>
  <c r="P118" i="30"/>
  <c r="E5" i="42"/>
  <c r="G196" i="30"/>
  <c r="H194" i="30"/>
  <c r="G195" i="30"/>
  <c r="H195" i="30" s="1"/>
  <c r="N147" i="30"/>
  <c r="P166" i="30" l="1"/>
  <c r="Q166" i="30" s="1"/>
  <c r="P138" i="30"/>
  <c r="D168" i="30"/>
  <c r="H168" i="30" s="1"/>
  <c r="L168" i="30" s="1"/>
  <c r="N148" i="30"/>
  <c r="O148" i="30" s="1"/>
  <c r="N149" i="30" s="1"/>
  <c r="P137" i="30"/>
  <c r="P144" i="30"/>
  <c r="P145" i="30"/>
  <c r="P146" i="30"/>
  <c r="P141" i="30"/>
  <c r="P140" i="30"/>
  <c r="P136" i="30"/>
  <c r="P135" i="30" s="1"/>
  <c r="P142" i="30"/>
  <c r="G197" i="30"/>
  <c r="H196" i="30"/>
  <c r="H197" i="30" s="1"/>
  <c r="P168" i="30" l="1"/>
  <c r="Q168" i="30" s="1"/>
  <c r="N168" i="30"/>
  <c r="N184" i="30" s="1"/>
  <c r="C194" i="30" l="1"/>
  <c r="R182" i="30"/>
  <c r="R180" i="30"/>
  <c r="N185" i="30"/>
  <c r="R181" i="30"/>
  <c r="R164" i="30"/>
  <c r="R174" i="30"/>
  <c r="R158" i="30"/>
  <c r="R163" i="30"/>
  <c r="R172" i="30"/>
  <c r="R175" i="30"/>
  <c r="R177" i="30"/>
  <c r="R156" i="30"/>
  <c r="R183" i="30" s="1"/>
  <c r="R161" i="30"/>
  <c r="R178" i="30"/>
  <c r="R170" i="30"/>
  <c r="R157" i="30"/>
  <c r="R159" i="30"/>
  <c r="R179" i="30"/>
  <c r="R166" i="30"/>
  <c r="R162" i="30"/>
  <c r="R176" i="30"/>
  <c r="R168" i="30"/>
  <c r="L193" i="30" l="1"/>
  <c r="O185" i="30"/>
  <c r="C195" i="30"/>
  <c r="C196" i="30"/>
  <c r="D194" i="30" l="1"/>
  <c r="E194" i="30" s="1"/>
  <c r="N186" i="30"/>
  <c r="C197" i="30"/>
  <c r="E197" i="30" l="1"/>
  <c r="N187" i="30"/>
  <c r="N188" i="30"/>
  <c r="F6" i="42"/>
  <c r="F5" i="42"/>
  <c r="E196" i="30"/>
  <c r="E195" i="30"/>
  <c r="G7" i="42" l="1"/>
  <c r="H7" i="42" s="1"/>
  <c r="I7" i="42" s="1"/>
  <c r="G5" i="42"/>
  <c r="H5" i="42" s="1"/>
  <c r="G11" i="42"/>
  <c r="H11" i="42" s="1"/>
  <c r="G13" i="42"/>
  <c r="H13" i="42" s="1"/>
  <c r="I13" i="42" s="1"/>
  <c r="I11" i="42" l="1"/>
  <c r="G14" i="42" s="1"/>
  <c r="I5" i="42"/>
  <c r="G8" i="42" s="1"/>
  <c r="K90" i="30" l="1"/>
</calcChain>
</file>

<file path=xl/comments1.xml><?xml version="1.0" encoding="utf-8"?>
<comments xmlns="http://schemas.openxmlformats.org/spreadsheetml/2006/main">
  <authors>
    <author>STIVINSON</author>
    <author>tc={ADE7D877-6EF7-413F-B576-F6411DF3A310}</author>
  </authors>
  <commentList>
    <comment ref="M29" authorId="0" shapeId="0">
      <text>
        <r>
          <rPr>
            <b/>
            <sz val="9"/>
            <color indexed="81"/>
            <rFont val="Tahoma"/>
            <family val="2"/>
          </rPr>
          <t xml:space="preserve">CERTIFICADO: INM RVP # 5053 - 2020-12-17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CERTIFICADO: INM RVP # 3688 2018-11-02 INM RVT # 3692 2018-11-06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6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termonetro no cuenta con certificado de calibracion anterion</t>
        </r>
      </text>
    </comment>
    <comment ref="N131" authorId="0" shapeId="0">
      <text>
        <r>
          <rPr>
            <sz val="9"/>
            <color indexed="81"/>
            <rFont val="Tahoma"/>
            <family val="2"/>
          </rPr>
          <t>punto de calibración al 10% según certificado</t>
        </r>
      </text>
    </comment>
    <comment ref="O131" authorId="0" shapeId="0">
      <text>
        <r>
          <rPr>
            <b/>
            <sz val="9"/>
            <color indexed="81"/>
            <rFont val="Tahoma"/>
            <family val="2"/>
          </rPr>
          <t>punto de calibración al 10%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1" authorId="0" shapeId="0">
      <text>
        <r>
          <rPr>
            <b/>
            <sz val="9"/>
            <color indexed="81"/>
            <rFont val="Tahoma"/>
            <family val="2"/>
          </rPr>
          <t>punto de calibración al 50%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1" authorId="0" shapeId="0">
      <text>
        <r>
          <rPr>
            <b/>
            <sz val="9"/>
            <color indexed="81"/>
            <rFont val="Tahoma"/>
            <family val="2"/>
          </rPr>
          <t>punto de calibración al 50%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1" authorId="0" shapeId="0">
      <text>
        <r>
          <rPr>
            <b/>
            <sz val="9"/>
            <color indexed="81"/>
            <rFont val="Tahoma"/>
            <family val="2"/>
          </rPr>
          <t>punto de calibración al 100%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1" authorId="0" shapeId="0">
      <text>
        <r>
          <rPr>
            <b/>
            <sz val="9"/>
            <color indexed="81"/>
            <rFont val="Tahoma"/>
            <family val="2"/>
          </rPr>
          <t>punto de calibración al 100%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0" authorId="0" shapeId="0">
      <text>
        <r>
          <rPr>
            <sz val="9"/>
            <color indexed="81"/>
            <rFont val="Tahoma"/>
            <family val="2"/>
          </rPr>
          <t>punto de calibración al 10% según certificado</t>
        </r>
      </text>
    </comment>
    <comment ref="S140" authorId="0" shapeId="0">
      <text>
        <r>
          <rPr>
            <b/>
            <sz val="9"/>
            <color indexed="81"/>
            <rFont val="Tahoma"/>
            <family val="2"/>
          </rPr>
          <t>punto de calibración al 10%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0" authorId="0" shapeId="0">
      <text>
        <r>
          <rPr>
            <b/>
            <sz val="9"/>
            <color indexed="81"/>
            <rFont val="Tahoma"/>
            <family val="2"/>
          </rPr>
          <t>punto de calibración al 50%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40" authorId="0" shapeId="0">
      <text>
        <r>
          <rPr>
            <b/>
            <sz val="9"/>
            <color indexed="81"/>
            <rFont val="Tahoma"/>
            <family val="2"/>
          </rPr>
          <t>punto de calibración al 50%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40" authorId="0" shapeId="0">
      <text>
        <r>
          <rPr>
            <b/>
            <sz val="9"/>
            <color indexed="81"/>
            <rFont val="Tahoma"/>
            <family val="2"/>
          </rPr>
          <t>punto de calibración al 100%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0" authorId="0" shapeId="0">
      <text>
        <r>
          <rPr>
            <b/>
            <sz val="9"/>
            <color indexed="81"/>
            <rFont val="Tahoma"/>
            <family val="2"/>
          </rPr>
          <t>punto de calibración al 100% según certificado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tc={E0498DF3-A3B2-414D-9386-98152C7579E7}</author>
    <author>Stivinson Cordoba Sanches</author>
    <author>tc={7300B130-0DE4-45FB-B8F3-2B4FE4D1D704}</author>
    <author>tc={BE5C4CC6-C1B0-4547-B304-0D884C649371}</author>
  </authors>
  <commentList>
    <comment ref="E32" authorId="0" shapeId="0">
      <text>
        <r>
          <rPr>
            <b/>
            <sz val="9"/>
            <color indexed="81"/>
            <rFont val="Tahoma"/>
            <family val="2"/>
          </rPr>
          <t>composición isotópica del agua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incertidumbre del modelo matemático (TANAKA)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8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7.1.1-10 EURAMET cg-18</t>
        </r>
      </text>
    </comment>
    <comment ref="D158" authorId="2" shapeId="0">
      <text>
        <r>
          <rPr>
            <sz val="9"/>
            <color indexed="81"/>
            <rFont val="Tahoma"/>
            <family val="2"/>
          </rPr>
          <t xml:space="preserve">
los datos reportados de excentricidad son tomados del certificado de calibración</t>
        </r>
      </text>
    </comment>
    <comment ref="A163" authorId="3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7.1.1-10 EURAMET cg-18</t>
        </r>
      </text>
    </comment>
    <comment ref="D163" authorId="2" shapeId="0">
      <text>
        <r>
          <rPr>
            <sz val="9"/>
            <color indexed="81"/>
            <rFont val="Tahoma"/>
            <family val="2"/>
          </rPr>
          <t xml:space="preserve">
los datos reportados de excentricidad son tomados del certificado de calibración</t>
        </r>
      </text>
    </comment>
    <comment ref="C180" authorId="4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GMP 3
Good Measurement Practice
for
Method of Reading a Meniscus Using Water or Other Wetting Liquid</t>
        </r>
      </text>
    </comment>
  </commentList>
</comments>
</file>

<file path=xl/sharedStrings.xml><?xml version="1.0" encoding="utf-8"?>
<sst xmlns="http://schemas.openxmlformats.org/spreadsheetml/2006/main" count="1497" uniqueCount="670">
  <si>
    <t xml:space="preserve">HOJA DE CÁLCULO PARA LA COMPROBACIÓN DE RECIPIENTES VOLUMÉTRICOS USANDO EL MÉTODO GRAVIMÉTRICO </t>
  </si>
  <si>
    <t>Información Inicial</t>
  </si>
  <si>
    <t>No</t>
  </si>
  <si>
    <t xml:space="preserve">Ciudad </t>
  </si>
  <si>
    <t>Fecha de Recepción</t>
  </si>
  <si>
    <t>Fecha de Calibración</t>
  </si>
  <si>
    <t xml:space="preserve">Código interno       </t>
  </si>
  <si>
    <t>Solicitante</t>
  </si>
  <si>
    <t>Dirección del Solicitante</t>
  </si>
  <si>
    <t>Ciudad del Solicitante</t>
  </si>
  <si>
    <t>Metrólogos</t>
  </si>
  <si>
    <t>Bogotá D.C.</t>
  </si>
  <si>
    <t>Laboratorio de calibración de volumen</t>
  </si>
  <si>
    <t>Nombre del Metrólogo</t>
  </si>
  <si>
    <t>SC</t>
  </si>
  <si>
    <t>Stivinson Córdoba Sánchez</t>
  </si>
  <si>
    <t>Sustituto del Responsable de la Dirección Técnica</t>
  </si>
  <si>
    <t>Metrólogo de Masa y Volumen</t>
  </si>
  <si>
    <t>Recipiente bajo comprobación en el  Laboratorio  SIC - (RVC)</t>
  </si>
  <si>
    <t>LH</t>
  </si>
  <si>
    <t>Luis Henry Barreto Rojas</t>
  </si>
  <si>
    <t>Responsable de la Dirección Técnica</t>
  </si>
  <si>
    <t>EA</t>
  </si>
  <si>
    <t>Elvis Aguirre Romero</t>
  </si>
  <si>
    <t>Fabricante</t>
  </si>
  <si>
    <t>Modelo</t>
  </si>
  <si>
    <t>Serie</t>
  </si>
  <si>
    <t>Temperatura de referencia (°C)</t>
  </si>
  <si>
    <t>Capacidad Nominal</t>
  </si>
  <si>
    <t>División de escala ( mL )</t>
  </si>
  <si>
    <t>Resolución ( mL )</t>
  </si>
  <si>
    <r>
      <t>Coeficiente cubico de expansión térmico del material (°C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</si>
  <si>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t>Diámetro interno del cuello (cm)</t>
  </si>
  <si>
    <t>Ancho de los trazos de la escala (cm)</t>
  </si>
  <si>
    <r>
      <t>Coeficiente cubico de expansión térmico del material (IP)  ( °C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</si>
  <si>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t>N °  Certificado Adherido</t>
  </si>
  <si>
    <t>°C</t>
  </si>
  <si>
    <t>Mediciones (cm)</t>
  </si>
  <si>
    <t>Equipos Patrón</t>
  </si>
  <si>
    <t>RVP Código Interno</t>
  </si>
  <si>
    <t>Temperatura de referencia °C</t>
  </si>
  <si>
    <t>Capacidad Nominal en  " gal "</t>
  </si>
  <si>
    <t>División de escala  (mL)</t>
  </si>
  <si>
    <t>Resolución (mL)</t>
  </si>
  <si>
    <r>
      <t>Coeficiente cubico de expansión térmico del material ( °C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</si>
  <si>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t>Ancho de los trazos de la escala (mm)</t>
  </si>
  <si>
    <t>Coeficiente cubico de expansión térmico del material (IP)</t>
  </si>
  <si>
    <t>CONDICIONES AMBIENTALES</t>
  </si>
  <si>
    <t>V-005</t>
  </si>
  <si>
    <t>Serhapin test Measure</t>
  </si>
  <si>
    <t>Series "M"</t>
  </si>
  <si>
    <t xml:space="preserve">16-5935702    C-I V-005         </t>
  </si>
  <si>
    <t>V-001</t>
  </si>
  <si>
    <t>E3</t>
  </si>
  <si>
    <t>14-92812 C-I V-001</t>
  </si>
  <si>
    <t>MAX °C</t>
  </si>
  <si>
    <t>MIN °C</t>
  </si>
  <si>
    <t>MAX % hr</t>
  </si>
  <si>
    <t>MIN % hr</t>
  </si>
  <si>
    <t>MAX hPa</t>
  </si>
  <si>
    <t>MIN hPa</t>
  </si>
  <si>
    <t>ANTES</t>
  </si>
  <si>
    <t>Unidades en   ( mL )</t>
  </si>
  <si>
    <t>DESPUÉS</t>
  </si>
  <si>
    <t>Recipientes Volumétricos Patrón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</si>
  <si>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</si>
  <si>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</si>
  <si>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</si>
  <si>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</si>
  <si>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</si>
  <si>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</si>
  <si>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Trazabilidad y numero</t>
  </si>
  <si>
    <t>Volumen (L) actual según certificado</t>
  </si>
  <si>
    <t>Volumen (L) anterior según certificado</t>
  </si>
  <si>
    <t>Deriva (mL)</t>
  </si>
  <si>
    <t>INM 6564</t>
  </si>
  <si>
    <t>INM 6385</t>
  </si>
  <si>
    <t>Unidades en  " °C "</t>
  </si>
  <si>
    <t>Indicación (Según Certificado)</t>
  </si>
  <si>
    <t>°C "m" Pendiente</t>
  </si>
  <si>
    <t>°C "b" Intersección</t>
  </si>
  <si>
    <t>Puntos de calibración</t>
  </si>
  <si>
    <t>Puntos de calibración Actual (°C)</t>
  </si>
  <si>
    <t>Puntos de calibración Anterior (°C)</t>
  </si>
  <si>
    <t>Deriva °C</t>
  </si>
  <si>
    <t>Termómetro utilizado en el liquido del RVC</t>
  </si>
  <si>
    <t>V-004  
 Punto 1</t>
  </si>
  <si>
    <t xml:space="preserve">Lufft </t>
  </si>
  <si>
    <t xml:space="preserve">004,0816,1212,006 / pt 347980,002     </t>
  </si>
  <si>
    <t>INM 6562</t>
  </si>
  <si>
    <t>V-004   
Punto 2</t>
  </si>
  <si>
    <t>C-I V-004</t>
  </si>
  <si>
    <t>V-004  
 Punto 3</t>
  </si>
  <si>
    <t>V-004   
Punto 4</t>
  </si>
  <si>
    <t xml:space="preserve">004,0816,1212,006 / pt 347980,002    </t>
  </si>
  <si>
    <t>V-004  
 Punto 5</t>
  </si>
  <si>
    <t>V-009    Punto 1</t>
  </si>
  <si>
    <t>YOWEXA</t>
  </si>
  <si>
    <t>Indicador: 21073057
Sensor:5239-1</t>
  </si>
  <si>
    <t>INM 5859</t>
  </si>
  <si>
    <t>V-009    Punto 2</t>
  </si>
  <si>
    <t>C-I V-009</t>
  </si>
  <si>
    <t>V-009    Punto 3</t>
  </si>
  <si>
    <t>V-009    Punto 4</t>
  </si>
  <si>
    <t>V-009    Punto 5</t>
  </si>
  <si>
    <t>V-010  
 Punto 1</t>
  </si>
  <si>
    <t xml:space="preserve">Indicador: 21073055
Sensor:5239-3   </t>
  </si>
  <si>
    <t>INM 5861</t>
  </si>
  <si>
    <t>V-010   
Punto 2</t>
  </si>
  <si>
    <t>C-I V-010</t>
  </si>
  <si>
    <t>V-010  
 Punto 3</t>
  </si>
  <si>
    <t>V-010   
Punto 4</t>
  </si>
  <si>
    <t>V-010  
 Punto 5</t>
  </si>
  <si>
    <t>V-011  
 Punto 1</t>
  </si>
  <si>
    <t xml:space="preserve">Indicador: 21073067
Sensor:5239-5   </t>
  </si>
  <si>
    <t>INM 5862</t>
  </si>
  <si>
    <t>V-011   
Punto 2</t>
  </si>
  <si>
    <t>C-I V-011</t>
  </si>
  <si>
    <t>V-011  
 Punto 3</t>
  </si>
  <si>
    <t>V-011   
Punto 4</t>
  </si>
  <si>
    <t>V-011  
 Punto 5</t>
  </si>
  <si>
    <t>Patrón Utilizado en la Comprobación - Termo higrómetros</t>
  </si>
  <si>
    <r>
      <t xml:space="preserve">Unidades en   " °C ,  %hr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</si>
  <si>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Código Interno</t>
  </si>
  <si>
    <t>Temperatura</t>
  </si>
  <si>
    <t xml:space="preserve">  V-002  
Punto 1 "°C"</t>
  </si>
  <si>
    <t>Lufft</t>
  </si>
  <si>
    <t>0,23.0714.0802.024 C-I V-002</t>
  </si>
  <si>
    <t>2023-04-24</t>
  </si>
  <si>
    <t>INM 6638</t>
  </si>
  <si>
    <t xml:space="preserve">  V-002  
Punto 2 "°C"</t>
  </si>
  <si>
    <t>V-002</t>
  </si>
  <si>
    <t>%hr</t>
  </si>
  <si>
    <t>hPa</t>
  </si>
  <si>
    <t xml:space="preserve">  V-002  
Punto 3 "°C"</t>
  </si>
  <si>
    <t>Humedad</t>
  </si>
  <si>
    <t xml:space="preserve">  V-002  
Punto 1 "% hr"</t>
  </si>
  <si>
    <t>2023-05-08</t>
  </si>
  <si>
    <t>INM 6667</t>
  </si>
  <si>
    <t xml:space="preserve">  V-002  
Punto 2 "%hr"</t>
  </si>
  <si>
    <t xml:space="preserve">  V-002  
Punto 3 "%hr"</t>
  </si>
  <si>
    <t>Presión Atmosférica</t>
  </si>
  <si>
    <t>2023-03-28</t>
  </si>
  <si>
    <t>INM 6588</t>
  </si>
  <si>
    <t xml:space="preserve">  V-010  
Punto 1 "°C"</t>
  </si>
  <si>
    <t>0,26.0714.0802.024 C-I M-010</t>
  </si>
  <si>
    <t>2023-04-05</t>
  </si>
  <si>
    <t>INM 6603</t>
  </si>
  <si>
    <t xml:space="preserve">M-010 </t>
  </si>
  <si>
    <t xml:space="preserve">  V-010  
Punto 2 "°C"</t>
  </si>
  <si>
    <t xml:space="preserve">  V-010  
Punto 3 "°C"</t>
  </si>
  <si>
    <t xml:space="preserve">  V-010  
Punto 1 "% hr"</t>
  </si>
  <si>
    <t>2023-04-03</t>
  </si>
  <si>
    <t>INM 6596</t>
  </si>
  <si>
    <t xml:space="preserve">  V-010  
Punto 2 "%hr"</t>
  </si>
  <si>
    <t xml:space="preserve">  V-010  
Punto 3 "%hr"</t>
  </si>
  <si>
    <t>INM 6591</t>
  </si>
  <si>
    <t>INM 2148</t>
  </si>
  <si>
    <t xml:space="preserve">  V-011  
Punto 1 "°C"</t>
  </si>
  <si>
    <t>0,22.0714.0802.024</t>
  </si>
  <si>
    <t>2021-06-25</t>
  </si>
  <si>
    <t>INM 5286</t>
  </si>
  <si>
    <t xml:space="preserve">M-011  </t>
  </si>
  <si>
    <t xml:space="preserve">  V-011  
Punto 2 "°C"</t>
  </si>
  <si>
    <t xml:space="preserve">  V-011  
Punto 3 "°C"</t>
  </si>
  <si>
    <t xml:space="preserve">  V-011  
Punto 1 "% hr"</t>
  </si>
  <si>
    <t>2021-06-23</t>
  </si>
  <si>
    <t>INM 5287</t>
  </si>
  <si>
    <t xml:space="preserve">  V-011  
Punto 2 "%hr"</t>
  </si>
  <si>
    <t xml:space="preserve">  V-011  
Punto 3 "%hr"</t>
  </si>
  <si>
    <t>2021-05-31</t>
  </si>
  <si>
    <t>INM 5239</t>
  </si>
  <si>
    <t>INM 1997</t>
  </si>
  <si>
    <t>INM 2147</t>
  </si>
  <si>
    <t xml:space="preserve">  V-012  
Punto 1 "°C"</t>
  </si>
  <si>
    <t>19506160802033 C-I M-012</t>
  </si>
  <si>
    <t>2023-04-11</t>
  </si>
  <si>
    <t>INM 6608</t>
  </si>
  <si>
    <t>M-012</t>
  </si>
  <si>
    <t xml:space="preserve">  V-012  
Punto 2 "°C"</t>
  </si>
  <si>
    <t xml:space="preserve">  V-012  
Punto 3 "°C"</t>
  </si>
  <si>
    <t xml:space="preserve">  V-012  
Punto 1 "% hr"</t>
  </si>
  <si>
    <t>INM 6597</t>
  </si>
  <si>
    <t xml:space="preserve">  V-012  
Punto 2 "%hr"</t>
  </si>
  <si>
    <t xml:space="preserve">  V-012  
Punto 3 "%hr"</t>
  </si>
  <si>
    <t>INM 6390</t>
  </si>
  <si>
    <t>1 099,608</t>
  </si>
  <si>
    <t xml:space="preserve">  V-013  
Punto 1 "°C"</t>
  </si>
  <si>
    <t>19406160802033 C-I M-013</t>
  </si>
  <si>
    <t>INM 6639</t>
  </si>
  <si>
    <t>M-013</t>
  </si>
  <si>
    <t xml:space="preserve">  V-013  
Punto 2 "°C"</t>
  </si>
  <si>
    <t xml:space="preserve">  V-013  
Punto 3 "°C"</t>
  </si>
  <si>
    <t xml:space="preserve">  V-013  
Punto 1 "% hr"</t>
  </si>
  <si>
    <t>INM 6668</t>
  </si>
  <si>
    <t xml:space="preserve">  V-013  
Punto 2 "%hr"</t>
  </si>
  <si>
    <t xml:space="preserve">  V-013  
Punto 3 "%hr"</t>
  </si>
  <si>
    <t>INM 6593</t>
  </si>
  <si>
    <t>CDT CERT-16-EMP-1057-2567</t>
  </si>
  <si>
    <t>% hr</t>
  </si>
  <si>
    <t>% hr "m" Pendiente</t>
  </si>
  <si>
    <t>% hr "b" Intersección</t>
  </si>
  <si>
    <t>hPa "m" Pendiente</t>
  </si>
  <si>
    <t>hPa "b" Intersección</t>
  </si>
  <si>
    <t>Unidades en    " mL"</t>
  </si>
  <si>
    <t>Pipetas</t>
  </si>
  <si>
    <t>Trazabilidad y número</t>
  </si>
  <si>
    <t>Intervalo de Medida</t>
  </si>
  <si>
    <t>Puntos de calibración Actual (mL) al 10%</t>
  </si>
  <si>
    <t>Puntos de calibración Anterior (mL) al 10%</t>
  </si>
  <si>
    <t xml:space="preserve">Puntos de calibración Actual (mL) al 50% </t>
  </si>
  <si>
    <t>Puntos de calibración Anterior (mL) al 50%</t>
  </si>
  <si>
    <t>Puntos de calibración Actual (mL) al 100%</t>
  </si>
  <si>
    <t>Puntos de calibración Anterior (mL) al 100%</t>
  </si>
  <si>
    <t>Máxima Deriva (mL)</t>
  </si>
  <si>
    <t>Verificación de Escala</t>
  </si>
  <si>
    <t>Material del Recipiente Volumétrico</t>
  </si>
  <si>
    <r>
      <t>Intervalo de la escala RV en  ±  1 %, ± 10 in</t>
    </r>
    <r>
      <rPr>
        <b/>
        <vertAlign val="superscript"/>
        <sz val="14"/>
        <rFont val="Arial"/>
        <family val="2"/>
      </rPr>
      <t>3</t>
    </r>
  </si>
  <si>
    <t>AUX V-18</t>
  </si>
  <si>
    <t>Brand</t>
  </si>
  <si>
    <t>V-9521</t>
  </si>
  <si>
    <t>0,5  mL a 5 mL</t>
  </si>
  <si>
    <r>
      <t xml:space="preserve">División de Escala  in </t>
    </r>
    <r>
      <rPr>
        <vertAlign val="superscript"/>
        <sz val="12"/>
        <rFont val="Arial"/>
        <family val="2"/>
      </rPr>
      <t>3</t>
    </r>
  </si>
  <si>
    <t># de Espacios</t>
  </si>
  <si>
    <t>mL</t>
  </si>
  <si>
    <t>Coeficiente cubico de expansión térmico del material ( °C-1)</t>
  </si>
  <si>
    <t>1/°C</t>
  </si>
  <si>
    <t>AUX V-2</t>
  </si>
  <si>
    <t>INM 5769</t>
  </si>
  <si>
    <t>0 mL a 5 mL</t>
  </si>
  <si>
    <t>Aceros Euramet cg 21 tabla 1</t>
  </si>
  <si>
    <t>AUX V-020</t>
  </si>
  <si>
    <t>V-9523</t>
  </si>
  <si>
    <t>0 mL a 10mL</t>
  </si>
  <si>
    <r>
      <t>0,25 in</t>
    </r>
    <r>
      <rPr>
        <vertAlign val="superscript"/>
        <sz val="12"/>
        <rFont val="Arial"/>
        <family val="2"/>
      </rPr>
      <t>3</t>
    </r>
  </si>
  <si>
    <t>AUX V-4</t>
  </si>
  <si>
    <t>INM 5897</t>
  </si>
  <si>
    <t>0 mL a 10 mL</t>
  </si>
  <si>
    <r>
      <t>0,5 in</t>
    </r>
    <r>
      <rPr>
        <vertAlign val="superscript"/>
        <sz val="12"/>
        <rFont val="Arial"/>
        <family val="2"/>
      </rPr>
      <t>3</t>
    </r>
  </si>
  <si>
    <t>AUX V-5</t>
  </si>
  <si>
    <t>INM 5894</t>
  </si>
  <si>
    <t>0 mL a 25 mL</t>
  </si>
  <si>
    <r>
      <t>1 in</t>
    </r>
    <r>
      <rPr>
        <vertAlign val="superscript"/>
        <sz val="12"/>
        <rFont val="Arial"/>
        <family val="2"/>
      </rPr>
      <t>3</t>
    </r>
  </si>
  <si>
    <t>%</t>
  </si>
  <si>
    <t>Probetas</t>
  </si>
  <si>
    <t>Identificación / serie</t>
  </si>
  <si>
    <t>Nominal</t>
  </si>
  <si>
    <t>Según certificado  punto Mínimo</t>
  </si>
  <si>
    <t>Según certificado  punto Máximo</t>
  </si>
  <si>
    <t>AUX V-6</t>
  </si>
  <si>
    <t>Simax</t>
  </si>
  <si>
    <t xml:space="preserve">MLP - 01          </t>
  </si>
  <si>
    <t>100.69</t>
  </si>
  <si>
    <t>INM 5715</t>
  </si>
  <si>
    <t>10 mL a 100mL</t>
  </si>
  <si>
    <t>AUX V-7</t>
  </si>
  <si>
    <t>INM 5819</t>
  </si>
  <si>
    <t>50 mL a 500 mL</t>
  </si>
  <si>
    <t>AUX V-34</t>
  </si>
  <si>
    <t>INM 1851</t>
  </si>
  <si>
    <t>AUX V-9</t>
  </si>
  <si>
    <t>INM 5818</t>
  </si>
  <si>
    <t>AUX V-10</t>
  </si>
  <si>
    <t>INM 5804</t>
  </si>
  <si>
    <t>AUX V-11</t>
  </si>
  <si>
    <t>INM 5826</t>
  </si>
  <si>
    <t>100 mL a 1000 mL</t>
  </si>
  <si>
    <t>Unidades en    " s "</t>
  </si>
  <si>
    <t>Cronómetros</t>
  </si>
  <si>
    <t>AUX V-14</t>
  </si>
  <si>
    <t>Resee</t>
  </si>
  <si>
    <t>CMK-TFA-19398</t>
  </si>
  <si>
    <t>Unidades en    " mm "</t>
  </si>
  <si>
    <t>Indicación  (Según Certificado)</t>
  </si>
  <si>
    <t>Pie de Rey "puntas de interiores"</t>
  </si>
  <si>
    <t>AUX V-13 
Punto 5</t>
  </si>
  <si>
    <t>Mitutoyo</t>
  </si>
  <si>
    <t>INM  5773</t>
  </si>
  <si>
    <t>AUX V-13 
Punto 20</t>
  </si>
  <si>
    <t>AUX V-13 
Punto 50</t>
  </si>
  <si>
    <t>AUX V-13 
Punto 70</t>
  </si>
  <si>
    <t>AUX V-13 
Punto 100</t>
  </si>
  <si>
    <t>AUX V-13 
Punto 150</t>
  </si>
  <si>
    <t>AUX V-13
 Punto 200</t>
  </si>
  <si>
    <t>Pie de Rey "puntas de exteriores"</t>
  </si>
  <si>
    <t>AUX V-13 
Punto 200</t>
  </si>
  <si>
    <t>Unidades en  " g "</t>
  </si>
  <si>
    <t>Indicación (Según Certificado en g)</t>
  </si>
  <si>
    <t>División de Escala / Resolución (en "g")</t>
  </si>
  <si>
    <t>g "m" Pendiente</t>
  </si>
  <si>
    <t>g "b" Intersección</t>
  </si>
  <si>
    <t>Puntos de calibración Actual (g)</t>
  </si>
  <si>
    <t>Puntos de calibración Anterior (g)</t>
  </si>
  <si>
    <t>Deriva g</t>
  </si>
  <si>
    <t>Excentricidad según certificado</t>
  </si>
  <si>
    <t>balanza digital de 8100 g</t>
  </si>
  <si>
    <t>V-007   
100* g</t>
  </si>
  <si>
    <t>RADWAG</t>
  </si>
  <si>
    <t>V-007</t>
  </si>
  <si>
    <t>INM 6643</t>
  </si>
  <si>
    <t>V-007   
200* g</t>
  </si>
  <si>
    <t>Balanza V-007</t>
  </si>
  <si>
    <t>V-007
500 g</t>
  </si>
  <si>
    <t>V-007
 1 000 g</t>
  </si>
  <si>
    <t>V-007 
 1 500 g</t>
  </si>
  <si>
    <t>V-007  
 2 000 g</t>
  </si>
  <si>
    <t>V-007  
3 500 g</t>
  </si>
  <si>
    <t>V-007  
5 000* g</t>
  </si>
  <si>
    <t>V-007
6 500 g</t>
  </si>
  <si>
    <t>V-007 
8 100 g</t>
  </si>
  <si>
    <t>balanza digital de 60 kg</t>
  </si>
  <si>
    <t>V-008  
100 g</t>
  </si>
  <si>
    <t>VIBRA</t>
  </si>
  <si>
    <t>V-008</t>
  </si>
  <si>
    <t>INM 6659</t>
  </si>
  <si>
    <t>V-008  
200 g</t>
  </si>
  <si>
    <t>Balanza V-008</t>
  </si>
  <si>
    <t>V-008 
5 000 g</t>
  </si>
  <si>
    <t>V-008
 10 000 g</t>
  </si>
  <si>
    <t>V-008   
 15 000 g</t>
  </si>
  <si>
    <t>V-008 
 20 000 g</t>
  </si>
  <si>
    <t>V-008
25 000 g</t>
  </si>
  <si>
    <t>V-008
35 000 g</t>
  </si>
  <si>
    <t>V-008  
50 000 g</t>
  </si>
  <si>
    <t>V-008   
60 000 g</t>
  </si>
  <si>
    <r>
      <t>Unidad en  " g/cm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"</t>
    </r>
  </si>
  <si>
    <r>
      <t>Indicación (Según Certificado en 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")</t>
    </r>
  </si>
  <si>
    <r>
      <t>División de Escala / Resolución (en 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")</t>
    </r>
  </si>
  <si>
    <r>
      <t>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 "m" Pendiente</t>
    </r>
  </si>
  <si>
    <r>
      <t>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 "b" Intersección</t>
    </r>
  </si>
  <si>
    <r>
      <t>Deriva "g/cm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"</t>
    </r>
  </si>
  <si>
    <t>Densidad Pesas</t>
  </si>
  <si>
    <t>Densidad de las pesas</t>
  </si>
  <si>
    <r>
      <t>ρ</t>
    </r>
    <r>
      <rPr>
        <vertAlign val="subscript"/>
        <sz val="12"/>
        <rFont val="Calibri"/>
        <family val="2"/>
      </rPr>
      <t>B</t>
    </r>
  </si>
  <si>
    <t>XX</t>
  </si>
  <si>
    <t>N/A</t>
  </si>
  <si>
    <r>
      <t>Composición isotópica (en "g/cm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")</t>
    </r>
  </si>
  <si>
    <t>Densidad agua</t>
  </si>
  <si>
    <t>Densidad del agua</t>
  </si>
  <si>
    <t>ρw</t>
  </si>
  <si>
    <t>Ecuación de TANAKA</t>
  </si>
  <si>
    <t>agua grado III</t>
  </si>
  <si>
    <t>Datos de las Pesas Patrón</t>
  </si>
  <si>
    <t>Pesas</t>
  </si>
  <si>
    <t>Clase</t>
  </si>
  <si>
    <t>Serial</t>
  </si>
  <si>
    <t>Marcación</t>
  </si>
  <si>
    <t>Certificado Actual</t>
  </si>
  <si>
    <t>Fecha de calibración Actual</t>
  </si>
  <si>
    <t>Valor Nominal (g)</t>
  </si>
  <si>
    <t>Error (mg) Año Actual</t>
  </si>
  <si>
    <t>Masa Convencional Actual (g)</t>
  </si>
  <si>
    <t>Viajeras 2  M-016</t>
  </si>
  <si>
    <t xml:space="preserve">V 2 RL.  1 g  </t>
  </si>
  <si>
    <t>F 1</t>
  </si>
  <si>
    <t>Rice Lake</t>
  </si>
  <si>
    <t>No identificado</t>
  </si>
  <si>
    <t>No porta</t>
  </si>
  <si>
    <t xml:space="preserve">V 2 RL. 2 g  </t>
  </si>
  <si>
    <t xml:space="preserve">V 2 RL.  2 g punto </t>
  </si>
  <si>
    <t>punto</t>
  </si>
  <si>
    <t xml:space="preserve">V 2 RL.  5 g  </t>
  </si>
  <si>
    <t>Instrumento</t>
  </si>
  <si>
    <t>Intervalo de medida</t>
  </si>
  <si>
    <t>No. de Serie</t>
  </si>
  <si>
    <t>Trazabilidad</t>
  </si>
  <si>
    <t xml:space="preserve">V 2 RL.  10 g  </t>
  </si>
  <si>
    <t>Instrumento de pesaje de funcionamiento no automático-IPFNA</t>
  </si>
  <si>
    <t xml:space="preserve">V 2 RL.  20 g  </t>
  </si>
  <si>
    <t>Termómetro digital con PRT Pt100</t>
  </si>
  <si>
    <t xml:space="preserve">V 2 RL. 20 g punto </t>
  </si>
  <si>
    <t>Termohigrómetro</t>
  </si>
  <si>
    <t xml:space="preserve">
Temperatura: -20 °C a 50 °C
Humedad Relativa: 0 %hr a 100 %hr
Presión aire: 300 hPa a 1 100 hPa</t>
  </si>
  <si>
    <t xml:space="preserve">V 2 RL. 50 g  </t>
  </si>
  <si>
    <t>Agua grado 3</t>
  </si>
  <si>
    <t>Laboratorio SIC.</t>
  </si>
  <si>
    <t xml:space="preserve">V 2 RL.  100 g  </t>
  </si>
  <si>
    <t xml:space="preserve">V 2 RL.  200 g  </t>
  </si>
  <si>
    <t xml:space="preserve">V 2 RL.  200 g punto </t>
  </si>
  <si>
    <t xml:space="preserve">V 2 RL.  500 g  </t>
  </si>
  <si>
    <t xml:space="preserve">V 2 RL.  1 000 g  </t>
  </si>
  <si>
    <t xml:space="preserve">V 2 RL.  2 000 g  </t>
  </si>
  <si>
    <t xml:space="preserve">V 2 RL.  2 000 g punto </t>
  </si>
  <si>
    <t xml:space="preserve">V 2 RL.  4 000 g </t>
  </si>
  <si>
    <t xml:space="preserve">V 2 RL.  5 000 g  </t>
  </si>
  <si>
    <t xml:space="preserve">V 2 RL.  6 000 g  </t>
  </si>
  <si>
    <t xml:space="preserve">V 2 RL.  7 500 g  </t>
  </si>
  <si>
    <t>F 2</t>
  </si>
  <si>
    <t xml:space="preserve">V 2 RL.  8 200 g  </t>
  </si>
  <si>
    <t>Nuevos</t>
  </si>
  <si>
    <t xml:space="preserve">E2 20 kg </t>
  </si>
  <si>
    <t>E2</t>
  </si>
  <si>
    <t>Kern</t>
  </si>
  <si>
    <t>G 1938658</t>
  </si>
  <si>
    <t>F1 20 kg</t>
  </si>
  <si>
    <t>F1</t>
  </si>
  <si>
    <t>G 1934093</t>
  </si>
  <si>
    <t>F1 20 kg A</t>
  </si>
  <si>
    <t>G 1934095</t>
  </si>
  <si>
    <t>20 A</t>
  </si>
  <si>
    <t>F1 20 kg B</t>
  </si>
  <si>
    <t>G 1934094</t>
  </si>
  <si>
    <t>20 B</t>
  </si>
  <si>
    <t>F1 10 kg C</t>
  </si>
  <si>
    <t>Accurate</t>
  </si>
  <si>
    <t>10 C</t>
  </si>
  <si>
    <t>F1 10 kg D</t>
  </si>
  <si>
    <t>10 D</t>
  </si>
  <si>
    <t>F1 5 kg E</t>
  </si>
  <si>
    <t>5 E</t>
  </si>
  <si>
    <t>F1 10 kg C - F1 5 kg E</t>
  </si>
  <si>
    <t>1913624 -1913622</t>
  </si>
  <si>
    <t>10 C - 5 E</t>
  </si>
  <si>
    <t>5264 - 5266</t>
  </si>
  <si>
    <t>03/06/2021 08/06/2021</t>
  </si>
  <si>
    <t>F1 20 kg B - F1 5 kg E</t>
  </si>
  <si>
    <t>Kern - Accurate</t>
  </si>
  <si>
    <t>G 1934094 - 1913622</t>
  </si>
  <si>
    <t>20 B - 5 E</t>
  </si>
  <si>
    <t>5411 - 5266</t>
  </si>
  <si>
    <t>02/09/2021 08/06/2021</t>
  </si>
  <si>
    <t>F1 20 kg B - F1 10 kg C - F1 5 kg E</t>
  </si>
  <si>
    <t>G 1934094 - 1913623 - 1913624</t>
  </si>
  <si>
    <t>20 B - 10 C - 5 E</t>
  </si>
  <si>
    <t>5411 - 5264 - 5266</t>
  </si>
  <si>
    <t>02/09/2021 03/06/2021 08/06/2021</t>
  </si>
  <si>
    <t>F1 20 kg - F1 20 kg A - F1 20 kg B</t>
  </si>
  <si>
    <t>G 1934093 - G 1934095 - G 1934094</t>
  </si>
  <si>
    <t>20 - 20 A - 20 B</t>
  </si>
  <si>
    <t>5408 - 5410 - 5411</t>
  </si>
  <si>
    <t>02/09/2021 02/09/2021 02/09/2021</t>
  </si>
  <si>
    <t>HOJA DE CÁLCULO PARA LA COMPROBACIÓN DE RECIPIENTES VOLUMÉTRICOS USANDO EL MÉTODO GRAVIMÉTRICO</t>
  </si>
  <si>
    <t>Ciudad</t>
  </si>
  <si>
    <t>Fecha de Ingreso</t>
  </si>
  <si>
    <t>Código interno</t>
  </si>
  <si>
    <t>DATOS DE LOS PATRONES</t>
  </si>
  <si>
    <t>NOMBRE</t>
  </si>
  <si>
    <t>Identificación/  
Serie</t>
  </si>
  <si>
    <t>Indicación            (Según Certificado)</t>
  </si>
  <si>
    <t>Unidad</t>
  </si>
  <si>
    <t xml:space="preserve">Deriva </t>
  </si>
  <si>
    <t>Incertidumbre Estándar Global</t>
  </si>
  <si>
    <t>Incertidumbre Excentricidad</t>
  </si>
  <si>
    <r>
      <t>g/cm</t>
    </r>
    <r>
      <rPr>
        <vertAlign val="superscript"/>
        <sz val="12"/>
        <rFont val="Arial"/>
        <family val="2"/>
      </rPr>
      <t>3</t>
    </r>
  </si>
  <si>
    <t>Termómetro (RVC)</t>
  </si>
  <si>
    <t xml:space="preserve">°C </t>
  </si>
  <si>
    <t>g</t>
  </si>
  <si>
    <t>Tipo de agua</t>
  </si>
  <si>
    <t xml:space="preserve">Pipeta </t>
  </si>
  <si>
    <t>Intervalos Nominal (Mín. y Máx.)</t>
  </si>
  <si>
    <t>Según indica certificado Mín. y Máx.)</t>
  </si>
  <si>
    <t xml:space="preserve">Probeta </t>
  </si>
  <si>
    <t>Cronómetro</t>
  </si>
  <si>
    <t>s</t>
  </si>
  <si>
    <t>Pie de Rey</t>
  </si>
  <si>
    <t>mm</t>
  </si>
  <si>
    <t>DATOS DEL RECIPIENTE BAJO COMPROBACIÓN</t>
  </si>
  <si>
    <t>Nombre</t>
  </si>
  <si>
    <t>RVC</t>
  </si>
  <si>
    <t>Número de Serie</t>
  </si>
  <si>
    <t>Temperatura de referencia</t>
  </si>
  <si>
    <t>Capacidad nominal en galones</t>
  </si>
  <si>
    <t xml:space="preserve">División de escala  </t>
  </si>
  <si>
    <t>Resolución:</t>
  </si>
  <si>
    <t>Coeficiente cúbico de expansión térmico del material</t>
  </si>
  <si>
    <r>
      <t>°C</t>
    </r>
    <r>
      <rPr>
        <vertAlign val="superscript"/>
        <sz val="12"/>
        <rFont val="Arial"/>
        <family val="2"/>
      </rPr>
      <t>-1</t>
    </r>
  </si>
  <si>
    <t>Diámetro interno del cuello</t>
  </si>
  <si>
    <t>cm</t>
  </si>
  <si>
    <t>Ancho de los trazos de la escala</t>
  </si>
  <si>
    <t>Coeficiente cúbico de expansión térmico del material (IP)</t>
  </si>
  <si>
    <t>Hora de Inicio</t>
  </si>
  <si>
    <t>NOMBRE DEL METRÓLOGO</t>
  </si>
  <si>
    <t>Verificación IPFNA  (g)</t>
  </si>
  <si>
    <t>Indicaciones carga baja</t>
  </si>
  <si>
    <t>N°</t>
  </si>
  <si>
    <t>promedio (g):</t>
  </si>
  <si>
    <t>DATOS DE CONDICIONES AMBIENTALES CORREGIDAS</t>
  </si>
  <si>
    <t>OBSERVACIONES</t>
  </si>
  <si>
    <t>Temperatura (°C)</t>
  </si>
  <si>
    <t>Humedad (% hr)</t>
  </si>
  <si>
    <r>
      <t>DENSIDAD DEL AIRE CALCULADA CON LA FÓRMULA VERSIÓN SIMPLIFICADA DEL CIPM, Exponencial (g/cm</t>
    </r>
    <r>
      <rPr>
        <b/>
        <vertAlign val="superscript"/>
        <sz val="12"/>
        <color theme="0"/>
        <rFont val="Arial"/>
        <family val="2"/>
      </rPr>
      <t>3</t>
    </r>
    <r>
      <rPr>
        <b/>
        <sz val="12"/>
        <color theme="0"/>
        <rFont val="Arial"/>
        <family val="2"/>
      </rPr>
      <t>)</t>
    </r>
  </si>
  <si>
    <t>DENSIDAD DEL AGUA CALCULADA CON LA FÓRMULA DE TANAKA (g/cm3)</t>
  </si>
  <si>
    <t>DATOS DE CONDICIONES AMBIENTALES TERMOHIGRÓMETRO</t>
  </si>
  <si>
    <t>Diferencias entre ciclos de Medición 
[Ȳ1 - Ȳ2]</t>
  </si>
  <si>
    <t>V1</t>
  </si>
  <si>
    <t>V2</t>
  </si>
  <si>
    <t>V3</t>
  </si>
  <si>
    <t>Tiempo drenado (s)</t>
  </si>
  <si>
    <t>Tiempo escurrido (s)</t>
  </si>
  <si>
    <r>
      <t>g/cm</t>
    </r>
    <r>
      <rPr>
        <vertAlign val="superscript"/>
        <sz val="14"/>
        <rFont val="Arial"/>
        <family val="2"/>
      </rPr>
      <t>3</t>
    </r>
  </si>
  <si>
    <t>L</t>
  </si>
  <si>
    <t>Hora final</t>
  </si>
  <si>
    <t>gal</t>
  </si>
  <si>
    <t>ESTIMACIÓN  Y CALCULO DE LA INCERTIDUMBRE DENSIDAD DEL AIRE</t>
  </si>
  <si>
    <t>Magnitud de entrada</t>
  </si>
  <si>
    <t>Valor estimado (xi)</t>
  </si>
  <si>
    <t xml:space="preserve">Fuente información </t>
  </si>
  <si>
    <t>Incertidumbre original</t>
  </si>
  <si>
    <t>Tipo distribución</t>
  </si>
  <si>
    <t>Divisor</t>
  </si>
  <si>
    <t>Incertidumbre estándar u(xi)</t>
  </si>
  <si>
    <r>
      <t>Coeficiente de sensibilidad, c</t>
    </r>
    <r>
      <rPr>
        <b/>
        <i/>
        <sz val="12"/>
        <rFont val="Arial"/>
        <family val="2"/>
      </rPr>
      <t>i</t>
    </r>
  </si>
  <si>
    <r>
      <t xml:space="preserve">Contribución </t>
    </r>
    <r>
      <rPr>
        <b/>
        <i/>
        <sz val="12"/>
        <rFont val="Arial"/>
        <family val="2"/>
      </rPr>
      <t>u</t>
    </r>
    <r>
      <rPr>
        <b/>
        <i/>
        <vertAlign val="subscript"/>
        <sz val="12"/>
        <rFont val="Arial"/>
        <family val="2"/>
      </rPr>
      <t>i</t>
    </r>
    <r>
      <rPr>
        <b/>
        <i/>
        <sz val="12"/>
        <rFont val="Arial"/>
        <family val="2"/>
      </rPr>
      <t>(y)</t>
    </r>
  </si>
  <si>
    <r>
      <t>(u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(y))</t>
    </r>
    <r>
      <rPr>
        <b/>
        <vertAlign val="superscript"/>
        <sz val="12"/>
        <rFont val="Arial"/>
        <family val="2"/>
      </rPr>
      <t>2</t>
    </r>
  </si>
  <si>
    <r>
      <t>grados de libertad V</t>
    </r>
    <r>
      <rPr>
        <b/>
        <vertAlign val="subscript"/>
        <sz val="12"/>
        <rFont val="Arial"/>
        <family val="2"/>
      </rPr>
      <t>i</t>
    </r>
  </si>
  <si>
    <t>Aporte a la Incertidumbre (aire)</t>
  </si>
  <si>
    <r>
      <t>Densidad del aire (g/cm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</si>
  <si>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Ecuación</t>
  </si>
  <si>
    <t>CIPM versión exponencial</t>
  </si>
  <si>
    <t>Normal k=1</t>
  </si>
  <si>
    <r>
      <t>kg/m</t>
    </r>
    <r>
      <rPr>
        <vertAlign val="superscript"/>
        <sz val="12"/>
        <rFont val="Arial"/>
        <family val="2"/>
      </rPr>
      <t>3</t>
    </r>
  </si>
  <si>
    <t>Taire (°C)</t>
  </si>
  <si>
    <t>Calibración termómetro</t>
  </si>
  <si>
    <t>Certificado calibración</t>
  </si>
  <si>
    <t>Normal k=2</t>
  </si>
  <si>
    <r>
      <t>kg/(m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°C)</t>
    </r>
  </si>
  <si>
    <t>resolución termómetro</t>
  </si>
  <si>
    <t>Indicación equipo</t>
  </si>
  <si>
    <t>Rectangular</t>
  </si>
  <si>
    <t>Deriva del termómetro</t>
  </si>
  <si>
    <t>Dos certificados consecutivos</t>
  </si>
  <si>
    <t>Calibración higrómetro</t>
  </si>
  <si>
    <r>
      <t>kg/(m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%)</t>
    </r>
  </si>
  <si>
    <t>resolución higrómetro</t>
  </si>
  <si>
    <t>Deriva del higrómetro</t>
  </si>
  <si>
    <t>Presión (hPa)</t>
  </si>
  <si>
    <t>Calibración barómetro</t>
  </si>
  <si>
    <r>
      <t>kg/(m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hPa)</t>
    </r>
  </si>
  <si>
    <t>resolución barómetro</t>
  </si>
  <si>
    <t>Deriva del barómetro</t>
  </si>
  <si>
    <r>
      <t>Densidad del aire (kg/m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</si>
  <si>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u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(Daire)=</t>
    </r>
  </si>
  <si>
    <r>
      <t>kg/m</t>
    </r>
    <r>
      <rPr>
        <b/>
        <vertAlign val="superscript"/>
        <sz val="12"/>
        <rFont val="Arial"/>
        <family val="2"/>
      </rPr>
      <t>3</t>
    </r>
  </si>
  <si>
    <t xml:space="preserve">Grados de Libertad </t>
  </si>
  <si>
    <t>U(Daire)=</t>
  </si>
  <si>
    <r>
      <t>g/cm</t>
    </r>
    <r>
      <rPr>
        <b/>
        <vertAlign val="superscript"/>
        <sz val="12"/>
        <rFont val="Arial"/>
        <family val="2"/>
      </rPr>
      <t>3</t>
    </r>
  </si>
  <si>
    <t>ESTIMACIÓN  Y CALCULO DE LA INCERTIDUMBRE DENSIDAD DEL AGUA</t>
  </si>
  <si>
    <t>Aporte a la Incertidumbre (agua)</t>
  </si>
  <si>
    <r>
      <t>Densidad del agua (g/cm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</si>
  <si>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Expansión del agua</t>
  </si>
  <si>
    <t>EURAMET cg-19 v.3:2018</t>
  </si>
  <si>
    <r>
      <t>g/cm</t>
    </r>
    <r>
      <rPr>
        <vertAlign val="superscript"/>
        <sz val="11"/>
        <rFont val="Arial"/>
        <family val="2"/>
      </rPr>
      <t>3</t>
    </r>
  </si>
  <si>
    <t>Composición isotópica</t>
  </si>
  <si>
    <t>BATISTA, E. y PATON, R</t>
  </si>
  <si>
    <t>Ec. Tanaka</t>
  </si>
  <si>
    <t>Tagua (°C)</t>
  </si>
  <si>
    <r>
      <t>g/(cm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>°C)</t>
    </r>
  </si>
  <si>
    <t>Resolución termómetro</t>
  </si>
  <si>
    <t>Equipo</t>
  </si>
  <si>
    <t>Certificados</t>
  </si>
  <si>
    <r>
      <t>g/(cm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>hPa)</t>
    </r>
  </si>
  <si>
    <t>Resolución barómetro</t>
  </si>
  <si>
    <t xml:space="preserve"> Equipo</t>
  </si>
  <si>
    <r>
      <t>u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(Dagua)=</t>
    </r>
  </si>
  <si>
    <r>
      <t>g/cm</t>
    </r>
    <r>
      <rPr>
        <b/>
        <vertAlign val="superscript"/>
        <sz val="11"/>
        <rFont val="Arial"/>
        <family val="2"/>
      </rPr>
      <t>3</t>
    </r>
  </si>
  <si>
    <t xml:space="preserve">grados de Libertad </t>
  </si>
  <si>
    <t>U(Dagua)=</t>
  </si>
  <si>
    <t>ESTIMACIÓN  Y CALCULO DE LA INCERTIDUMBRE DE LA CAPACIDAD</t>
  </si>
  <si>
    <r>
      <t>Coeficiente de sensibilidad, c</t>
    </r>
    <r>
      <rPr>
        <b/>
        <i/>
        <sz val="10"/>
        <rFont val="Arial"/>
        <family val="2"/>
      </rPr>
      <t>i</t>
    </r>
  </si>
  <si>
    <r>
      <t xml:space="preserve">Contribución </t>
    </r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>(y)</t>
    </r>
  </si>
  <si>
    <r>
      <t>(u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(y))</t>
    </r>
    <r>
      <rPr>
        <b/>
        <vertAlign val="superscript"/>
        <sz val="10"/>
        <rFont val="Arial"/>
        <family val="2"/>
      </rPr>
      <t>2</t>
    </r>
  </si>
  <si>
    <r>
      <t>grados de libertad V</t>
    </r>
    <r>
      <rPr>
        <b/>
        <vertAlign val="subscript"/>
        <sz val="10"/>
        <rFont val="Arial"/>
        <family val="2"/>
      </rPr>
      <t>i</t>
    </r>
  </si>
  <si>
    <r>
      <t xml:space="preserve">Contribución </t>
    </r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>(y)</t>
    </r>
    <r>
      <rPr>
        <b/>
        <i/>
        <vertAlign val="superscript"/>
        <sz val="10"/>
        <rFont val="Arial"/>
        <family val="2"/>
      </rPr>
      <t>4</t>
    </r>
  </si>
  <si>
    <t>Aporte a la Incertidumbre (volumen)</t>
  </si>
  <si>
    <t xml:space="preserve">Masa de agua </t>
  </si>
  <si>
    <t>Lectura recipiente lleno, g</t>
  </si>
  <si>
    <t>Resolución balanza, g</t>
  </si>
  <si>
    <t>Equipo, Catálogo</t>
  </si>
  <si>
    <t>mL/g</t>
  </si>
  <si>
    <t>Calibración, g</t>
  </si>
  <si>
    <t xml:space="preserve">Certificado </t>
  </si>
  <si>
    <t>Normal</t>
  </si>
  <si>
    <t>Excentricidad, g</t>
  </si>
  <si>
    <t>Certificado</t>
  </si>
  <si>
    <t>Deriva,g</t>
  </si>
  <si>
    <t>Lectura recipiente vacío g</t>
  </si>
  <si>
    <t>Resolución, g</t>
  </si>
  <si>
    <t>Incertidumbre del método</t>
  </si>
  <si>
    <t>Anova de un factor</t>
  </si>
  <si>
    <t>Densidad del aire (g/cm3)</t>
  </si>
  <si>
    <t>CIPM Versión Exponencial 2007</t>
  </si>
  <si>
    <t>CIPM Exponencial</t>
  </si>
  <si>
    <r>
      <t>(mL)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/g</t>
    </r>
  </si>
  <si>
    <t>Densidad del agua [g/cm³]</t>
  </si>
  <si>
    <t>Tanaka</t>
  </si>
  <si>
    <t>Den. Masas [g/cm³]</t>
  </si>
  <si>
    <t>OIML R 111-1</t>
  </si>
  <si>
    <t>OIML R 111-1 Tabla B.7</t>
  </si>
  <si>
    <t>Coef. Cúbico de exp. [1/°C]</t>
  </si>
  <si>
    <t>Coeficiente expansión Térmica del material</t>
  </si>
  <si>
    <t>°C*mL</t>
  </si>
  <si>
    <t>Temperatura del agua [°C]</t>
  </si>
  <si>
    <t>Resolución termómetro, ºC</t>
  </si>
  <si>
    <t>mL/°C</t>
  </si>
  <si>
    <t>Calibración termómetro, ºC</t>
  </si>
  <si>
    <t>equipo</t>
  </si>
  <si>
    <t xml:space="preserve">Normal </t>
  </si>
  <si>
    <t>Deriva termómetro, ºC</t>
  </si>
  <si>
    <t>certificados</t>
  </si>
  <si>
    <t>rectangular</t>
  </si>
  <si>
    <t>Gradiente en la medición de la temperatura</t>
  </si>
  <si>
    <t>Mediciones</t>
  </si>
  <si>
    <t>Gradiente entre Tagua y T aire, ºC</t>
  </si>
  <si>
    <t>Prueba, Mediciones</t>
  </si>
  <si>
    <t>Repetibilidad</t>
  </si>
  <si>
    <r>
      <t>cm</t>
    </r>
    <r>
      <rPr>
        <vertAlign val="superscript"/>
        <sz val="12"/>
        <rFont val="Arial"/>
        <family val="2"/>
      </rPr>
      <t>3</t>
    </r>
  </si>
  <si>
    <t>Ajuste menisco (Efecto operador)</t>
  </si>
  <si>
    <t>Euramet cg19 (7.3.7.1b)</t>
  </si>
  <si>
    <t>Euramet cg19 (7.3.7.1a)</t>
  </si>
  <si>
    <t>Evaporación</t>
  </si>
  <si>
    <t>Euramet cg19 (7.3.8)</t>
  </si>
  <si>
    <t>Temperatura de referencia [°C]</t>
  </si>
  <si>
    <t>Volumen a la temperatura de referencia</t>
  </si>
  <si>
    <r>
      <t>u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(V</t>
    </r>
    <r>
      <rPr>
        <b/>
        <vertAlign val="subscript"/>
        <sz val="12"/>
        <rFont val="Arial"/>
        <family val="2"/>
      </rPr>
      <t>20</t>
    </r>
    <r>
      <rPr>
        <b/>
        <sz val="12"/>
        <rFont val="Arial"/>
        <family val="2"/>
      </rPr>
      <t>)=</t>
    </r>
  </si>
  <si>
    <t>U(V20)=</t>
  </si>
  <si>
    <t>U(Relativa)=</t>
  </si>
  <si>
    <t>Resultados Finales</t>
  </si>
  <si>
    <t>k</t>
  </si>
  <si>
    <r>
      <t>V</t>
    </r>
    <r>
      <rPr>
        <b/>
        <vertAlign val="subscript"/>
        <sz val="12"/>
        <rFont val="Arial"/>
        <family val="2"/>
      </rPr>
      <t>t</t>
    </r>
  </si>
  <si>
    <r>
      <t>u ( V</t>
    </r>
    <r>
      <rPr>
        <b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>)</t>
    </r>
  </si>
  <si>
    <t>U</t>
  </si>
  <si>
    <r>
      <t xml:space="preserve">N.C </t>
    </r>
    <r>
      <rPr>
        <b/>
        <i/>
        <sz val="12"/>
        <rFont val="Arial"/>
        <family val="2"/>
      </rPr>
      <t>%</t>
    </r>
  </si>
  <si>
    <t>E</t>
  </si>
  <si>
    <t>│E│</t>
  </si>
  <si>
    <t>Incertidumbre dominante</t>
  </si>
  <si>
    <t>Condicional incertidumbre dominante</t>
  </si>
  <si>
    <t>SI</t>
  </si>
  <si>
    <t>≤ 0,3</t>
  </si>
  <si>
    <t>K=1,65</t>
  </si>
  <si>
    <r>
      <t>in</t>
    </r>
    <r>
      <rPr>
        <b/>
        <vertAlign val="superscript"/>
        <sz val="12"/>
        <rFont val="Arial"/>
        <family val="2"/>
      </rPr>
      <t>3</t>
    </r>
  </si>
  <si>
    <t>Resultado</t>
  </si>
  <si>
    <t>≥ 0,3</t>
  </si>
  <si>
    <t>K= 2,0</t>
  </si>
  <si>
    <t xml:space="preserve">HOJA DE CÁLCULO PARA CALIBRACIÓN  DE RECIPIENTES VOLUMÉTRICOS USANDO EL MÉTODO GRAVIMÉTRICO </t>
  </si>
  <si>
    <t>Posición gráfico</t>
  </si>
  <si>
    <r>
      <t>T</t>
    </r>
    <r>
      <rPr>
        <b/>
        <vertAlign val="subscript"/>
        <sz val="12"/>
        <color theme="1"/>
        <rFont val="Arial"/>
        <family val="2"/>
      </rPr>
      <t>U</t>
    </r>
    <r>
      <rPr>
        <b/>
        <sz val="12"/>
        <color theme="1"/>
        <rFont val="Arial"/>
        <family val="2"/>
      </rPr>
      <t xml:space="preserve"> </t>
    </r>
    <r>
      <rPr>
        <b/>
        <vertAlign val="subscript"/>
        <sz val="12"/>
        <color theme="1"/>
        <rFont val="Arial"/>
        <family val="2"/>
      </rPr>
      <t>(EMP + (mL))</t>
    </r>
  </si>
  <si>
    <r>
      <t>T</t>
    </r>
    <r>
      <rPr>
        <b/>
        <vertAlign val="subscript"/>
        <sz val="12"/>
        <color theme="1"/>
        <rFont val="Arial"/>
        <family val="2"/>
      </rPr>
      <t>L</t>
    </r>
    <r>
      <rPr>
        <b/>
        <sz val="12"/>
        <color theme="1"/>
        <rFont val="Arial"/>
        <family val="2"/>
      </rPr>
      <t xml:space="preserve"> </t>
    </r>
    <r>
      <rPr>
        <b/>
        <vertAlign val="subscript"/>
        <sz val="12"/>
        <color theme="1"/>
        <rFont val="Arial"/>
        <family val="2"/>
      </rPr>
      <t>(EMP - (mL))</t>
    </r>
  </si>
  <si>
    <t>Volumen nominal</t>
  </si>
  <si>
    <t>Error indicación (mL)</t>
  </si>
  <si>
    <t>U exp (mL)</t>
  </si>
  <si>
    <t>Probabilidad de conformidad y no conformidad antes de ajuste</t>
  </si>
  <si>
    <t>"Z" limite superior</t>
  </si>
  <si>
    <t>Pc conformidad</t>
  </si>
  <si>
    <t>Pc no conformidad</t>
  </si>
  <si>
    <t>Antes de ajuste</t>
  </si>
  <si>
    <t>Después de ajuste</t>
  </si>
  <si>
    <t>"Z" limite inferior</t>
  </si>
  <si>
    <t>Probabilidad de conformidad y no conformidad Después de ajuste</t>
  </si>
  <si>
    <t>Volumen nominal del RV</t>
  </si>
  <si>
    <t>Volumen Indicado del RV BC antes de ajuste</t>
  </si>
  <si>
    <t>Volumen Indicado del RV BC Después de ajuste</t>
  </si>
  <si>
    <t xml:space="preserve">  V-002  
Punto 1 "hPa"</t>
  </si>
  <si>
    <t xml:space="preserve">  V-002  
Punto 2 "hPa"</t>
  </si>
  <si>
    <t xml:space="preserve">  V-002  
Punto 3 "hPa"</t>
  </si>
  <si>
    <t xml:space="preserve">  V-010  
Punto 1 "hPa"</t>
  </si>
  <si>
    <t xml:space="preserve">  V-010  
Punto 2 "hPa"</t>
  </si>
  <si>
    <t xml:space="preserve">  V-010  
Punto 3 "hPa"</t>
  </si>
  <si>
    <t xml:space="preserve">  V-011  
Punto 1 "hPa"</t>
  </si>
  <si>
    <t xml:space="preserve">  V-011  
Punto 2 "hPa"</t>
  </si>
  <si>
    <t xml:space="preserve">  V-011  
Punto 3 "hPa"</t>
  </si>
  <si>
    <t xml:space="preserve">  V-012  
Punto 1 "hPa"</t>
  </si>
  <si>
    <t xml:space="preserve">  V-012  
Punto 2 "hPa"</t>
  </si>
  <si>
    <t xml:space="preserve">  V-012  
Punto 3 "hPa"</t>
  </si>
  <si>
    <t xml:space="preserve">  V-013  
Punto 1 "hPa"</t>
  </si>
  <si>
    <t xml:space="preserve">  V-013  
Punto 2 "hPa"</t>
  </si>
  <si>
    <t xml:space="preserve">  V-013  
Punto 3 "hPa"</t>
  </si>
  <si>
    <t>Lugar y Dirección de Comprobación</t>
  </si>
  <si>
    <t>Fecha de Comprobación</t>
  </si>
  <si>
    <t>Comprobación N°</t>
  </si>
  <si>
    <t>Lugar de Comprobación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</si>
</sst>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yyyy\-mm\-dd;@"/>
    <numFmt numFmtId="170" formatCode="0.000000000"/>
    <numFmt numFmtId="171" formatCode="0.0000000"/>
    <numFmt numFmtId="172" formatCode="#,##0.0"/>
    <numFmt numFmtId="173" formatCode="#,##0.000"/>
    <numFmt numFmtId="174" formatCode="0.E+00"/>
    <numFmt numFmtId="175" formatCode="0.00000000"/>
    <numFmt numFmtId="176" formatCode="0.0000000000"/>
    <numFmt numFmtId="177" formatCode="0.0%"/>
    <numFmt numFmtId="178" formatCode="0.0E+00"/>
    <numFmt numFmtId="179" formatCode="0.000%"/>
    <numFmt numFmtId="180" formatCode="0.0000%"/>
    <numFmt numFmtId="181" formatCode="0.000000%"/>
    <numFmt numFmtId="182" formatCode="0.0000000%"/>
    <numFmt numFmtId="183" formatCode="0\ 000"/>
  </numFmts>
  <fonts count="5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2"/>
      <color rgb="FF006100"/>
      <name val="Tahoma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0"/>
      <name val="Arial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8"/>
      <name val="Calibri"/>
      <family val="2"/>
      <scheme val="minor"/>
    </font>
    <font>
      <b/>
      <i/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sz val="11"/>
      <name val="Calibri"/>
      <family val="2"/>
      <scheme val="minor"/>
    </font>
    <font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sz val="12"/>
      <name val="Calibri"/>
      <family val="2"/>
      <scheme val="minor"/>
    </font>
    <font>
      <b/>
      <sz val="18"/>
      <color theme="0"/>
      <name val="Arial"/>
      <family val="2"/>
    </font>
    <font>
      <b/>
      <sz val="24"/>
      <name val="Arial"/>
      <family val="2"/>
    </font>
    <font>
      <b/>
      <vertAlign val="superscript"/>
      <sz val="14"/>
      <name val="Arial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91C6F7"/>
        <bgColor indexed="64"/>
      </patternFill>
    </fill>
    <fill>
      <patternFill patternType="solid">
        <fgColor rgb="FFC8E2FB"/>
        <bgColor indexed="64"/>
      </patternFill>
    </fill>
    <fill>
      <patternFill patternType="solid">
        <fgColor rgb="FF81B0E4"/>
        <bgColor indexed="64"/>
      </patternFill>
    </fill>
    <fill>
      <patternFill patternType="darkGray">
        <bgColor rgb="FFFFFF00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1" right="1">
        <stop position="0">
          <color rgb="FF7030A0"/>
        </stop>
        <stop position="1">
          <color rgb="FFFFFF00"/>
        </stop>
      </gradientFill>
    </fill>
    <fill>
      <patternFill patternType="solid">
        <fgColor rgb="FF073763"/>
        <bgColor indexed="64"/>
      </patternFill>
    </fill>
    <fill>
      <patternFill patternType="solid">
        <fgColor rgb="FF8DB4E2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FD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5" fillId="8" borderId="0" applyNumberFormat="0" applyBorder="0" applyAlignment="0" applyProtection="0"/>
    <xf numFmtId="0" fontId="10" fillId="19" borderId="8">
      <alignment horizontal="center" vertical="center" wrapText="1"/>
    </xf>
    <xf numFmtId="0" fontId="10" fillId="11" borderId="8">
      <alignment horizontal="center" vertical="center" wrapText="1"/>
    </xf>
    <xf numFmtId="0" fontId="10" fillId="20" borderId="8">
      <alignment horizontal="center" vertical="center" wrapText="1"/>
    </xf>
    <xf numFmtId="0" fontId="4" fillId="2" borderId="0">
      <alignment horizontal="center"/>
    </xf>
    <xf numFmtId="0" fontId="4" fillId="21" borderId="0">
      <alignment horizontal="center"/>
    </xf>
    <xf numFmtId="0" fontId="10" fillId="7" borderId="9">
      <alignment horizontal="center"/>
    </xf>
    <xf numFmtId="0" fontId="17" fillId="8" borderId="0" applyNumberFormat="0" applyBorder="0" applyAlignment="0" applyProtection="0"/>
    <xf numFmtId="2" fontId="10" fillId="24" borderId="38" applyFont="0" applyBorder="0" applyAlignment="0">
      <alignment horizontal="center" vertical="center" wrapText="1"/>
      <protection locked="0"/>
    </xf>
    <xf numFmtId="0" fontId="3" fillId="25" borderId="9" applyBorder="0">
      <alignment horizontal="center" vertical="center"/>
    </xf>
    <xf numFmtId="9" fontId="20" fillId="0" borderId="0" applyFont="0" applyFill="0" applyBorder="0" applyAlignment="0" applyProtection="0"/>
    <xf numFmtId="0" fontId="13" fillId="0" borderId="0"/>
  </cellStyleXfs>
  <cellXfs count="1376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2" fontId="7" fillId="13" borderId="17" xfId="1" applyNumberFormat="1" applyFont="1" applyFill="1" applyBorder="1" applyAlignment="1" applyProtection="1">
      <alignment horizontal="center" vertical="center"/>
      <protection hidden="1"/>
    </xf>
    <xf numFmtId="2" fontId="7" fillId="13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2" fillId="4" borderId="27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7" fillId="13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2" fontId="7" fillId="16" borderId="2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23" fillId="21" borderId="1" xfId="6" applyFont="1" applyBorder="1" applyAlignment="1" applyProtection="1">
      <alignment horizontal="center" vertical="center"/>
      <protection locked="0" hidden="1"/>
    </xf>
    <xf numFmtId="0" fontId="7" fillId="13" borderId="20" xfId="0" applyFont="1" applyFill="1" applyBorder="1" applyAlignment="1" applyProtection="1">
      <alignment horizontal="center" vertical="center" wrapText="1"/>
      <protection hidden="1"/>
    </xf>
    <xf numFmtId="1" fontId="14" fillId="13" borderId="38" xfId="0" applyNumberFormat="1" applyFont="1" applyFill="1" applyBorder="1" applyAlignment="1" applyProtection="1">
      <alignment horizontal="center" vertical="center" wrapText="1"/>
      <protection hidden="1"/>
    </xf>
    <xf numFmtId="14" fontId="14" fillId="9" borderId="38" xfId="0" applyNumberFormat="1" applyFont="1" applyFill="1" applyBorder="1" applyAlignment="1" applyProtection="1">
      <alignment horizontal="center" vertical="center" wrapText="1"/>
      <protection hidden="1"/>
    </xf>
    <xf numFmtId="0" fontId="14" fillId="12" borderId="38" xfId="0" applyFont="1" applyFill="1" applyBorder="1" applyAlignment="1" applyProtection="1">
      <alignment horizontal="center" vertical="center" wrapText="1"/>
      <protection hidden="1"/>
    </xf>
    <xf numFmtId="2" fontId="14" fillId="12" borderId="38" xfId="0" applyNumberFormat="1" applyFont="1" applyFill="1" applyBorder="1" applyAlignment="1" applyProtection="1">
      <alignment horizontal="center" vertical="center" wrapText="1"/>
      <protection hidden="1"/>
    </xf>
    <xf numFmtId="166" fontId="14" fillId="12" borderId="38" xfId="0" applyNumberFormat="1" applyFont="1" applyFill="1" applyBorder="1" applyAlignment="1" applyProtection="1">
      <alignment horizontal="center" vertical="center" wrapText="1"/>
      <protection hidden="1"/>
    </xf>
    <xf numFmtId="2" fontId="14" fillId="9" borderId="38" xfId="0" applyNumberFormat="1" applyFont="1" applyFill="1" applyBorder="1" applyAlignment="1" applyProtection="1">
      <alignment horizontal="center" vertical="center" wrapText="1"/>
      <protection hidden="1"/>
    </xf>
    <xf numFmtId="166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23" fillId="21" borderId="1" xfId="6" applyFont="1" applyBorder="1" applyAlignment="1" applyProtection="1">
      <alignment horizontal="center" vertical="center" wrapText="1"/>
      <protection locked="0" hidden="1"/>
    </xf>
    <xf numFmtId="14" fontId="14" fillId="9" borderId="9" xfId="0" applyNumberFormat="1" applyFont="1" applyFill="1" applyBorder="1" applyAlignment="1" applyProtection="1">
      <alignment horizontal="center" vertical="center" wrapText="1"/>
      <protection hidden="1"/>
    </xf>
    <xf numFmtId="14" fontId="14" fillId="9" borderId="9" xfId="0" applyNumberFormat="1" applyFont="1" applyFill="1" applyBorder="1" applyAlignment="1" applyProtection="1">
      <alignment horizontal="center" vertical="center"/>
      <protection hidden="1"/>
    </xf>
    <xf numFmtId="164" fontId="14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12" borderId="9" xfId="0" applyFont="1" applyFill="1" applyBorder="1" applyAlignment="1" applyProtection="1">
      <alignment horizontal="center" vertical="center" wrapText="1"/>
      <protection hidden="1"/>
    </xf>
    <xf numFmtId="1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14" fillId="2" borderId="46" xfId="0" applyFont="1" applyFill="1" applyBorder="1" applyAlignment="1" applyProtection="1">
      <alignment horizontal="center" vertical="center" wrapText="1"/>
      <protection hidden="1"/>
    </xf>
    <xf numFmtId="0" fontId="23" fillId="21" borderId="67" xfId="6" applyFont="1" applyBorder="1" applyAlignment="1" applyProtection="1">
      <alignment horizontal="center" vertical="center" wrapText="1"/>
      <protection locked="0" hidden="1"/>
    </xf>
    <xf numFmtId="0" fontId="14" fillId="2" borderId="46" xfId="0" applyFont="1" applyFill="1" applyBorder="1" applyAlignment="1" applyProtection="1">
      <alignment horizontal="center" vertical="center" wrapText="1"/>
      <protection locked="0" hidden="1"/>
    </xf>
    <xf numFmtId="0" fontId="23" fillId="21" borderId="66" xfId="6" applyFont="1" applyBorder="1" applyAlignment="1" applyProtection="1">
      <alignment horizontal="center" vertical="center" wrapText="1"/>
      <protection locked="0" hidden="1"/>
    </xf>
    <xf numFmtId="167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166" fontId="14" fillId="9" borderId="9" xfId="0" applyNumberFormat="1" applyFont="1" applyFill="1" applyBorder="1" applyAlignment="1" applyProtection="1">
      <alignment horizontal="center" vertical="center" wrapText="1"/>
      <protection hidden="1"/>
    </xf>
    <xf numFmtId="2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21" borderId="47" xfId="6" applyFont="1" applyBorder="1" applyAlignment="1" applyProtection="1">
      <alignment horizontal="center" vertical="center" wrapText="1"/>
      <protection locked="0" hidden="1"/>
    </xf>
    <xf numFmtId="11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21" borderId="36" xfId="6" applyFont="1" applyBorder="1" applyAlignment="1" applyProtection="1">
      <alignment horizontal="center" vertical="center" wrapText="1"/>
      <protection locked="0" hidden="1"/>
    </xf>
    <xf numFmtId="165" fontId="14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18" xfId="0" applyFont="1" applyFill="1" applyBorder="1" applyAlignment="1" applyProtection="1">
      <alignment horizontal="center" vertical="center" wrapText="1"/>
      <protection hidden="1"/>
    </xf>
    <xf numFmtId="0" fontId="23" fillId="21" borderId="8" xfId="6" applyFont="1" applyBorder="1" applyAlignment="1" applyProtection="1">
      <alignment horizontal="center" vertical="center" wrapText="1"/>
      <protection locked="0" hidden="1"/>
    </xf>
    <xf numFmtId="165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168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171" fontId="14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9" xfId="0" applyFont="1" applyFill="1" applyBorder="1" applyAlignment="1" applyProtection="1">
      <alignment horizontal="center" vertical="center" wrapText="1"/>
      <protection hidden="1"/>
    </xf>
    <xf numFmtId="0" fontId="14" fillId="0" borderId="46" xfId="0" applyFont="1" applyBorder="1" applyAlignment="1" applyProtection="1">
      <alignment horizontal="center" vertical="center" wrapText="1"/>
      <protection hidden="1"/>
    </xf>
    <xf numFmtId="1" fontId="14" fillId="12" borderId="41" xfId="0" applyNumberFormat="1" applyFont="1" applyFill="1" applyBorder="1" applyAlignment="1" applyProtection="1">
      <alignment horizontal="center" vertical="center" wrapText="1"/>
      <protection hidden="1"/>
    </xf>
    <xf numFmtId="14" fontId="14" fillId="9" borderId="41" xfId="0" applyNumberFormat="1" applyFont="1" applyFill="1" applyBorder="1" applyAlignment="1" applyProtection="1">
      <alignment horizontal="center" vertical="center" wrapText="1"/>
      <protection hidden="1"/>
    </xf>
    <xf numFmtId="2" fontId="14" fillId="12" borderId="41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41" xfId="0" applyNumberFormat="1" applyFont="1" applyFill="1" applyBorder="1" applyAlignment="1" applyProtection="1">
      <alignment horizontal="center" vertical="center" wrapText="1"/>
      <protection hidden="1"/>
    </xf>
    <xf numFmtId="166" fontId="14" fillId="12" borderId="41" xfId="0" applyNumberFormat="1" applyFont="1" applyFill="1" applyBorder="1" applyAlignment="1" applyProtection="1">
      <alignment horizontal="center" vertical="center" wrapText="1"/>
      <protection hidden="1"/>
    </xf>
    <xf numFmtId="171" fontId="14" fillId="16" borderId="41" xfId="0" applyNumberFormat="1" applyFont="1" applyFill="1" applyBorder="1" applyAlignment="1" applyProtection="1">
      <alignment horizontal="center" vertical="center" wrapText="1"/>
      <protection hidden="1"/>
    </xf>
    <xf numFmtId="0" fontId="14" fillId="12" borderId="41" xfId="0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" fontId="14" fillId="0" borderId="0" xfId="0" applyNumberFormat="1" applyFont="1" applyAlignment="1" applyProtection="1">
      <alignment horizontal="center" vertical="center" wrapText="1"/>
      <protection hidden="1"/>
    </xf>
    <xf numFmtId="14" fontId="14" fillId="0" borderId="0" xfId="0" applyNumberFormat="1" applyFont="1" applyAlignment="1" applyProtection="1">
      <alignment horizontal="center" vertical="center" wrapText="1"/>
      <protection hidden="1"/>
    </xf>
    <xf numFmtId="2" fontId="14" fillId="0" borderId="0" xfId="0" applyNumberFormat="1" applyFont="1" applyAlignment="1" applyProtection="1">
      <alignment horizontal="center" vertical="center" wrapText="1"/>
      <protection hidden="1"/>
    </xf>
    <xf numFmtId="165" fontId="14" fillId="0" borderId="0" xfId="0" applyNumberFormat="1" applyFont="1" applyAlignment="1" applyProtection="1">
      <alignment horizontal="center" vertical="center" wrapText="1"/>
      <protection hidden="1"/>
    </xf>
    <xf numFmtId="166" fontId="14" fillId="0" borderId="0" xfId="0" applyNumberFormat="1" applyFont="1" applyAlignment="1" applyProtection="1">
      <alignment horizontal="center" vertical="center" wrapText="1"/>
      <protection hidden="1"/>
    </xf>
    <xf numFmtId="171" fontId="14" fillId="0" borderId="0" xfId="0" applyNumberFormat="1" applyFont="1" applyAlignment="1" applyProtection="1">
      <alignment horizontal="center" vertical="center" wrapText="1"/>
      <protection hidden="1"/>
    </xf>
    <xf numFmtId="169" fontId="14" fillId="0" borderId="0" xfId="0" applyNumberFormat="1" applyFont="1" applyAlignment="1" applyProtection="1">
      <alignment horizontal="center" vertical="center" wrapText="1"/>
      <protection hidden="1"/>
    </xf>
    <xf numFmtId="0" fontId="23" fillId="0" borderId="0" xfId="6" applyFont="1" applyFill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vertical="center" wrapText="1"/>
      <protection hidden="1"/>
    </xf>
    <xf numFmtId="0" fontId="7" fillId="13" borderId="6" xfId="0" applyFont="1" applyFill="1" applyBorder="1" applyAlignment="1" applyProtection="1">
      <alignment horizontal="center" vertical="center" wrapText="1"/>
      <protection hidden="1"/>
    </xf>
    <xf numFmtId="0" fontId="7" fillId="13" borderId="7" xfId="0" applyFont="1" applyFill="1" applyBorder="1" applyAlignment="1" applyProtection="1">
      <alignment horizontal="center" vertical="center" wrapText="1"/>
      <protection hidden="1"/>
    </xf>
    <xf numFmtId="0" fontId="23" fillId="21" borderId="8" xfId="6" applyFont="1" applyBorder="1" applyAlignment="1" applyProtection="1">
      <alignment horizontal="center" vertical="center"/>
      <protection locked="0" hidden="1"/>
    </xf>
    <xf numFmtId="0" fontId="14" fillId="9" borderId="30" xfId="0" applyFont="1" applyFill="1" applyBorder="1" applyAlignment="1" applyProtection="1">
      <alignment horizontal="center" vertical="center" wrapText="1"/>
      <protection hidden="1"/>
    </xf>
    <xf numFmtId="0" fontId="14" fillId="9" borderId="32" xfId="0" applyFont="1" applyFill="1" applyBorder="1" applyAlignment="1" applyProtection="1">
      <alignment horizontal="center" vertical="center" wrapText="1"/>
      <protection hidden="1"/>
    </xf>
    <xf numFmtId="165" fontId="14" fillId="9" borderId="30" xfId="0" applyNumberFormat="1" applyFont="1" applyFill="1" applyBorder="1" applyAlignment="1" applyProtection="1">
      <alignment horizontal="center" vertical="center" wrapText="1"/>
      <protection hidden="1"/>
    </xf>
    <xf numFmtId="171" fontId="14" fillId="9" borderId="30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40" xfId="0" applyFont="1" applyFill="1" applyBorder="1" applyAlignment="1" applyProtection="1">
      <alignment horizontal="center" vertical="center" wrapText="1"/>
      <protection hidden="1"/>
    </xf>
    <xf numFmtId="14" fontId="14" fillId="9" borderId="3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locked="0" hidden="1"/>
    </xf>
    <xf numFmtId="167" fontId="14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14" fontId="14" fillId="0" borderId="0" xfId="0" applyNumberFormat="1" applyFont="1" applyAlignment="1" applyProtection="1">
      <alignment vertical="center" wrapText="1"/>
      <protection hidden="1"/>
    </xf>
    <xf numFmtId="167" fontId="7" fillId="6" borderId="64" xfId="0" applyNumberFormat="1" applyFont="1" applyFill="1" applyBorder="1" applyAlignment="1" applyProtection="1">
      <alignment horizontal="center" vertical="center" wrapText="1"/>
      <protection hidden="1"/>
    </xf>
    <xf numFmtId="167" fontId="7" fillId="6" borderId="39" xfId="0" applyNumberFormat="1" applyFont="1" applyFill="1" applyBorder="1" applyAlignment="1" applyProtection="1">
      <alignment horizontal="center" vertical="center" wrapText="1"/>
      <protection hidden="1"/>
    </xf>
    <xf numFmtId="167" fontId="14" fillId="0" borderId="0" xfId="0" applyNumberFormat="1" applyFont="1" applyAlignment="1" applyProtection="1">
      <alignment horizontal="center" vertical="center" wrapText="1"/>
      <protection locked="0" hidden="1"/>
    </xf>
    <xf numFmtId="167" fontId="14" fillId="0" borderId="0" xfId="0" applyNumberFormat="1" applyFont="1" applyAlignment="1" applyProtection="1">
      <alignment horizontal="center" vertical="center" wrapText="1"/>
      <protection hidden="1"/>
    </xf>
    <xf numFmtId="167" fontId="7" fillId="0" borderId="0" xfId="0" applyNumberFormat="1" applyFont="1" applyAlignment="1" applyProtection="1">
      <alignment horizontal="center" vertical="center" wrapText="1"/>
      <protection hidden="1"/>
    </xf>
    <xf numFmtId="167" fontId="7" fillId="6" borderId="1" xfId="0" applyNumberFormat="1" applyFont="1" applyFill="1" applyBorder="1" applyAlignment="1" applyProtection="1">
      <alignment horizontal="center" vertical="center" wrapText="1"/>
      <protection hidden="1"/>
    </xf>
    <xf numFmtId="167" fontId="7" fillId="6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167" fontId="31" fillId="6" borderId="9" xfId="0" applyNumberFormat="1" applyFont="1" applyFill="1" applyBorder="1" applyAlignment="1">
      <alignment horizontal="center" vertical="center" wrapText="1"/>
    </xf>
    <xf numFmtId="165" fontId="30" fillId="6" borderId="32" xfId="0" applyNumberFormat="1" applyFont="1" applyFill="1" applyBorder="1" applyAlignment="1">
      <alignment horizontal="center" vertical="center" wrapText="1"/>
    </xf>
    <xf numFmtId="166" fontId="31" fillId="6" borderId="9" xfId="0" applyNumberFormat="1" applyFont="1" applyFill="1" applyBorder="1" applyAlignment="1">
      <alignment horizontal="center" vertical="center" wrapText="1"/>
    </xf>
    <xf numFmtId="2" fontId="30" fillId="6" borderId="9" xfId="0" applyNumberFormat="1" applyFont="1" applyFill="1" applyBorder="1" applyAlignment="1">
      <alignment horizontal="center" vertical="center" wrapText="1"/>
    </xf>
    <xf numFmtId="167" fontId="30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30" fillId="6" borderId="32" xfId="0" applyFont="1" applyFill="1" applyBorder="1" applyAlignment="1" applyProtection="1">
      <alignment horizontal="center" vertical="center" wrapText="1"/>
      <protection hidden="1"/>
    </xf>
    <xf numFmtId="0" fontId="30" fillId="6" borderId="9" xfId="0" applyFont="1" applyFill="1" applyBorder="1" applyAlignment="1" applyProtection="1">
      <alignment horizontal="center" vertical="center" wrapText="1"/>
      <protection hidden="1"/>
    </xf>
    <xf numFmtId="0" fontId="23" fillId="0" borderId="0" xfId="6" applyFont="1" applyFill="1" applyAlignment="1" applyProtection="1">
      <alignment horizontal="center" vertical="center"/>
      <protection locked="0" hidden="1"/>
    </xf>
    <xf numFmtId="167" fontId="31" fillId="6" borderId="41" xfId="0" applyNumberFormat="1" applyFont="1" applyFill="1" applyBorder="1" applyAlignment="1" applyProtection="1">
      <alignment horizontal="center" vertical="center" wrapText="1"/>
      <protection hidden="1"/>
    </xf>
    <xf numFmtId="166" fontId="33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locked="0" hidden="1"/>
    </xf>
    <xf numFmtId="166" fontId="33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 applyProtection="1">
      <alignment horizontal="center" vertical="center" wrapText="1"/>
      <protection locked="0" hidden="1"/>
    </xf>
    <xf numFmtId="164" fontId="7" fillId="6" borderId="47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vertical="center" wrapText="1"/>
      <protection locked="0" hidden="1"/>
    </xf>
    <xf numFmtId="0" fontId="14" fillId="2" borderId="46" xfId="0" applyFont="1" applyFill="1" applyBorder="1" applyAlignment="1" applyProtection="1">
      <alignment vertical="center" wrapText="1"/>
      <protection locked="0" hidden="1"/>
    </xf>
    <xf numFmtId="11" fontId="14" fillId="0" borderId="0" xfId="0" applyNumberFormat="1" applyFont="1" applyAlignment="1" applyProtection="1">
      <alignment horizontal="center" vertical="center" wrapText="1"/>
      <protection hidden="1"/>
    </xf>
    <xf numFmtId="0" fontId="14" fillId="2" borderId="44" xfId="0" applyFont="1" applyFill="1" applyBorder="1" applyAlignment="1" applyProtection="1">
      <alignment vertical="center" wrapText="1"/>
      <protection locked="0" hidden="1"/>
    </xf>
    <xf numFmtId="0" fontId="14" fillId="2" borderId="5" xfId="0" applyFont="1" applyFill="1" applyBorder="1" applyAlignment="1" applyProtection="1">
      <alignment vertical="center" wrapText="1"/>
      <protection locked="0" hidden="1"/>
    </xf>
    <xf numFmtId="0" fontId="14" fillId="2" borderId="36" xfId="0" applyFont="1" applyFill="1" applyBorder="1" applyAlignment="1" applyProtection="1">
      <alignment vertical="center" wrapText="1"/>
      <protection locked="0" hidden="1"/>
    </xf>
    <xf numFmtId="0" fontId="7" fillId="29" borderId="67" xfId="0" applyFont="1" applyFill="1" applyBorder="1" applyAlignment="1">
      <alignment horizontal="left" vertical="top"/>
    </xf>
    <xf numFmtId="0" fontId="14" fillId="29" borderId="37" xfId="0" applyFont="1" applyFill="1" applyBorder="1"/>
    <xf numFmtId="0" fontId="14" fillId="29" borderId="38" xfId="0" applyFont="1" applyFill="1" applyBorder="1"/>
    <xf numFmtId="11" fontId="14" fillId="29" borderId="38" xfId="0" applyNumberFormat="1" applyFont="1" applyFill="1" applyBorder="1"/>
    <xf numFmtId="0" fontId="14" fillId="29" borderId="39" xfId="0" applyFont="1" applyFill="1" applyBorder="1"/>
    <xf numFmtId="9" fontId="7" fillId="29" borderId="39" xfId="0" applyNumberFormat="1" applyFont="1" applyFill="1" applyBorder="1" applyAlignment="1">
      <alignment horizontal="center" vertical="center"/>
    </xf>
    <xf numFmtId="0" fontId="14" fillId="0" borderId="62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76" fontId="14" fillId="0" borderId="9" xfId="0" applyNumberFormat="1" applyFont="1" applyBorder="1" applyAlignment="1">
      <alignment horizontal="center" vertical="center" wrapText="1"/>
    </xf>
    <xf numFmtId="175" fontId="14" fillId="0" borderId="9" xfId="0" applyNumberFormat="1" applyFont="1" applyBorder="1" applyAlignment="1">
      <alignment horizontal="center" vertical="center" wrapText="1"/>
    </xf>
    <xf numFmtId="11" fontId="14" fillId="0" borderId="9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0" fontId="7" fillId="29" borderId="62" xfId="0" applyFont="1" applyFill="1" applyBorder="1" applyAlignment="1">
      <alignment horizontal="left" vertical="center" wrapText="1"/>
    </xf>
    <xf numFmtId="167" fontId="7" fillId="29" borderId="30" xfId="0" applyNumberFormat="1" applyFont="1" applyFill="1" applyBorder="1" applyAlignment="1">
      <alignment horizontal="center" vertical="center" wrapText="1"/>
    </xf>
    <xf numFmtId="0" fontId="14" fillId="29" borderId="9" xfId="0" applyFont="1" applyFill="1" applyBorder="1" applyAlignment="1">
      <alignment horizontal="center" vertical="center" wrapText="1"/>
    </xf>
    <xf numFmtId="176" fontId="14" fillId="29" borderId="9" xfId="0" applyNumberFormat="1" applyFont="1" applyFill="1" applyBorder="1" applyAlignment="1">
      <alignment horizontal="center" vertical="center" wrapText="1"/>
    </xf>
    <xf numFmtId="175" fontId="14" fillId="29" borderId="9" xfId="0" applyNumberFormat="1" applyFont="1" applyFill="1" applyBorder="1" applyAlignment="1">
      <alignment horizontal="center" vertical="center" wrapText="1"/>
    </xf>
    <xf numFmtId="0" fontId="14" fillId="29" borderId="32" xfId="0" applyFont="1" applyFill="1" applyBorder="1" applyAlignment="1">
      <alignment horizontal="center" vertical="center" wrapText="1"/>
    </xf>
    <xf numFmtId="167" fontId="14" fillId="0" borderId="30" xfId="0" applyNumberFormat="1" applyFont="1" applyBorder="1" applyAlignment="1">
      <alignment horizontal="center" vertical="center" wrapText="1"/>
    </xf>
    <xf numFmtId="167" fontId="14" fillId="0" borderId="9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171" fontId="14" fillId="0" borderId="9" xfId="0" applyNumberFormat="1" applyFont="1" applyBorder="1" applyAlignment="1">
      <alignment horizontal="center" vertical="center" wrapText="1"/>
    </xf>
    <xf numFmtId="9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0" fontId="7" fillId="0" borderId="32" xfId="0" applyNumberFormat="1" applyFont="1" applyBorder="1" applyAlignment="1">
      <alignment horizontal="center" vertical="center" wrapText="1"/>
    </xf>
    <xf numFmtId="11" fontId="14" fillId="29" borderId="9" xfId="0" applyNumberFormat="1" applyFont="1" applyFill="1" applyBorder="1" applyAlignment="1">
      <alignment horizontal="center" vertical="center" wrapText="1"/>
    </xf>
    <xf numFmtId="180" fontId="7" fillId="0" borderId="32" xfId="0" applyNumberFormat="1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167" fontId="14" fillId="0" borderId="41" xfId="0" applyNumberFormat="1" applyFont="1" applyBorder="1" applyAlignment="1">
      <alignment horizontal="center" vertical="center" wrapText="1"/>
    </xf>
    <xf numFmtId="2" fontId="14" fillId="0" borderId="41" xfId="0" applyNumberFormat="1" applyFont="1" applyBorder="1" applyAlignment="1">
      <alignment horizontal="center" vertical="center" wrapText="1"/>
    </xf>
    <xf numFmtId="11" fontId="14" fillId="0" borderId="41" xfId="0" applyNumberFormat="1" applyFont="1" applyBorder="1" applyAlignment="1">
      <alignment horizontal="center" vertical="center" wrapText="1"/>
    </xf>
    <xf numFmtId="175" fontId="14" fillId="0" borderId="41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0" fontId="7" fillId="0" borderId="65" xfId="0" applyNumberFormat="1" applyFont="1" applyBorder="1" applyAlignment="1">
      <alignment horizontal="center" vertical="center" wrapText="1"/>
    </xf>
    <xf numFmtId="0" fontId="7" fillId="29" borderId="2" xfId="0" applyFont="1" applyFill="1" applyBorder="1" applyAlignment="1">
      <alignment horizontal="left" vertical="center" wrapText="1"/>
    </xf>
    <xf numFmtId="165" fontId="7" fillId="0" borderId="47" xfId="0" applyNumberFormat="1" applyFont="1" applyBorder="1" applyAlignment="1">
      <alignment horizontal="center"/>
    </xf>
    <xf numFmtId="0" fontId="14" fillId="0" borderId="0" xfId="0" applyFont="1"/>
    <xf numFmtId="0" fontId="14" fillId="0" borderId="46" xfId="0" applyFont="1" applyBorder="1"/>
    <xf numFmtId="11" fontId="7" fillId="0" borderId="47" xfId="0" applyNumberFormat="1" applyFont="1" applyBorder="1" applyAlignment="1">
      <alignment horizontal="center" vertical="center" wrapText="1"/>
    </xf>
    <xf numFmtId="171" fontId="7" fillId="0" borderId="1" xfId="0" applyNumberFormat="1" applyFont="1" applyBorder="1" applyAlignment="1">
      <alignment horizontal="center"/>
    </xf>
    <xf numFmtId="11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/>
    </xf>
    <xf numFmtId="170" fontId="36" fillId="0" borderId="0" xfId="0" applyNumberFormat="1" applyFont="1"/>
    <xf numFmtId="0" fontId="22" fillId="0" borderId="0" xfId="0" applyFont="1"/>
    <xf numFmtId="0" fontId="22" fillId="0" borderId="46" xfId="0" applyFont="1" applyBorder="1"/>
    <xf numFmtId="1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1" fontId="7" fillId="2" borderId="1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Alignment="1" applyProtection="1">
      <alignment vertical="center" wrapText="1"/>
      <protection hidden="1"/>
    </xf>
    <xf numFmtId="168" fontId="16" fillId="0" borderId="0" xfId="0" applyNumberFormat="1" applyFont="1" applyAlignment="1" applyProtection="1">
      <alignment horizontal="center" vertical="center"/>
      <protection hidden="1"/>
    </xf>
    <xf numFmtId="168" fontId="14" fillId="0" borderId="0" xfId="0" applyNumberFormat="1" applyFont="1" applyAlignment="1" applyProtection="1">
      <alignment horizontal="center" vertical="center"/>
      <protection hidden="1"/>
    </xf>
    <xf numFmtId="0" fontId="7" fillId="29" borderId="2" xfId="0" applyFont="1" applyFill="1" applyBorder="1" applyAlignment="1">
      <alignment horizontal="center" vertical="center" wrapText="1"/>
    </xf>
    <xf numFmtId="0" fontId="14" fillId="29" borderId="37" xfId="0" applyFont="1" applyFill="1" applyBorder="1" applyAlignment="1">
      <alignment horizontal="center"/>
    </xf>
    <xf numFmtId="0" fontId="14" fillId="29" borderId="38" xfId="0" applyFont="1" applyFill="1" applyBorder="1" applyAlignment="1">
      <alignment horizontal="center"/>
    </xf>
    <xf numFmtId="0" fontId="14" fillId="29" borderId="63" xfId="0" applyFont="1" applyFill="1" applyBorder="1" applyAlignment="1">
      <alignment horizontal="center"/>
    </xf>
    <xf numFmtId="11" fontId="14" fillId="29" borderId="38" xfId="0" applyNumberFormat="1" applyFont="1" applyFill="1" applyBorder="1" applyAlignment="1">
      <alignment horizontal="center"/>
    </xf>
    <xf numFmtId="0" fontId="7" fillId="29" borderId="39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1" fontId="25" fillId="0" borderId="9" xfId="12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1" fontId="25" fillId="0" borderId="9" xfId="0" applyNumberFormat="1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9" fontId="26" fillId="0" borderId="32" xfId="0" applyNumberFormat="1" applyFont="1" applyBorder="1" applyAlignment="1">
      <alignment horizontal="center" vertical="center" wrapText="1"/>
    </xf>
    <xf numFmtId="2" fontId="25" fillId="0" borderId="9" xfId="0" applyNumberFormat="1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177" fontId="26" fillId="0" borderId="32" xfId="0" applyNumberFormat="1" applyFont="1" applyBorder="1" applyAlignment="1">
      <alignment horizontal="center" vertical="center" wrapText="1"/>
    </xf>
    <xf numFmtId="0" fontId="7" fillId="29" borderId="33" xfId="0" applyFont="1" applyFill="1" applyBorder="1" applyAlignment="1">
      <alignment horizontal="center" vertical="center" wrapText="1"/>
    </xf>
    <xf numFmtId="166" fontId="26" fillId="29" borderId="30" xfId="0" applyNumberFormat="1" applyFont="1" applyFill="1" applyBorder="1" applyAlignment="1">
      <alignment horizontal="center" vertical="center" wrapText="1"/>
    </xf>
    <xf numFmtId="0" fontId="25" fillId="29" borderId="9" xfId="0" applyFont="1" applyFill="1" applyBorder="1" applyAlignment="1">
      <alignment horizontal="center" vertical="center" wrapText="1"/>
    </xf>
    <xf numFmtId="0" fontId="25" fillId="29" borderId="16" xfId="0" applyFont="1" applyFill="1" applyBorder="1" applyAlignment="1">
      <alignment horizontal="center" vertical="center" wrapText="1"/>
    </xf>
    <xf numFmtId="11" fontId="25" fillId="29" borderId="9" xfId="0" applyNumberFormat="1" applyFont="1" applyFill="1" applyBorder="1" applyAlignment="1">
      <alignment horizontal="center" vertical="center" wrapText="1"/>
    </xf>
    <xf numFmtId="0" fontId="26" fillId="29" borderId="32" xfId="0" applyFont="1" applyFill="1" applyBorder="1" applyAlignment="1">
      <alignment horizontal="center" vertical="center" wrapText="1"/>
    </xf>
    <xf numFmtId="166" fontId="25" fillId="0" borderId="9" xfId="0" applyNumberFormat="1" applyFont="1" applyBorder="1" applyAlignment="1">
      <alignment horizontal="center" vertical="center" wrapText="1"/>
    </xf>
    <xf numFmtId="1" fontId="25" fillId="0" borderId="30" xfId="0" applyNumberFormat="1" applyFont="1" applyBorder="1" applyAlignment="1">
      <alignment horizontal="center" vertical="center" wrapText="1"/>
    </xf>
    <xf numFmtId="180" fontId="26" fillId="0" borderId="32" xfId="0" applyNumberFormat="1" applyFont="1" applyBorder="1" applyAlignment="1">
      <alignment horizontal="center" vertical="center" wrapText="1"/>
    </xf>
    <xf numFmtId="179" fontId="26" fillId="0" borderId="32" xfId="0" applyNumberFormat="1" applyFont="1" applyBorder="1" applyAlignment="1">
      <alignment horizontal="center" vertical="center" wrapText="1"/>
    </xf>
    <xf numFmtId="2" fontId="26" fillId="29" borderId="30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181" fontId="26" fillId="0" borderId="32" xfId="0" applyNumberFormat="1" applyFont="1" applyBorder="1" applyAlignment="1">
      <alignment horizontal="center" vertical="center" wrapText="1"/>
    </xf>
    <xf numFmtId="167" fontId="25" fillId="0" borderId="9" xfId="0" applyNumberFormat="1" applyFont="1" applyBorder="1" applyAlignment="1">
      <alignment horizontal="center" vertical="center" wrapText="1"/>
    </xf>
    <xf numFmtId="182" fontId="26" fillId="0" borderId="32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167" fontId="25" fillId="0" borderId="41" xfId="0" applyNumberFormat="1" applyFont="1" applyBorder="1" applyAlignment="1">
      <alignment horizontal="center" vertical="center" wrapText="1"/>
    </xf>
    <xf numFmtId="2" fontId="25" fillId="0" borderId="41" xfId="0" applyNumberFormat="1" applyFont="1" applyBorder="1" applyAlignment="1">
      <alignment horizontal="center" vertical="center" wrapText="1"/>
    </xf>
    <xf numFmtId="176" fontId="25" fillId="0" borderId="41" xfId="0" applyNumberFormat="1" applyFont="1" applyBorder="1" applyAlignment="1">
      <alignment horizontal="center" vertical="center" wrapText="1"/>
    </xf>
    <xf numFmtId="11" fontId="25" fillId="0" borderId="41" xfId="0" applyNumberFormat="1" applyFont="1" applyBorder="1" applyAlignment="1">
      <alignment horizontal="center" vertical="center" wrapText="1"/>
    </xf>
    <xf numFmtId="10" fontId="26" fillId="0" borderId="6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1" fontId="26" fillId="0" borderId="47" xfId="0" applyNumberFormat="1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9" fontId="26" fillId="0" borderId="0" xfId="0" applyNumberFormat="1" applyFont="1" applyAlignment="1">
      <alignment horizontal="center" vertical="center" wrapText="1"/>
    </xf>
    <xf numFmtId="0" fontId="9" fillId="2" borderId="0" xfId="0" applyFont="1" applyFill="1" applyAlignment="1">
      <alignment horizontal="left" vertical="top"/>
    </xf>
    <xf numFmtId="171" fontId="26" fillId="2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26" fillId="0" borderId="67" xfId="0" applyNumberFormat="1" applyFont="1" applyBorder="1" applyAlignment="1">
      <alignment horizontal="center" vertical="center" wrapText="1"/>
    </xf>
    <xf numFmtId="167" fontId="26" fillId="0" borderId="67" xfId="0" applyNumberFormat="1" applyFont="1" applyBorder="1" applyAlignment="1">
      <alignment horizontal="center" vertical="center" wrapText="1"/>
    </xf>
    <xf numFmtId="11" fontId="26" fillId="0" borderId="1" xfId="0" applyNumberFormat="1" applyFont="1" applyBorder="1" applyAlignment="1">
      <alignment horizontal="center" vertical="center" wrapText="1"/>
    </xf>
    <xf numFmtId="171" fontId="36" fillId="2" borderId="0" xfId="0" applyNumberFormat="1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9" fontId="36" fillId="0" borderId="0" xfId="0" applyNumberFormat="1" applyFont="1" applyAlignment="1">
      <alignment horizontal="center"/>
    </xf>
    <xf numFmtId="0" fontId="14" fillId="29" borderId="38" xfId="0" applyFont="1" applyFill="1" applyBorder="1" applyAlignment="1">
      <alignment horizontal="center" vertical="center" wrapText="1"/>
    </xf>
    <xf numFmtId="0" fontId="14" fillId="29" borderId="29" xfId="0" applyFont="1" applyFill="1" applyBorder="1" applyAlignment="1">
      <alignment horizontal="center" vertical="center" wrapText="1"/>
    </xf>
    <xf numFmtId="0" fontId="14" fillId="29" borderId="64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0" fontId="7" fillId="29" borderId="9" xfId="0" applyFont="1" applyFill="1" applyBorder="1" applyAlignment="1">
      <alignment horizontal="center" vertical="center" wrapText="1"/>
    </xf>
    <xf numFmtId="166" fontId="14" fillId="29" borderId="9" xfId="0" applyNumberFormat="1" applyFont="1" applyFill="1" applyBorder="1" applyAlignment="1">
      <alignment horizontal="center" vertical="center" wrapText="1"/>
    </xf>
    <xf numFmtId="0" fontId="14" fillId="29" borderId="11" xfId="0" applyFont="1" applyFill="1" applyBorder="1" applyAlignment="1">
      <alignment horizontal="center" vertical="center" wrapText="1"/>
    </xf>
    <xf numFmtId="0" fontId="14" fillId="29" borderId="6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0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74" fontId="14" fillId="0" borderId="9" xfId="0" applyNumberFormat="1" applyFont="1" applyBorder="1" applyAlignment="1">
      <alignment horizontal="center" vertical="center" wrapText="1"/>
    </xf>
    <xf numFmtId="174" fontId="14" fillId="0" borderId="11" xfId="0" applyNumberFormat="1" applyFont="1" applyBorder="1" applyAlignment="1">
      <alignment horizontal="center" vertical="center" wrapText="1"/>
    </xf>
    <xf numFmtId="179" fontId="14" fillId="2" borderId="62" xfId="11" applyNumberFormat="1" applyFont="1" applyFill="1" applyBorder="1" applyAlignment="1" applyProtection="1">
      <alignment horizontal="center" vertical="center" wrapText="1"/>
      <protection hidden="1"/>
    </xf>
    <xf numFmtId="1" fontId="14" fillId="0" borderId="13" xfId="0" applyNumberFormat="1" applyFont="1" applyBorder="1" applyAlignment="1">
      <alignment horizontal="center" vertical="center" wrapText="1"/>
    </xf>
    <xf numFmtId="2" fontId="14" fillId="30" borderId="9" xfId="0" applyNumberFormat="1" applyFont="1" applyFill="1" applyBorder="1" applyAlignment="1">
      <alignment horizontal="center" vertical="center" wrapText="1"/>
    </xf>
    <xf numFmtId="178" fontId="14" fillId="0" borderId="9" xfId="0" applyNumberFormat="1" applyFont="1" applyBorder="1" applyAlignment="1">
      <alignment horizontal="center" vertical="center" wrapText="1"/>
    </xf>
    <xf numFmtId="2" fontId="14" fillId="29" borderId="9" xfId="0" applyNumberFormat="1" applyFont="1" applyFill="1" applyBorder="1" applyAlignment="1">
      <alignment horizontal="center" vertical="center" wrapText="1"/>
    </xf>
    <xf numFmtId="165" fontId="14" fillId="29" borderId="9" xfId="0" applyNumberFormat="1" applyFont="1" applyFill="1" applyBorder="1" applyAlignment="1">
      <alignment horizontal="center" vertical="center" wrapText="1"/>
    </xf>
    <xf numFmtId="171" fontId="7" fillId="0" borderId="13" xfId="0" applyNumberFormat="1" applyFont="1" applyBorder="1" applyAlignment="1">
      <alignment horizontal="center" vertical="center" wrapText="1"/>
    </xf>
    <xf numFmtId="168" fontId="14" fillId="0" borderId="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" fontId="14" fillId="2" borderId="13" xfId="0" applyNumberFormat="1" applyFont="1" applyFill="1" applyBorder="1" applyAlignment="1">
      <alignment horizontal="center" vertical="center" wrapText="1"/>
    </xf>
    <xf numFmtId="10" fontId="14" fillId="2" borderId="62" xfId="11" applyNumberFormat="1" applyFont="1" applyFill="1" applyBorder="1" applyAlignment="1" applyProtection="1">
      <alignment horizontal="center" vertical="center" wrapText="1"/>
      <protection hidden="1"/>
    </xf>
    <xf numFmtId="177" fontId="14" fillId="2" borderId="62" xfId="11" applyNumberFormat="1" applyFont="1" applyFill="1" applyBorder="1" applyAlignment="1" applyProtection="1">
      <alignment horizontal="center" vertical="center" wrapText="1"/>
      <protection hidden="1"/>
    </xf>
    <xf numFmtId="1" fontId="14" fillId="2" borderId="2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8" fontId="14" fillId="0" borderId="12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11" fontId="14" fillId="0" borderId="12" xfId="0" applyNumberFormat="1" applyFont="1" applyBorder="1" applyAlignment="1">
      <alignment horizontal="center" vertical="center" wrapText="1"/>
    </xf>
    <xf numFmtId="174" fontId="14" fillId="0" borderId="12" xfId="0" applyNumberFormat="1" applyFont="1" applyBorder="1" applyAlignment="1">
      <alignment horizontal="center" vertical="center" wrapText="1"/>
    </xf>
    <xf numFmtId="174" fontId="14" fillId="0" borderId="23" xfId="0" applyNumberFormat="1" applyFont="1" applyBorder="1" applyAlignment="1">
      <alignment horizontal="center" vertical="center" wrapText="1"/>
    </xf>
    <xf numFmtId="9" fontId="7" fillId="29" borderId="65" xfId="1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4" fillId="0" borderId="10" xfId="0" applyFont="1" applyBorder="1"/>
    <xf numFmtId="0" fontId="7" fillId="0" borderId="62" xfId="0" applyFont="1" applyBorder="1"/>
    <xf numFmtId="168" fontId="7" fillId="0" borderId="13" xfId="0" applyNumberFormat="1" applyFont="1" applyBorder="1" applyAlignment="1">
      <alignment horizontal="center"/>
    </xf>
    <xf numFmtId="0" fontId="7" fillId="0" borderId="32" xfId="0" applyFont="1" applyBorder="1"/>
    <xf numFmtId="0" fontId="7" fillId="2" borderId="65" xfId="0" applyFont="1" applyFill="1" applyBorder="1"/>
    <xf numFmtId="174" fontId="7" fillId="0" borderId="54" xfId="0" applyNumberFormat="1" applyFont="1" applyBorder="1" applyAlignment="1">
      <alignment horizontal="center"/>
    </xf>
    <xf numFmtId="0" fontId="7" fillId="0" borderId="35" xfId="0" applyFont="1" applyBorder="1"/>
    <xf numFmtId="2" fontId="14" fillId="0" borderId="0" xfId="0" applyNumberFormat="1" applyFont="1"/>
    <xf numFmtId="0" fontId="14" fillId="0" borderId="0" xfId="0" applyFont="1" applyAlignment="1">
      <alignment horizontal="center"/>
    </xf>
    <xf numFmtId="164" fontId="14" fillId="0" borderId="0" xfId="0" applyNumberFormat="1" applyFont="1" applyProtection="1"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2" fontId="7" fillId="6" borderId="61" xfId="0" applyNumberFormat="1" applyFont="1" applyFill="1" applyBorder="1" applyAlignment="1" applyProtection="1">
      <alignment horizontal="center" vertical="center"/>
      <protection hidden="1"/>
    </xf>
    <xf numFmtId="0" fontId="7" fillId="4" borderId="37" xfId="0" applyFont="1" applyFill="1" applyBorder="1" applyAlignment="1" applyProtection="1">
      <alignment horizontal="center" vertical="center" wrapText="1"/>
      <protection hidden="1"/>
    </xf>
    <xf numFmtId="2" fontId="16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6" fillId="6" borderId="1" xfId="0" applyFont="1" applyFill="1" applyBorder="1" applyAlignment="1" applyProtection="1">
      <alignment horizontal="center" vertical="center" wrapText="1"/>
      <protection hidden="1"/>
    </xf>
    <xf numFmtId="0" fontId="16" fillId="6" borderId="37" xfId="0" applyFont="1" applyFill="1" applyBorder="1" applyAlignment="1" applyProtection="1">
      <alignment horizontal="center" vertical="center" wrapText="1"/>
      <protection hidden="1"/>
    </xf>
    <xf numFmtId="0" fontId="16" fillId="6" borderId="38" xfId="0" applyFont="1" applyFill="1" applyBorder="1" applyAlignment="1" applyProtection="1">
      <alignment horizontal="center" vertical="center" wrapText="1"/>
      <protection hidden="1"/>
    </xf>
    <xf numFmtId="0" fontId="16" fillId="6" borderId="39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2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16" fillId="6" borderId="40" xfId="0" applyFont="1" applyFill="1" applyBorder="1" applyAlignment="1" applyProtection="1">
      <alignment horizontal="center" vertical="center" wrapText="1"/>
      <protection hidden="1"/>
    </xf>
    <xf numFmtId="0" fontId="16" fillId="6" borderId="41" xfId="0" applyFont="1" applyFill="1" applyBorder="1" applyAlignment="1" applyProtection="1">
      <alignment horizontal="center" vertical="center" wrapText="1"/>
      <protection hidden="1"/>
    </xf>
    <xf numFmtId="0" fontId="16" fillId="6" borderId="35" xfId="0" applyFont="1" applyFill="1" applyBorder="1" applyAlignment="1" applyProtection="1">
      <alignment horizontal="center" vertical="center" wrapText="1"/>
      <protection hidden="1"/>
    </xf>
    <xf numFmtId="165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40" xfId="0" applyFont="1" applyFill="1" applyBorder="1" applyAlignment="1" applyProtection="1">
      <alignment horizontal="center" vertical="center" wrapText="1"/>
      <protection hidden="1"/>
    </xf>
    <xf numFmtId="2" fontId="14" fillId="6" borderId="41" xfId="11" applyNumberFormat="1" applyFont="1" applyFill="1" applyBorder="1" applyAlignment="1" applyProtection="1">
      <alignment horizontal="center" vertical="center" wrapText="1"/>
      <protection hidden="1"/>
    </xf>
    <xf numFmtId="166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175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69" fontId="13" fillId="0" borderId="0" xfId="0" applyNumberFormat="1" applyFont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167" fontId="7" fillId="29" borderId="45" xfId="0" applyNumberFormat="1" applyFont="1" applyFill="1" applyBorder="1" applyAlignment="1">
      <alignment horizontal="center" vertical="center" wrapText="1"/>
    </xf>
    <xf numFmtId="0" fontId="7" fillId="6" borderId="44" xfId="0" applyFont="1" applyFill="1" applyBorder="1" applyAlignment="1" applyProtection="1">
      <alignment horizontal="center" vertical="center" wrapText="1"/>
      <protection hidden="1"/>
    </xf>
    <xf numFmtId="165" fontId="26" fillId="2" borderId="9" xfId="0" applyNumberFormat="1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2" fontId="14" fillId="9" borderId="32" xfId="0" applyNumberFormat="1" applyFont="1" applyFill="1" applyBorder="1" applyAlignment="1" applyProtection="1">
      <alignment horizontal="center" vertical="center" wrapText="1"/>
      <protection hidden="1"/>
    </xf>
    <xf numFmtId="167" fontId="7" fillId="6" borderId="29" xfId="0" applyNumberFormat="1" applyFont="1" applyFill="1" applyBorder="1" applyAlignment="1" applyProtection="1">
      <alignment horizontal="center" vertical="center" wrapText="1"/>
      <protection hidden="1"/>
    </xf>
    <xf numFmtId="167" fontId="7" fillId="6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horizontal="center" vertical="center" wrapText="1"/>
      <protection hidden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 applyProtection="1">
      <alignment horizontal="center" vertical="center" wrapText="1"/>
      <protection hidden="1"/>
    </xf>
    <xf numFmtId="0" fontId="7" fillId="13" borderId="8" xfId="0" applyFont="1" applyFill="1" applyBorder="1" applyAlignment="1" applyProtection="1">
      <alignment vertical="center" wrapText="1"/>
      <protection hidden="1"/>
    </xf>
    <xf numFmtId="0" fontId="7" fillId="23" borderId="63" xfId="0" applyFont="1" applyFill="1" applyBorder="1" applyAlignment="1" applyProtection="1">
      <alignment horizontal="center" vertical="center"/>
      <protection hidden="1"/>
    </xf>
    <xf numFmtId="0" fontId="7" fillId="23" borderId="63" xfId="0" applyFont="1" applyFill="1" applyBorder="1" applyAlignment="1" applyProtection="1">
      <alignment horizontal="center" vertical="center" wrapText="1"/>
      <protection hidden="1"/>
    </xf>
    <xf numFmtId="0" fontId="7" fillId="23" borderId="50" xfId="0" applyFont="1" applyFill="1" applyBorder="1" applyAlignment="1" applyProtection="1">
      <alignment horizontal="center" vertical="center"/>
      <protection hidden="1"/>
    </xf>
    <xf numFmtId="0" fontId="7" fillId="23" borderId="50" xfId="0" applyFont="1" applyFill="1" applyBorder="1" applyAlignment="1" applyProtection="1">
      <alignment horizontal="center" vertical="center" wrapText="1"/>
      <protection hidden="1"/>
    </xf>
    <xf numFmtId="0" fontId="7" fillId="23" borderId="69" xfId="0" applyFont="1" applyFill="1" applyBorder="1" applyAlignment="1" applyProtection="1">
      <alignment horizontal="center" vertical="center" wrapText="1"/>
      <protection hidden="1"/>
    </xf>
    <xf numFmtId="0" fontId="7" fillId="23" borderId="71" xfId="0" applyFont="1" applyFill="1" applyBorder="1" applyAlignment="1" applyProtection="1">
      <alignment horizontal="center" vertical="center" wrapText="1"/>
      <protection hidden="1"/>
    </xf>
    <xf numFmtId="167" fontId="14" fillId="5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24" borderId="16" xfId="9" applyNumberFormat="1" applyFont="1" applyBorder="1" applyAlignment="1">
      <alignment horizontal="center" vertical="center" wrapText="1"/>
      <protection locked="0"/>
    </xf>
    <xf numFmtId="0" fontId="23" fillId="21" borderId="20" xfId="6" applyFont="1" applyBorder="1" applyAlignment="1" applyProtection="1">
      <alignment horizontal="center" vertical="center" wrapText="1"/>
      <protection locked="0" hidden="1"/>
    </xf>
    <xf numFmtId="0" fontId="23" fillId="21" borderId="18" xfId="6" applyFont="1" applyBorder="1" applyAlignment="1" applyProtection="1">
      <alignment horizontal="center" vertical="center" wrapText="1"/>
      <protection locked="0" hidden="1"/>
    </xf>
    <xf numFmtId="14" fontId="14" fillId="16" borderId="64" xfId="0" applyNumberFormat="1" applyFont="1" applyFill="1" applyBorder="1" applyAlignment="1" applyProtection="1">
      <alignment horizontal="center" vertical="center" wrapText="1"/>
      <protection hidden="1"/>
    </xf>
    <xf numFmtId="14" fontId="14" fillId="16" borderId="62" xfId="0" applyNumberFormat="1" applyFont="1" applyFill="1" applyBorder="1" applyAlignment="1" applyProtection="1">
      <alignment horizontal="center" vertical="center" wrapText="1"/>
      <protection hidden="1"/>
    </xf>
    <xf numFmtId="1" fontId="14" fillId="16" borderId="62" xfId="0" applyNumberFormat="1" applyFont="1" applyFill="1" applyBorder="1" applyAlignment="1" applyProtection="1">
      <alignment horizontal="center" vertical="center" wrapText="1"/>
      <protection hidden="1"/>
    </xf>
    <xf numFmtId="1" fontId="14" fillId="16" borderId="65" xfId="0" applyNumberFormat="1" applyFont="1" applyFill="1" applyBorder="1" applyAlignment="1" applyProtection="1">
      <alignment horizontal="center" vertical="center" wrapText="1"/>
      <protection hidden="1"/>
    </xf>
    <xf numFmtId="167" fontId="14" fillId="24" borderId="16" xfId="9" applyNumberFormat="1" applyFont="1" applyBorder="1" applyAlignment="1">
      <alignment horizontal="center" vertical="center" wrapText="1"/>
      <protection locked="0"/>
    </xf>
    <xf numFmtId="167" fontId="14" fillId="24" borderId="15" xfId="9" applyNumberFormat="1" applyFont="1" applyBorder="1" applyAlignment="1">
      <alignment horizontal="center" vertical="center" wrapText="1"/>
      <protection locked="0"/>
    </xf>
    <xf numFmtId="166" fontId="14" fillId="24" borderId="34" xfId="9" applyNumberFormat="1" applyFont="1" applyBorder="1" applyAlignment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2" fontId="14" fillId="0" borderId="12" xfId="0" applyNumberFormat="1" applyFont="1" applyBorder="1" applyAlignment="1">
      <alignment horizontal="center" vertical="center" wrapText="1"/>
    </xf>
    <xf numFmtId="167" fontId="14" fillId="5" borderId="12" xfId="0" applyNumberFormat="1" applyFont="1" applyFill="1" applyBorder="1" applyAlignment="1" applyProtection="1">
      <alignment horizontal="center" vertical="center" wrapText="1"/>
      <protection locked="0" hidden="1"/>
    </xf>
    <xf numFmtId="167" fontId="14" fillId="5" borderId="23" xfId="0" applyNumberFormat="1" applyFont="1" applyFill="1" applyBorder="1" applyAlignment="1" applyProtection="1">
      <alignment horizontal="center" vertical="center" wrapText="1"/>
      <protection locked="0" hidden="1"/>
    </xf>
    <xf numFmtId="167" fontId="31" fillId="6" borderId="38" xfId="0" applyNumberFormat="1" applyFont="1" applyFill="1" applyBorder="1" applyAlignment="1">
      <alignment horizontal="center" vertical="center" wrapText="1"/>
    </xf>
    <xf numFmtId="165" fontId="30" fillId="6" borderId="39" xfId="0" applyNumberFormat="1" applyFont="1" applyFill="1" applyBorder="1" applyAlignment="1">
      <alignment horizontal="center" vertical="center" wrapText="1"/>
    </xf>
    <xf numFmtId="0" fontId="31" fillId="6" borderId="32" xfId="0" applyFont="1" applyFill="1" applyBorder="1" applyAlignment="1" applyProtection="1">
      <alignment horizontal="center" vertical="center" wrapText="1"/>
      <protection hidden="1"/>
    </xf>
    <xf numFmtId="2" fontId="31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38" xfId="0" applyFont="1" applyFill="1" applyBorder="1" applyAlignment="1" applyProtection="1">
      <alignment horizontal="center" vertical="center" wrapText="1"/>
      <protection hidden="1"/>
    </xf>
    <xf numFmtId="0" fontId="14" fillId="6" borderId="38" xfId="0" applyFont="1" applyFill="1" applyBorder="1" applyAlignment="1" applyProtection="1">
      <alignment horizontal="center" vertical="center"/>
      <protection hidden="1"/>
    </xf>
    <xf numFmtId="167" fontId="14" fillId="6" borderId="38" xfId="0" applyNumberFormat="1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 wrapText="1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41" xfId="0" applyFont="1" applyFill="1" applyBorder="1" applyAlignment="1" applyProtection="1">
      <alignment horizontal="center" vertical="center" wrapText="1"/>
      <protection hidden="1"/>
    </xf>
    <xf numFmtId="0" fontId="14" fillId="6" borderId="41" xfId="0" applyFont="1" applyFill="1" applyBorder="1" applyAlignment="1" applyProtection="1">
      <alignment horizontal="center" vertical="center"/>
      <protection hidden="1"/>
    </xf>
    <xf numFmtId="167" fontId="14" fillId="6" borderId="41" xfId="0" applyNumberFormat="1" applyFont="1" applyFill="1" applyBorder="1" applyAlignment="1" applyProtection="1">
      <alignment horizontal="center" vertical="center"/>
      <protection hidden="1"/>
    </xf>
    <xf numFmtId="0" fontId="14" fillId="6" borderId="64" xfId="0" applyFont="1" applyFill="1" applyBorder="1" applyAlignment="1" applyProtection="1">
      <alignment horizontal="center" vertical="center" wrapText="1"/>
      <protection hidden="1"/>
    </xf>
    <xf numFmtId="1" fontId="14" fillId="6" borderId="37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62" xfId="0" applyFont="1" applyFill="1" applyBorder="1" applyAlignment="1" applyProtection="1">
      <alignment horizontal="center" vertical="center" wrapText="1"/>
      <protection hidden="1"/>
    </xf>
    <xf numFmtId="1" fontId="14" fillId="6" borderId="30" xfId="0" applyNumberFormat="1" applyFont="1" applyFill="1" applyBorder="1" applyAlignment="1" applyProtection="1">
      <alignment horizontal="center" vertical="center" wrapText="1"/>
      <protection hidden="1"/>
    </xf>
    <xf numFmtId="174" fontId="14" fillId="6" borderId="30" xfId="0" applyNumberFormat="1" applyFont="1" applyFill="1" applyBorder="1" applyAlignment="1" applyProtection="1">
      <alignment horizontal="center" vertical="center"/>
      <protection hidden="1"/>
    </xf>
    <xf numFmtId="166" fontId="14" fillId="6" borderId="9" xfId="0" applyNumberFormat="1" applyFont="1" applyFill="1" applyBorder="1" applyAlignment="1" applyProtection="1">
      <alignment horizontal="center" vertical="center"/>
      <protection hidden="1"/>
    </xf>
    <xf numFmtId="166" fontId="7" fillId="6" borderId="9" xfId="0" applyNumberFormat="1" applyFont="1" applyFill="1" applyBorder="1" applyAlignment="1" applyProtection="1">
      <alignment horizontal="center" vertical="center"/>
      <protection hidden="1"/>
    </xf>
    <xf numFmtId="0" fontId="14" fillId="6" borderId="65" xfId="0" applyFont="1" applyFill="1" applyBorder="1" applyAlignment="1" applyProtection="1">
      <alignment horizontal="center" vertical="center" wrapText="1"/>
      <protection hidden="1"/>
    </xf>
    <xf numFmtId="1" fontId="14" fillId="6" borderId="40" xfId="0" applyNumberFormat="1" applyFont="1" applyFill="1" applyBorder="1" applyAlignment="1" applyProtection="1">
      <alignment horizontal="center" vertical="center" wrapText="1"/>
      <protection hidden="1"/>
    </xf>
    <xf numFmtId="174" fontId="14" fillId="6" borderId="40" xfId="0" applyNumberFormat="1" applyFont="1" applyFill="1" applyBorder="1" applyAlignment="1" applyProtection="1">
      <alignment horizontal="center" vertical="center"/>
      <protection hidden="1"/>
    </xf>
    <xf numFmtId="166" fontId="14" fillId="6" borderId="41" xfId="0" applyNumberFormat="1" applyFont="1" applyFill="1" applyBorder="1" applyAlignment="1" applyProtection="1">
      <alignment horizontal="center" vertical="center"/>
      <protection hidden="1"/>
    </xf>
    <xf numFmtId="174" fontId="14" fillId="6" borderId="37" xfId="0" applyNumberFormat="1" applyFont="1" applyFill="1" applyBorder="1" applyAlignment="1" applyProtection="1">
      <alignment horizontal="center" vertical="center"/>
      <protection hidden="1"/>
    </xf>
    <xf numFmtId="166" fontId="14" fillId="6" borderId="38" xfId="0" applyNumberFormat="1" applyFont="1" applyFill="1" applyBorder="1" applyAlignment="1" applyProtection="1">
      <alignment horizontal="center" vertical="center"/>
      <protection hidden="1"/>
    </xf>
    <xf numFmtId="171" fontId="7" fillId="6" borderId="30" xfId="0" applyNumberFormat="1" applyFont="1" applyFill="1" applyBorder="1" applyAlignment="1" applyProtection="1">
      <alignment horizontal="center" vertical="center"/>
      <protection hidden="1"/>
    </xf>
    <xf numFmtId="11" fontId="7" fillId="0" borderId="13" xfId="0" applyNumberFormat="1" applyFont="1" applyBorder="1" applyAlignment="1">
      <alignment horizontal="center" vertical="center" wrapText="1"/>
    </xf>
    <xf numFmtId="11" fontId="14" fillId="2" borderId="0" xfId="0" applyNumberFormat="1" applyFont="1" applyFill="1" applyAlignment="1" applyProtection="1">
      <alignment vertical="center" wrapText="1"/>
      <protection hidden="1"/>
    </xf>
    <xf numFmtId="166" fontId="14" fillId="2" borderId="0" xfId="0" applyNumberFormat="1" applyFont="1" applyFill="1" applyAlignment="1" applyProtection="1">
      <alignment vertical="center" wrapText="1"/>
      <protection hidden="1"/>
    </xf>
    <xf numFmtId="2" fontId="14" fillId="6" borderId="38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167" fontId="14" fillId="6" borderId="38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0" xfId="0" applyNumberFormat="1" applyFont="1" applyProtection="1">
      <protection hidden="1"/>
    </xf>
    <xf numFmtId="0" fontId="1" fillId="0" borderId="0" xfId="0" applyFont="1"/>
    <xf numFmtId="0" fontId="1" fillId="0" borderId="0" xfId="0" applyFont="1" applyAlignment="1">
      <alignment wrapText="1"/>
    </xf>
    <xf numFmtId="0" fontId="2" fillId="28" borderId="55" xfId="0" applyFont="1" applyFill="1" applyBorder="1" applyAlignment="1">
      <alignment horizontal="center" vertical="center" wrapText="1"/>
    </xf>
    <xf numFmtId="2" fontId="2" fillId="28" borderId="38" xfId="0" applyNumberFormat="1" applyFont="1" applyFill="1" applyBorder="1" applyAlignment="1">
      <alignment horizontal="center" vertical="center" wrapText="1"/>
    </xf>
    <xf numFmtId="0" fontId="1" fillId="28" borderId="38" xfId="0" applyFont="1" applyFill="1" applyBorder="1" applyAlignment="1">
      <alignment horizontal="center" vertical="center" wrapText="1"/>
    </xf>
    <xf numFmtId="0" fontId="2" fillId="28" borderId="37" xfId="0" applyFont="1" applyFill="1" applyBorder="1" applyAlignment="1">
      <alignment horizontal="center" vertical="center" wrapText="1"/>
    </xf>
    <xf numFmtId="0" fontId="2" fillId="28" borderId="38" xfId="0" applyFont="1" applyFill="1" applyBorder="1" applyAlignment="1">
      <alignment horizontal="center" vertical="center" wrapText="1"/>
    </xf>
    <xf numFmtId="0" fontId="2" fillId="28" borderId="39" xfId="0" applyFont="1" applyFill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center" vertical="center" wrapText="1"/>
    </xf>
    <xf numFmtId="167" fontId="1" fillId="28" borderId="9" xfId="0" applyNumberFormat="1" applyFont="1" applyFill="1" applyBorder="1" applyAlignment="1">
      <alignment horizontal="center" vertical="center" wrapText="1"/>
    </xf>
    <xf numFmtId="2" fontId="2" fillId="28" borderId="9" xfId="0" applyNumberFormat="1" applyFont="1" applyFill="1" applyBorder="1" applyAlignment="1">
      <alignment horizontal="center" vertical="center" wrapText="1"/>
    </xf>
    <xf numFmtId="2" fontId="1" fillId="28" borderId="9" xfId="0" applyNumberFormat="1" applyFont="1" applyFill="1" applyBorder="1" applyAlignment="1">
      <alignment horizontal="center" vertical="center" wrapText="1"/>
    </xf>
    <xf numFmtId="2" fontId="1" fillId="28" borderId="30" xfId="0" applyNumberFormat="1" applyFont="1" applyFill="1" applyBorder="1" applyAlignment="1">
      <alignment horizontal="center" vertical="center" wrapText="1"/>
    </xf>
    <xf numFmtId="9" fontId="1" fillId="28" borderId="9" xfId="11" applyFont="1" applyFill="1" applyBorder="1" applyAlignment="1">
      <alignment horizontal="center" vertical="center" wrapText="1"/>
    </xf>
    <xf numFmtId="9" fontId="1" fillId="28" borderId="32" xfId="11" applyFont="1" applyFill="1" applyBorder="1" applyAlignment="1">
      <alignment horizontal="center" vertical="center" wrapText="1"/>
    </xf>
    <xf numFmtId="0" fontId="2" fillId="28" borderId="30" xfId="0" applyFont="1" applyFill="1" applyBorder="1" applyAlignment="1">
      <alignment horizontal="center" vertical="center" wrapText="1"/>
    </xf>
    <xf numFmtId="0" fontId="2" fillId="28" borderId="9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1" fillId="28" borderId="9" xfId="0" applyFont="1" applyFill="1" applyBorder="1" applyAlignment="1">
      <alignment horizontal="center" vertical="center" wrapText="1"/>
    </xf>
    <xf numFmtId="9" fontId="1" fillId="28" borderId="32" xfId="0" applyNumberFormat="1" applyFont="1" applyFill="1" applyBorder="1" applyAlignment="1">
      <alignment horizontal="center" vertical="center" wrapText="1"/>
    </xf>
    <xf numFmtId="0" fontId="2" fillId="28" borderId="53" xfId="0" applyFont="1" applyFill="1" applyBorder="1" applyAlignment="1">
      <alignment horizontal="center" vertical="center" wrapText="1"/>
    </xf>
    <xf numFmtId="2" fontId="2" fillId="28" borderId="41" xfId="0" applyNumberFormat="1" applyFont="1" applyFill="1" applyBorder="1" applyAlignment="1">
      <alignment horizontal="center" vertical="center" wrapText="1"/>
    </xf>
    <xf numFmtId="0" fontId="1" fillId="28" borderId="41" xfId="0" applyFont="1" applyFill="1" applyBorder="1" applyAlignment="1">
      <alignment horizontal="center" vertical="center" wrapText="1"/>
    </xf>
    <xf numFmtId="167" fontId="1" fillId="28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20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167" fontId="1" fillId="28" borderId="28" xfId="0" applyNumberFormat="1" applyFont="1" applyFill="1" applyBorder="1" applyAlignment="1">
      <alignment horizontal="center" vertical="center" wrapText="1"/>
    </xf>
    <xf numFmtId="0" fontId="1" fillId="28" borderId="34" xfId="0" applyFont="1" applyFill="1" applyBorder="1" applyAlignment="1">
      <alignment horizontal="center" vertical="center" wrapText="1"/>
    </xf>
    <xf numFmtId="2" fontId="1" fillId="28" borderId="37" xfId="0" applyNumberFormat="1" applyFont="1" applyFill="1" applyBorder="1" applyAlignment="1">
      <alignment horizontal="center" vertical="center" wrapText="1"/>
    </xf>
    <xf numFmtId="9" fontId="1" fillId="28" borderId="38" xfId="11" applyFont="1" applyFill="1" applyBorder="1" applyAlignment="1">
      <alignment horizontal="center" vertical="center" wrapText="1"/>
    </xf>
    <xf numFmtId="9" fontId="1" fillId="28" borderId="39" xfId="11" applyFont="1" applyFill="1" applyBorder="1" applyAlignment="1">
      <alignment horizontal="center" vertical="center" wrapText="1"/>
    </xf>
    <xf numFmtId="0" fontId="1" fillId="28" borderId="30" xfId="0" applyFont="1" applyFill="1" applyBorder="1" applyAlignment="1">
      <alignment horizontal="center" vertical="center" wrapText="1"/>
    </xf>
    <xf numFmtId="0" fontId="1" fillId="28" borderId="32" xfId="0" applyFont="1" applyFill="1" applyBorder="1" applyAlignment="1">
      <alignment horizontal="center" vertical="center" wrapText="1"/>
    </xf>
    <xf numFmtId="0" fontId="1" fillId="28" borderId="40" xfId="0" applyFont="1" applyFill="1" applyBorder="1" applyAlignment="1">
      <alignment horizontal="center" vertical="center" wrapText="1"/>
    </xf>
    <xf numFmtId="0" fontId="1" fillId="28" borderId="35" xfId="0" applyFont="1" applyFill="1" applyBorder="1" applyAlignment="1">
      <alignment horizontal="center" vertical="center" wrapText="1"/>
    </xf>
    <xf numFmtId="2" fontId="1" fillId="28" borderId="40" xfId="0" applyNumberFormat="1" applyFont="1" applyFill="1" applyBorder="1" applyAlignment="1">
      <alignment horizontal="center" vertical="center" wrapText="1"/>
    </xf>
    <xf numFmtId="9" fontId="1" fillId="28" borderId="41" xfId="11" applyFont="1" applyFill="1" applyBorder="1" applyAlignment="1">
      <alignment horizontal="center" vertical="center" wrapText="1"/>
    </xf>
    <xf numFmtId="9" fontId="1" fillId="28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/>
    <xf numFmtId="0" fontId="7" fillId="13" borderId="30" xfId="0" applyFont="1" applyFill="1" applyBorder="1" applyAlignment="1" applyProtection="1">
      <alignment horizontal="center" vertical="center" wrapText="1"/>
      <protection hidden="1"/>
    </xf>
    <xf numFmtId="0" fontId="7" fillId="13" borderId="4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167" fontId="14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14" fillId="6" borderId="32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32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14" fillId="0" borderId="0" xfId="9" applyFont="1" applyFill="1" applyBorder="1" applyAlignment="1">
      <alignment horizontal="center" vertical="center" wrapText="1"/>
      <protection locked="0"/>
    </xf>
    <xf numFmtId="20" fontId="14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20" fontId="14" fillId="5" borderId="47" xfId="0" applyNumberFormat="1" applyFont="1" applyFill="1" applyBorder="1" applyAlignment="1" applyProtection="1">
      <alignment horizontal="center" vertical="center" wrapText="1"/>
      <protection locked="0" hidden="1"/>
    </xf>
    <xf numFmtId="167" fontId="31" fillId="6" borderId="13" xfId="0" applyNumberFormat="1" applyFont="1" applyFill="1" applyBorder="1" applyAlignment="1">
      <alignment horizontal="center" vertical="center" wrapText="1"/>
    </xf>
    <xf numFmtId="166" fontId="31" fillId="6" borderId="13" xfId="0" applyNumberFormat="1" applyFont="1" applyFill="1" applyBorder="1" applyAlignment="1">
      <alignment horizontal="center" vertical="center" wrapText="1"/>
    </xf>
    <xf numFmtId="2" fontId="30" fillId="6" borderId="13" xfId="0" applyNumberFormat="1" applyFont="1" applyFill="1" applyBorder="1" applyAlignment="1">
      <alignment horizontal="center" vertical="center" wrapText="1"/>
    </xf>
    <xf numFmtId="167" fontId="30" fillId="6" borderId="13" xfId="0" applyNumberFormat="1" applyFont="1" applyFill="1" applyBorder="1" applyAlignment="1" applyProtection="1">
      <alignment horizontal="center" vertical="center" wrapText="1"/>
      <protection hidden="1"/>
    </xf>
    <xf numFmtId="0" fontId="30" fillId="6" borderId="13" xfId="0" applyFont="1" applyFill="1" applyBorder="1" applyAlignment="1" applyProtection="1">
      <alignment horizontal="center" vertical="center" wrapText="1"/>
      <protection hidden="1"/>
    </xf>
    <xf numFmtId="165" fontId="9" fillId="6" borderId="64" xfId="0" applyNumberFormat="1" applyFont="1" applyFill="1" applyBorder="1" applyAlignment="1">
      <alignment horizontal="center" vertical="center" wrapText="1"/>
    </xf>
    <xf numFmtId="165" fontId="9" fillId="6" borderId="62" xfId="0" applyNumberFormat="1" applyFont="1" applyFill="1" applyBorder="1" applyAlignment="1">
      <alignment horizontal="center" vertical="center" wrapText="1"/>
    </xf>
    <xf numFmtId="165" fontId="7" fillId="6" borderId="62" xfId="0" applyNumberFormat="1" applyFont="1" applyFill="1" applyBorder="1" applyAlignment="1">
      <alignment horizontal="center" vertical="center" wrapText="1"/>
    </xf>
    <xf numFmtId="165" fontId="9" fillId="6" borderId="65" xfId="0" applyNumberFormat="1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horizontal="left" vertical="center" wrapText="1"/>
    </xf>
    <xf numFmtId="0" fontId="7" fillId="29" borderId="47" xfId="0" applyFont="1" applyFill="1" applyBorder="1" applyAlignment="1">
      <alignment horizontal="center" vertical="center"/>
    </xf>
    <xf numFmtId="171" fontId="26" fillId="0" borderId="47" xfId="0" applyNumberFormat="1" applyFont="1" applyBorder="1" applyAlignment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  <protection locked="0"/>
    </xf>
    <xf numFmtId="1" fontId="26" fillId="0" borderId="35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2" fontId="7" fillId="2" borderId="54" xfId="0" applyNumberFormat="1" applyFont="1" applyFill="1" applyBorder="1" applyAlignment="1">
      <alignment horizontal="center" vertical="center" wrapText="1"/>
    </xf>
    <xf numFmtId="0" fontId="7" fillId="29" borderId="41" xfId="0" applyFont="1" applyFill="1" applyBorder="1" applyAlignment="1">
      <alignment horizontal="center" vertical="center" wrapText="1"/>
    </xf>
    <xf numFmtId="11" fontId="14" fillId="29" borderId="41" xfId="0" applyNumberFormat="1" applyFont="1" applyFill="1" applyBorder="1" applyAlignment="1">
      <alignment horizontal="center" vertical="center" wrapText="1"/>
    </xf>
    <xf numFmtId="0" fontId="14" fillId="29" borderId="41" xfId="0" applyFont="1" applyFill="1" applyBorder="1" applyAlignment="1">
      <alignment horizontal="center" vertical="center" wrapText="1"/>
    </xf>
    <xf numFmtId="2" fontId="14" fillId="29" borderId="41" xfId="0" applyNumberFormat="1" applyFont="1" applyFill="1" applyBorder="1" applyAlignment="1">
      <alignment horizontal="center" vertical="center" wrapText="1"/>
    </xf>
    <xf numFmtId="1" fontId="14" fillId="29" borderId="41" xfId="0" applyNumberFormat="1" applyFont="1" applyFill="1" applyBorder="1" applyAlignment="1">
      <alignment horizontal="center" vertical="center" wrapText="1"/>
    </xf>
    <xf numFmtId="174" fontId="14" fillId="29" borderId="41" xfId="0" applyNumberFormat="1" applyFont="1" applyFill="1" applyBorder="1" applyAlignment="1">
      <alignment horizontal="center" vertical="center" wrapText="1"/>
    </xf>
    <xf numFmtId="174" fontId="14" fillId="29" borderId="52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34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center" vertical="center"/>
    </xf>
    <xf numFmtId="167" fontId="14" fillId="5" borderId="16" xfId="0" applyNumberFormat="1" applyFont="1" applyFill="1" applyBorder="1" applyAlignment="1" applyProtection="1">
      <alignment horizontal="center" vertical="center" wrapText="1"/>
      <protection locked="0" hidden="1"/>
    </xf>
    <xf numFmtId="167" fontId="14" fillId="5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13" borderId="17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18" xfId="0" applyFont="1" applyFill="1" applyBorder="1" applyAlignment="1">
      <alignment horizontal="center" vertical="center" wrapText="1"/>
    </xf>
    <xf numFmtId="166" fontId="29" fillId="5" borderId="13" xfId="0" applyNumberFormat="1" applyFont="1" applyFill="1" applyBorder="1" applyAlignment="1">
      <alignment horizontal="center" vertical="center" wrapText="1"/>
    </xf>
    <xf numFmtId="166" fontId="29" fillId="5" borderId="9" xfId="0" applyNumberFormat="1" applyFont="1" applyFill="1" applyBorder="1" applyAlignment="1">
      <alignment horizontal="center" vertical="center" wrapText="1"/>
    </xf>
    <xf numFmtId="1" fontId="30" fillId="5" borderId="13" xfId="0" applyNumberFormat="1" applyFont="1" applyFill="1" applyBorder="1" applyAlignment="1">
      <alignment horizontal="center" vertical="center" wrapText="1"/>
    </xf>
    <xf numFmtId="1" fontId="30" fillId="5" borderId="9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67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6" fillId="22" borderId="1" xfId="0" applyFont="1" applyFill="1" applyBorder="1" applyAlignment="1" applyProtection="1">
      <alignment horizontal="center" vertical="center" wrapText="1"/>
      <protection hidden="1"/>
    </xf>
    <xf numFmtId="0" fontId="2" fillId="18" borderId="42" xfId="0" applyFont="1" applyFill="1" applyBorder="1" applyAlignment="1">
      <alignment horizontal="center"/>
    </xf>
    <xf numFmtId="0" fontId="2" fillId="18" borderId="50" xfId="0" applyFont="1" applyFill="1" applyBorder="1" applyAlignment="1">
      <alignment horizontal="center"/>
    </xf>
    <xf numFmtId="0" fontId="2" fillId="18" borderId="71" xfId="0" applyFont="1" applyFill="1" applyBorder="1" applyAlignment="1">
      <alignment horizontal="center"/>
    </xf>
    <xf numFmtId="0" fontId="2" fillId="18" borderId="64" xfId="0" applyFont="1" applyFill="1" applyBorder="1" applyAlignment="1">
      <alignment horizontal="center" vertical="center"/>
    </xf>
    <xf numFmtId="0" fontId="2" fillId="18" borderId="62" xfId="0" applyFont="1" applyFill="1" applyBorder="1" applyAlignment="1">
      <alignment horizontal="center" vertical="center"/>
    </xf>
    <xf numFmtId="0" fontId="2" fillId="18" borderId="65" xfId="0" applyFont="1" applyFill="1" applyBorder="1" applyAlignment="1">
      <alignment horizontal="center" vertical="center"/>
    </xf>
    <xf numFmtId="1" fontId="14" fillId="5" borderId="38" xfId="0" applyNumberFormat="1" applyFont="1" applyFill="1" applyBorder="1" applyAlignment="1" applyProtection="1">
      <alignment horizontal="center" vertical="center"/>
      <protection hidden="1"/>
    </xf>
    <xf numFmtId="1" fontId="14" fillId="5" borderId="9" xfId="0" applyNumberFormat="1" applyFont="1" applyFill="1" applyBorder="1" applyAlignment="1" applyProtection="1">
      <alignment horizontal="center" vertical="center"/>
      <protection hidden="1"/>
    </xf>
    <xf numFmtId="1" fontId="14" fillId="5" borderId="41" xfId="0" applyNumberFormat="1" applyFont="1" applyFill="1" applyBorder="1" applyAlignment="1" applyProtection="1">
      <alignment horizontal="center" vertical="center"/>
      <protection hidden="1"/>
    </xf>
    <xf numFmtId="0" fontId="14" fillId="5" borderId="38" xfId="0" applyFont="1" applyFill="1" applyBorder="1" applyAlignment="1" applyProtection="1">
      <alignment horizontal="center" vertical="center"/>
      <protection hidden="1"/>
    </xf>
    <xf numFmtId="0" fontId="14" fillId="5" borderId="9" xfId="0" applyFont="1" applyFill="1" applyBorder="1" applyAlignment="1" applyProtection="1">
      <alignment horizontal="center" vertical="center"/>
      <protection hidden="1"/>
    </xf>
    <xf numFmtId="0" fontId="14" fillId="5" borderId="41" xfId="0" applyFont="1" applyFill="1" applyBorder="1" applyAlignment="1" applyProtection="1">
      <alignment horizontal="center" vertical="center"/>
      <protection hidden="1"/>
    </xf>
    <xf numFmtId="165" fontId="14" fillId="5" borderId="39" xfId="0" applyNumberFormat="1" applyFont="1" applyFill="1" applyBorder="1" applyAlignment="1" applyProtection="1">
      <alignment horizontal="center" vertical="center"/>
      <protection hidden="1"/>
    </xf>
    <xf numFmtId="165" fontId="14" fillId="5" borderId="32" xfId="0" applyNumberFormat="1" applyFont="1" applyFill="1" applyBorder="1" applyAlignment="1" applyProtection="1">
      <alignment horizontal="center" vertical="center"/>
      <protection hidden="1"/>
    </xf>
    <xf numFmtId="165" fontId="14" fillId="5" borderId="35" xfId="0" applyNumberFormat="1" applyFont="1" applyFill="1" applyBorder="1" applyAlignment="1" applyProtection="1">
      <alignment horizontal="center" vertical="center"/>
      <protection hidden="1"/>
    </xf>
    <xf numFmtId="167" fontId="14" fillId="5" borderId="38" xfId="0" applyNumberFormat="1" applyFont="1" applyFill="1" applyBorder="1" applyAlignment="1" applyProtection="1">
      <alignment horizontal="center" vertical="center"/>
      <protection hidden="1"/>
    </xf>
    <xf numFmtId="167" fontId="14" fillId="5" borderId="9" xfId="0" applyNumberFormat="1" applyFont="1" applyFill="1" applyBorder="1" applyAlignment="1" applyProtection="1">
      <alignment horizontal="center" vertical="center"/>
      <protection hidden="1"/>
    </xf>
    <xf numFmtId="167" fontId="14" fillId="5" borderId="41" xfId="0" applyNumberFormat="1" applyFont="1" applyFill="1" applyBorder="1" applyAlignment="1" applyProtection="1">
      <alignment horizontal="center" vertical="center"/>
      <protection hidden="1"/>
    </xf>
    <xf numFmtId="169" fontId="14" fillId="5" borderId="38" xfId="0" applyNumberFormat="1" applyFont="1" applyFill="1" applyBorder="1" applyAlignment="1" applyProtection="1">
      <alignment horizontal="center" vertical="center"/>
      <protection hidden="1"/>
    </xf>
    <xf numFmtId="169" fontId="14" fillId="5" borderId="9" xfId="0" applyNumberFormat="1" applyFont="1" applyFill="1" applyBorder="1" applyAlignment="1" applyProtection="1">
      <alignment horizontal="center" vertical="center"/>
      <protection hidden="1"/>
    </xf>
    <xf numFmtId="169" fontId="14" fillId="5" borderId="41" xfId="0" applyNumberFormat="1" applyFont="1" applyFill="1" applyBorder="1" applyAlignment="1" applyProtection="1">
      <alignment horizontal="center" vertical="center"/>
      <protection hidden="1"/>
    </xf>
    <xf numFmtId="166" fontId="14" fillId="5" borderId="9" xfId="0" applyNumberFormat="1" applyFont="1" applyFill="1" applyBorder="1" applyAlignment="1" applyProtection="1">
      <alignment horizontal="center" vertical="center"/>
      <protection hidden="1"/>
    </xf>
    <xf numFmtId="166" fontId="14" fillId="5" borderId="41" xfId="0" applyNumberFormat="1" applyFont="1" applyFill="1" applyBorder="1" applyAlignment="1" applyProtection="1">
      <alignment horizontal="center" vertical="center"/>
      <protection hidden="1"/>
    </xf>
    <xf numFmtId="1" fontId="14" fillId="6" borderId="55" xfId="0" applyNumberFormat="1" applyFont="1" applyFill="1" applyBorder="1" applyAlignment="1" applyProtection="1">
      <alignment vertical="center" wrapText="1"/>
      <protection hidden="1"/>
    </xf>
    <xf numFmtId="1" fontId="14" fillId="6" borderId="33" xfId="0" applyNumberFormat="1" applyFont="1" applyFill="1" applyBorder="1" applyAlignment="1" applyProtection="1">
      <alignment vertical="center" wrapText="1"/>
      <protection hidden="1"/>
    </xf>
    <xf numFmtId="1" fontId="14" fillId="6" borderId="53" xfId="0" applyNumberFormat="1" applyFont="1" applyFill="1" applyBorder="1" applyAlignment="1" applyProtection="1">
      <alignment vertical="center" wrapText="1"/>
      <protection hidden="1"/>
    </xf>
    <xf numFmtId="0" fontId="14" fillId="5" borderId="38" xfId="0" applyFont="1" applyFill="1" applyBorder="1" applyAlignment="1" applyProtection="1">
      <alignment horizontal="center" vertical="center" wrapText="1"/>
      <protection hidden="1"/>
    </xf>
    <xf numFmtId="0" fontId="45" fillId="5" borderId="38" xfId="0" applyFont="1" applyFill="1" applyBorder="1" applyAlignment="1" applyProtection="1">
      <alignment horizontal="center" vertical="center" wrapText="1"/>
      <protection hidden="1"/>
    </xf>
    <xf numFmtId="0" fontId="45" fillId="5" borderId="39" xfId="0" applyFont="1" applyFill="1" applyBorder="1" applyAlignment="1" applyProtection="1">
      <alignment horizontal="center" vertical="center" wrapText="1"/>
      <protection hidden="1"/>
    </xf>
    <xf numFmtId="0" fontId="14" fillId="5" borderId="9" xfId="0" applyFont="1" applyFill="1" applyBorder="1" applyAlignment="1" applyProtection="1">
      <alignment horizontal="center" vertical="center" wrapText="1"/>
      <protection hidden="1"/>
    </xf>
    <xf numFmtId="166" fontId="14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45" fillId="5" borderId="41" xfId="0" applyFont="1" applyFill="1" applyBorder="1" applyAlignment="1" applyProtection="1">
      <alignment horizontal="center" vertical="center" wrapText="1"/>
      <protection hidden="1"/>
    </xf>
    <xf numFmtId="0" fontId="45" fillId="5" borderId="41" xfId="0" applyFont="1" applyFill="1" applyBorder="1" applyAlignment="1" applyProtection="1">
      <alignment vertical="center" wrapText="1"/>
      <protection hidden="1"/>
    </xf>
    <xf numFmtId="0" fontId="45" fillId="5" borderId="35" xfId="0" applyFont="1" applyFill="1" applyBorder="1" applyAlignment="1" applyProtection="1">
      <alignment vertical="center" wrapText="1"/>
      <protection hidden="1"/>
    </xf>
    <xf numFmtId="3" fontId="14" fillId="5" borderId="37" xfId="0" applyNumberFormat="1" applyFont="1" applyFill="1" applyBorder="1" applyAlignment="1" applyProtection="1">
      <alignment horizontal="center" vertical="center" wrapText="1"/>
      <protection hidden="1"/>
    </xf>
    <xf numFmtId="3" fontId="14" fillId="5" borderId="38" xfId="0" applyNumberFormat="1" applyFont="1" applyFill="1" applyBorder="1" applyAlignment="1" applyProtection="1">
      <alignment horizontal="center" vertical="center" wrapText="1"/>
      <protection hidden="1"/>
    </xf>
    <xf numFmtId="169" fontId="14" fillId="5" borderId="38" xfId="0" applyNumberFormat="1" applyFont="1" applyFill="1" applyBorder="1" applyAlignment="1" applyProtection="1">
      <alignment horizontal="center" vertical="center" wrapText="1"/>
      <protection hidden="1"/>
    </xf>
    <xf numFmtId="166" fontId="14" fillId="5" borderId="38" xfId="0" applyNumberFormat="1" applyFont="1" applyFill="1" applyBorder="1" applyAlignment="1" applyProtection="1">
      <alignment horizontal="center" vertical="center" wrapText="1"/>
      <protection hidden="1"/>
    </xf>
    <xf numFmtId="171" fontId="14" fillId="5" borderId="38" xfId="0" applyNumberFormat="1" applyFont="1" applyFill="1" applyBorder="1" applyAlignment="1" applyProtection="1">
      <alignment horizontal="center" vertical="center" wrapText="1"/>
      <protection hidden="1"/>
    </xf>
    <xf numFmtId="165" fontId="14" fillId="5" borderId="38" xfId="0" applyNumberFormat="1" applyFont="1" applyFill="1" applyBorder="1" applyAlignment="1" applyProtection="1">
      <alignment horizontal="center" vertical="center" wrapText="1"/>
      <protection hidden="1"/>
    </xf>
    <xf numFmtId="165" fontId="14" fillId="5" borderId="39" xfId="0" applyNumberFormat="1" applyFont="1" applyFill="1" applyBorder="1" applyAlignment="1" applyProtection="1">
      <alignment horizontal="center" vertical="center" wrapText="1"/>
      <protection hidden="1"/>
    </xf>
    <xf numFmtId="3" fontId="14" fillId="5" borderId="30" xfId="0" applyNumberFormat="1" applyFont="1" applyFill="1" applyBorder="1" applyAlignment="1" applyProtection="1">
      <alignment horizontal="center" vertical="center" wrapText="1"/>
      <protection hidden="1"/>
    </xf>
    <xf numFmtId="3" fontId="14" fillId="5" borderId="16" xfId="0" applyNumberFormat="1" applyFont="1" applyFill="1" applyBorder="1" applyAlignment="1" applyProtection="1">
      <alignment horizontal="center" vertical="center" wrapText="1"/>
      <protection hidden="1"/>
    </xf>
    <xf numFmtId="169" fontId="14" fillId="5" borderId="9" xfId="0" applyNumberFormat="1" applyFont="1" applyFill="1" applyBorder="1" applyAlignment="1" applyProtection="1">
      <alignment horizontal="center" vertical="center" wrapText="1"/>
      <protection hidden="1"/>
    </xf>
    <xf numFmtId="3" fontId="14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41" xfId="0" applyFont="1" applyFill="1" applyBorder="1" applyAlignment="1" applyProtection="1">
      <alignment horizontal="center" vertical="center" wrapText="1"/>
      <protection hidden="1"/>
    </xf>
    <xf numFmtId="3" fontId="14" fillId="5" borderId="41" xfId="0" applyNumberFormat="1" applyFont="1" applyFill="1" applyBorder="1" applyAlignment="1" applyProtection="1">
      <alignment horizontal="center" vertical="center" wrapText="1"/>
      <protection hidden="1"/>
    </xf>
    <xf numFmtId="169" fontId="14" fillId="5" borderId="41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37" xfId="0" applyFont="1" applyFill="1" applyBorder="1" applyAlignment="1" applyProtection="1">
      <alignment horizontal="center" vertical="center" wrapText="1"/>
      <protection hidden="1"/>
    </xf>
    <xf numFmtId="164" fontId="14" fillId="5" borderId="39" xfId="0" applyNumberFormat="1" applyFont="1" applyFill="1" applyBorder="1" applyAlignment="1" applyProtection="1">
      <alignment horizontal="center" vertical="center"/>
      <protection hidden="1"/>
    </xf>
    <xf numFmtId="0" fontId="14" fillId="5" borderId="30" xfId="0" applyFont="1" applyFill="1" applyBorder="1" applyAlignment="1" applyProtection="1">
      <alignment horizontal="center" vertical="center" wrapText="1"/>
      <protection hidden="1"/>
    </xf>
    <xf numFmtId="164" fontId="14" fillId="5" borderId="32" xfId="0" applyNumberFormat="1" applyFont="1" applyFill="1" applyBorder="1" applyAlignment="1" applyProtection="1">
      <alignment horizontal="center" vertical="center"/>
      <protection hidden="1"/>
    </xf>
    <xf numFmtId="183" fontId="14" fillId="5" borderId="9" xfId="0" applyNumberFormat="1" applyFont="1" applyFill="1" applyBorder="1" applyAlignment="1" applyProtection="1">
      <alignment horizontal="center" vertical="center"/>
      <protection hidden="1"/>
    </xf>
    <xf numFmtId="183" fontId="14" fillId="5" borderId="38" xfId="0" applyNumberFormat="1" applyFont="1" applyFill="1" applyBorder="1" applyAlignment="1" applyProtection="1">
      <alignment horizontal="center" vertical="center"/>
      <protection hidden="1"/>
    </xf>
    <xf numFmtId="0" fontId="14" fillId="5" borderId="40" xfId="0" applyFont="1" applyFill="1" applyBorder="1" applyAlignment="1" applyProtection="1">
      <alignment horizontal="center" vertical="center" wrapText="1"/>
      <protection hidden="1"/>
    </xf>
    <xf numFmtId="183" fontId="14" fillId="5" borderId="41" xfId="0" applyNumberFormat="1" applyFont="1" applyFill="1" applyBorder="1" applyAlignment="1" applyProtection="1">
      <alignment horizontal="center" vertical="center"/>
      <protection hidden="1"/>
    </xf>
    <xf numFmtId="164" fontId="14" fillId="5" borderId="35" xfId="0" applyNumberFormat="1" applyFont="1" applyFill="1" applyBorder="1" applyAlignment="1" applyProtection="1">
      <alignment horizontal="center" vertical="center"/>
      <protection hidden="1"/>
    </xf>
    <xf numFmtId="2" fontId="7" fillId="6" borderId="47" xfId="0" applyNumberFormat="1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6" fontId="7" fillId="6" borderId="1" xfId="11" applyNumberFormat="1" applyFont="1" applyFill="1" applyBorder="1" applyAlignment="1">
      <alignment horizontal="center" vertical="center" wrapText="1"/>
    </xf>
    <xf numFmtId="0" fontId="24" fillId="21" borderId="8" xfId="6" applyFont="1" applyBorder="1" applyAlignment="1" applyProtection="1">
      <alignment horizontal="center" vertical="center"/>
      <protection locked="0" hidden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30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2" fontId="29" fillId="5" borderId="13" xfId="0" applyNumberFormat="1" applyFont="1" applyFill="1" applyBorder="1" applyAlignment="1">
      <alignment horizontal="center" vertical="center" wrapText="1"/>
    </xf>
    <xf numFmtId="2" fontId="29" fillId="5" borderId="45" xfId="0" applyNumberFormat="1" applyFont="1" applyFill="1" applyBorder="1" applyAlignment="1">
      <alignment horizontal="center" vertical="center" wrapText="1"/>
    </xf>
    <xf numFmtId="2" fontId="14" fillId="9" borderId="9" xfId="0" applyNumberFormat="1" applyFont="1" applyFill="1" applyBorder="1" applyAlignment="1" applyProtection="1">
      <alignment horizontal="center" vertical="center" wrapText="1"/>
      <protection hidden="1"/>
    </xf>
    <xf numFmtId="2" fontId="14" fillId="5" borderId="13" xfId="0" applyNumberFormat="1" applyFont="1" applyFill="1" applyBorder="1" applyAlignment="1" applyProtection="1">
      <alignment horizontal="center" vertical="center" wrapText="1"/>
      <protection hidden="1"/>
    </xf>
    <xf numFmtId="2" fontId="14" fillId="5" borderId="24" xfId="0" applyNumberFormat="1" applyFont="1" applyFill="1" applyBorder="1" applyAlignment="1" applyProtection="1">
      <alignment horizontal="center" vertical="center" wrapText="1"/>
      <protection hidden="1"/>
    </xf>
    <xf numFmtId="2" fontId="14" fillId="9" borderId="12" xfId="0" applyNumberFormat="1" applyFont="1" applyFill="1" applyBorder="1" applyAlignment="1" applyProtection="1">
      <alignment horizontal="center" vertical="center" wrapText="1"/>
      <protection hidden="1"/>
    </xf>
    <xf numFmtId="2" fontId="14" fillId="5" borderId="9" xfId="0" applyNumberFormat="1" applyFont="1" applyFill="1" applyBorder="1" applyAlignment="1" applyProtection="1">
      <alignment horizontal="center" vertical="center" wrapText="1"/>
      <protection hidden="1"/>
    </xf>
    <xf numFmtId="2" fontId="14" fillId="5" borderId="12" xfId="0" applyNumberFormat="1" applyFont="1" applyFill="1" applyBorder="1" applyAlignment="1" applyProtection="1">
      <alignment horizontal="center" vertical="center" wrapText="1"/>
      <protection hidden="1"/>
    </xf>
    <xf numFmtId="2" fontId="14" fillId="9" borderId="57" xfId="0" applyNumberFormat="1" applyFont="1" applyFill="1" applyBorder="1" applyAlignment="1" applyProtection="1">
      <alignment horizontal="center" vertical="center" wrapText="1"/>
      <protection hidden="1"/>
    </xf>
    <xf numFmtId="2" fontId="14" fillId="9" borderId="30" xfId="0" applyNumberFormat="1" applyFont="1" applyFill="1" applyBorder="1" applyAlignment="1" applyProtection="1">
      <alignment horizontal="center" vertical="center" wrapText="1"/>
      <protection hidden="1"/>
    </xf>
    <xf numFmtId="2" fontId="31" fillId="6" borderId="54" xfId="0" applyNumberFormat="1" applyFont="1" applyFill="1" applyBorder="1" applyAlignment="1" applyProtection="1">
      <alignment horizontal="center" vertical="center" wrapText="1"/>
      <protection hidden="1"/>
    </xf>
    <xf numFmtId="2" fontId="31" fillId="6" borderId="41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0" xfId="0" applyNumberFormat="1" applyFont="1" applyAlignment="1">
      <alignment horizontal="center"/>
    </xf>
    <xf numFmtId="0" fontId="2" fillId="9" borderId="19" xfId="0" applyFont="1" applyFill="1" applyBorder="1" applyAlignment="1" applyProtection="1">
      <alignment horizontal="center" vertical="center"/>
      <protection hidden="1"/>
    </xf>
    <xf numFmtId="0" fontId="2" fillId="9" borderId="20" xfId="0" applyFont="1" applyFill="1" applyBorder="1" applyAlignment="1" applyProtection="1">
      <alignment vertical="center" wrapText="1"/>
      <protection hidden="1"/>
    </xf>
    <xf numFmtId="0" fontId="7" fillId="31" borderId="1" xfId="0" applyFont="1" applyFill="1" applyBorder="1" applyAlignment="1">
      <alignment horizontal="center" vertical="center" wrapText="1"/>
    </xf>
    <xf numFmtId="0" fontId="7" fillId="31" borderId="4" xfId="0" applyFont="1" applyFill="1" applyBorder="1" applyAlignment="1">
      <alignment horizontal="center" vertical="center" wrapText="1"/>
    </xf>
    <xf numFmtId="0" fontId="7" fillId="31" borderId="67" xfId="0" applyFont="1" applyFill="1" applyBorder="1" applyAlignment="1">
      <alignment horizontal="center" vertical="center" wrapText="1"/>
    </xf>
    <xf numFmtId="0" fontId="7" fillId="31" borderId="2" xfId="0" applyFont="1" applyFill="1" applyBorder="1" applyAlignment="1">
      <alignment horizontal="center" vertical="center" wrapText="1"/>
    </xf>
    <xf numFmtId="164" fontId="1" fillId="28" borderId="28" xfId="0" applyNumberFormat="1" applyFont="1" applyFill="1" applyBorder="1" applyAlignment="1">
      <alignment horizontal="center" vertical="center"/>
    </xf>
    <xf numFmtId="0" fontId="1" fillId="28" borderId="34" xfId="0" applyFont="1" applyFill="1" applyBorder="1" applyAlignment="1">
      <alignment horizontal="center" vertical="center"/>
    </xf>
    <xf numFmtId="164" fontId="1" fillId="28" borderId="30" xfId="0" applyNumberFormat="1" applyFont="1" applyFill="1" applyBorder="1" applyAlignment="1">
      <alignment horizontal="center" vertical="center"/>
    </xf>
    <xf numFmtId="0" fontId="1" fillId="28" borderId="32" xfId="0" applyFont="1" applyFill="1" applyBorder="1" applyAlignment="1">
      <alignment horizontal="center" vertical="center"/>
    </xf>
    <xf numFmtId="2" fontId="1" fillId="28" borderId="40" xfId="0" applyNumberFormat="1" applyFont="1" applyFill="1" applyBorder="1" applyAlignment="1">
      <alignment horizontal="center" vertical="center"/>
    </xf>
    <xf numFmtId="0" fontId="1" fillId="28" borderId="35" xfId="0" applyFont="1" applyFill="1" applyBorder="1" applyAlignment="1">
      <alignment horizontal="center" vertical="center"/>
    </xf>
    <xf numFmtId="0" fontId="7" fillId="29" borderId="67" xfId="0" applyFont="1" applyFill="1" applyBorder="1" applyAlignment="1">
      <alignment horizontal="center" vertical="center" wrapText="1"/>
    </xf>
    <xf numFmtId="0" fontId="7" fillId="29" borderId="4" xfId="0" applyFont="1" applyFill="1" applyBorder="1" applyAlignment="1">
      <alignment horizontal="center" vertical="center" wrapText="1"/>
    </xf>
    <xf numFmtId="0" fontId="7" fillId="29" borderId="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  <protection hidden="1"/>
    </xf>
    <xf numFmtId="167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67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38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1" xfId="0" applyNumberFormat="1" applyFont="1" applyFill="1" applyBorder="1" applyAlignment="1">
      <alignment horizontal="center" vertical="center" wrapText="1"/>
    </xf>
    <xf numFmtId="165" fontId="14" fillId="5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169" fontId="7" fillId="0" borderId="0" xfId="0" applyNumberFormat="1" applyFont="1" applyAlignment="1" applyProtection="1">
      <alignment vertical="center"/>
      <protection hidden="1"/>
    </xf>
    <xf numFmtId="169" fontId="14" fillId="0" borderId="0" xfId="0" applyNumberFormat="1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2" fontId="7" fillId="18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18" borderId="68" xfId="1" applyNumberFormat="1" applyFont="1" applyFill="1" applyBorder="1" applyAlignment="1" applyProtection="1">
      <alignment horizontal="center" vertical="center" wrapText="1"/>
      <protection hidden="1"/>
    </xf>
    <xf numFmtId="2" fontId="7" fillId="18" borderId="63" xfId="1" applyNumberFormat="1" applyFont="1" applyFill="1" applyBorder="1" applyAlignment="1" applyProtection="1">
      <alignment horizontal="center" vertical="center" wrapText="1"/>
      <protection hidden="1"/>
    </xf>
    <xf numFmtId="2" fontId="7" fillId="13" borderId="63" xfId="1" applyNumberFormat="1" applyFont="1" applyFill="1" applyBorder="1" applyAlignment="1" applyProtection="1">
      <alignment horizontal="center" vertical="center" wrapText="1"/>
      <protection hidden="1"/>
    </xf>
    <xf numFmtId="2" fontId="7" fillId="13" borderId="69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Protection="1">
      <protection hidden="1"/>
    </xf>
    <xf numFmtId="0" fontId="14" fillId="2" borderId="37" xfId="0" applyFont="1" applyFill="1" applyBorder="1" applyAlignment="1" applyProtection="1">
      <alignment horizontal="center"/>
      <protection hidden="1"/>
    </xf>
    <xf numFmtId="0" fontId="14" fillId="2" borderId="38" xfId="0" applyFont="1" applyFill="1" applyBorder="1" applyAlignment="1" applyProtection="1">
      <alignment horizontal="center"/>
      <protection hidden="1"/>
    </xf>
    <xf numFmtId="0" fontId="14" fillId="0" borderId="38" xfId="0" applyFont="1" applyBorder="1" applyProtection="1">
      <protection hidden="1"/>
    </xf>
    <xf numFmtId="0" fontId="14" fillId="2" borderId="38" xfId="0" applyFont="1" applyFill="1" applyBorder="1" applyProtection="1">
      <protection hidden="1"/>
    </xf>
    <xf numFmtId="0" fontId="14" fillId="0" borderId="39" xfId="0" applyFont="1" applyBorder="1" applyProtection="1">
      <protection hidden="1"/>
    </xf>
    <xf numFmtId="0" fontId="14" fillId="6" borderId="30" xfId="0" applyFont="1" applyFill="1" applyBorder="1" applyAlignment="1" applyProtection="1">
      <alignment horizontal="center" vertical="center"/>
      <protection hidden="1"/>
    </xf>
    <xf numFmtId="169" fontId="14" fillId="5" borderId="9" xfId="0" applyNumberFormat="1" applyFont="1" applyFill="1" applyBorder="1" applyAlignment="1" applyProtection="1">
      <alignment horizontal="center" vertical="center"/>
      <protection locked="0" hidden="1"/>
    </xf>
    <xf numFmtId="0" fontId="14" fillId="6" borderId="9" xfId="0" applyFont="1" applyFill="1" applyBorder="1" applyAlignment="1" applyProtection="1">
      <alignment horizontal="center" wrapText="1"/>
      <protection hidden="1"/>
    </xf>
    <xf numFmtId="0" fontId="14" fillId="5" borderId="9" xfId="0" applyFont="1" applyFill="1" applyBorder="1" applyAlignment="1" applyProtection="1">
      <alignment horizontal="center" vertical="center" wrapText="1"/>
      <protection locked="0" hidden="1"/>
    </xf>
    <xf numFmtId="0" fontId="14" fillId="5" borderId="9" xfId="0" applyFont="1" applyFill="1" applyBorder="1" applyAlignment="1" applyProtection="1">
      <alignment horizontal="center" vertical="center"/>
      <protection locked="0" hidden="1"/>
    </xf>
    <xf numFmtId="0" fontId="7" fillId="15" borderId="1" xfId="0" applyFont="1" applyFill="1" applyBorder="1" applyAlignment="1" applyProtection="1">
      <alignment horizontal="center" vertical="center"/>
      <protection hidden="1"/>
    </xf>
    <xf numFmtId="0" fontId="14" fillId="2" borderId="40" xfId="0" applyFont="1" applyFill="1" applyBorder="1" applyAlignment="1" applyProtection="1">
      <alignment horizontal="center"/>
      <protection hidden="1"/>
    </xf>
    <xf numFmtId="0" fontId="14" fillId="2" borderId="41" xfId="0" applyFont="1" applyFill="1" applyBorder="1" applyAlignment="1" applyProtection="1">
      <alignment horizontal="center"/>
      <protection hidden="1"/>
    </xf>
    <xf numFmtId="169" fontId="14" fillId="2" borderId="41" xfId="0" applyNumberFormat="1" applyFont="1" applyFill="1" applyBorder="1" applyAlignment="1" applyProtection="1">
      <alignment horizontal="center"/>
      <protection hidden="1"/>
    </xf>
    <xf numFmtId="0" fontId="14" fillId="0" borderId="41" xfId="0" applyFont="1" applyBorder="1" applyProtection="1">
      <protection hidden="1"/>
    </xf>
    <xf numFmtId="0" fontId="14" fillId="0" borderId="35" xfId="0" applyFont="1" applyBorder="1" applyProtection="1"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169" fontId="14" fillId="0" borderId="0" xfId="0" applyNumberFormat="1" applyFont="1" applyAlignment="1" applyProtection="1">
      <alignment horizontal="center"/>
      <protection hidden="1"/>
    </xf>
    <xf numFmtId="0" fontId="14" fillId="6" borderId="33" xfId="0" applyFont="1" applyFill="1" applyBorder="1" applyAlignment="1" applyProtection="1">
      <alignment horizontal="center" vertical="center"/>
      <protection hidden="1"/>
    </xf>
    <xf numFmtId="0" fontId="14" fillId="6" borderId="11" xfId="0" applyFont="1" applyFill="1" applyBorder="1" applyAlignment="1" applyProtection="1">
      <alignment vertical="center"/>
      <protection hidden="1"/>
    </xf>
    <xf numFmtId="0" fontId="14" fillId="6" borderId="9" xfId="0" applyFont="1" applyFill="1" applyBorder="1" applyAlignment="1" applyProtection="1">
      <alignment vertical="center"/>
      <protection hidden="1"/>
    </xf>
    <xf numFmtId="0" fontId="14" fillId="6" borderId="32" xfId="0" applyFont="1" applyFill="1" applyBorder="1" applyAlignment="1" applyProtection="1">
      <alignment vertical="center" wrapText="1"/>
      <protection hidden="1"/>
    </xf>
    <xf numFmtId="2" fontId="14" fillId="6" borderId="9" xfId="0" applyNumberFormat="1" applyFont="1" applyFill="1" applyBorder="1" applyAlignment="1" applyProtection="1">
      <alignment vertical="center"/>
      <protection hidden="1"/>
    </xf>
    <xf numFmtId="0" fontId="14" fillId="6" borderId="40" xfId="0" applyFont="1" applyFill="1" applyBorder="1" applyAlignment="1" applyProtection="1">
      <alignment horizontal="center" vertical="center"/>
      <protection hidden="1"/>
    </xf>
    <xf numFmtId="2" fontId="14" fillId="6" borderId="41" xfId="0" applyNumberFormat="1" applyFont="1" applyFill="1" applyBorder="1" applyAlignment="1" applyProtection="1">
      <alignment vertical="center"/>
      <protection hidden="1"/>
    </xf>
    <xf numFmtId="0" fontId="14" fillId="6" borderId="41" xfId="0" applyFont="1" applyFill="1" applyBorder="1" applyAlignment="1" applyProtection="1">
      <alignment vertical="center"/>
      <protection hidden="1"/>
    </xf>
    <xf numFmtId="0" fontId="14" fillId="6" borderId="52" xfId="0" applyFont="1" applyFill="1" applyBorder="1" applyAlignment="1" applyProtection="1">
      <alignment vertical="center"/>
      <protection hidden="1"/>
    </xf>
    <xf numFmtId="0" fontId="14" fillId="6" borderId="35" xfId="0" applyFont="1" applyFill="1" applyBorder="1" applyAlignment="1" applyProtection="1">
      <alignment vertical="center" wrapText="1"/>
      <protection hidden="1"/>
    </xf>
    <xf numFmtId="2" fontId="7" fillId="13" borderId="1" xfId="1" applyNumberFormat="1" applyFont="1" applyFill="1" applyBorder="1" applyAlignment="1" applyProtection="1">
      <alignment horizontal="center" vertical="center" wrapText="1"/>
      <protection hidden="1"/>
    </xf>
    <xf numFmtId="2" fontId="7" fillId="13" borderId="18" xfId="1" applyNumberFormat="1" applyFont="1" applyFill="1" applyBorder="1" applyAlignment="1" applyProtection="1">
      <alignment horizontal="center" vertical="center" wrapText="1"/>
      <protection hidden="1"/>
    </xf>
    <xf numFmtId="2" fontId="7" fillId="18" borderId="18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38" xfId="0" applyFont="1" applyFill="1" applyBorder="1" applyAlignment="1" applyProtection="1">
      <alignment horizontal="center" vertical="center" wrapText="1"/>
      <protection hidden="1"/>
    </xf>
    <xf numFmtId="2" fontId="23" fillId="21" borderId="1" xfId="6" applyNumberFormat="1" applyFont="1" applyBorder="1" applyAlignment="1" applyProtection="1">
      <alignment horizontal="center" vertical="center"/>
      <protection locked="0" hidden="1"/>
    </xf>
    <xf numFmtId="10" fontId="23" fillId="21" borderId="1" xfId="6" applyNumberFormat="1" applyFont="1" applyBorder="1" applyAlignment="1" applyProtection="1">
      <alignment horizontal="center" vertical="center"/>
      <protection locked="0" hidden="1"/>
    </xf>
    <xf numFmtId="1" fontId="23" fillId="21" borderId="1" xfId="6" applyNumberFormat="1" applyFont="1" applyBorder="1" applyAlignment="1" applyProtection="1">
      <alignment horizontal="center" vertical="center"/>
      <protection locked="0" hidden="1"/>
    </xf>
    <xf numFmtId="0" fontId="14" fillId="2" borderId="39" xfId="0" applyFont="1" applyFill="1" applyBorder="1" applyAlignment="1" applyProtection="1">
      <alignment horizontal="center" vertical="center" wrapText="1"/>
      <protection hidden="1"/>
    </xf>
    <xf numFmtId="1" fontId="14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171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14" fillId="6" borderId="12" xfId="0" applyNumberFormat="1" applyFont="1" applyFill="1" applyBorder="1" applyAlignment="1" applyProtection="1">
      <alignment horizontal="center" vertical="center" wrapText="1"/>
      <protection hidden="1"/>
    </xf>
    <xf numFmtId="166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32" xfId="0" applyFont="1" applyFill="1" applyBorder="1" applyAlignment="1" applyProtection="1">
      <alignment horizontal="center" vertical="center"/>
      <protection hidden="1"/>
    </xf>
    <xf numFmtId="0" fontId="14" fillId="2" borderId="52" xfId="0" applyFont="1" applyFill="1" applyBorder="1" applyAlignment="1" applyProtection="1">
      <alignment horizontal="center"/>
      <protection hidden="1"/>
    </xf>
    <xf numFmtId="0" fontId="14" fillId="18" borderId="67" xfId="0" applyFont="1" applyFill="1" applyBorder="1" applyAlignment="1" applyProtection="1">
      <alignment horizontal="center" vertical="center"/>
      <protection hidden="1"/>
    </xf>
    <xf numFmtId="0" fontId="14" fillId="2" borderId="54" xfId="0" applyFont="1" applyFill="1" applyBorder="1" applyAlignment="1" applyProtection="1">
      <alignment horizontal="center"/>
      <protection hidden="1"/>
    </xf>
    <xf numFmtId="0" fontId="14" fillId="2" borderId="35" xfId="0" applyFont="1" applyFill="1" applyBorder="1" applyAlignment="1" applyProtection="1">
      <alignment horizontal="center"/>
      <protection hidden="1"/>
    </xf>
    <xf numFmtId="2" fontId="14" fillId="5" borderId="64" xfId="0" applyNumberFormat="1" applyFont="1" applyFill="1" applyBorder="1" applyAlignment="1" applyProtection="1">
      <alignment horizontal="center" vertical="center"/>
      <protection locked="0" hidden="1"/>
    </xf>
    <xf numFmtId="2" fontId="14" fillId="5" borderId="62" xfId="0" applyNumberFormat="1" applyFont="1" applyFill="1" applyBorder="1" applyAlignment="1" applyProtection="1">
      <alignment horizontal="center" vertical="center"/>
      <protection locked="0" hidden="1"/>
    </xf>
    <xf numFmtId="2" fontId="14" fillId="5" borderId="65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Border="1" applyProtection="1">
      <protection hidden="1"/>
    </xf>
    <xf numFmtId="0" fontId="7" fillId="14" borderId="17" xfId="0" applyFont="1" applyFill="1" applyBorder="1" applyAlignment="1" applyProtection="1">
      <alignment horizontal="center" vertical="center" wrapText="1"/>
      <protection hidden="1"/>
    </xf>
    <xf numFmtId="0" fontId="7" fillId="14" borderId="20" xfId="0" applyFont="1" applyFill="1" applyBorder="1" applyAlignment="1" applyProtection="1">
      <alignment horizontal="center" vertical="center" wrapText="1"/>
      <protection hidden="1"/>
    </xf>
    <xf numFmtId="169" fontId="7" fillId="1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14" borderId="26" xfId="0" applyFont="1" applyFill="1" applyBorder="1" applyAlignment="1" applyProtection="1">
      <alignment horizontal="center" vertical="center" wrapText="1"/>
      <protection hidden="1"/>
    </xf>
    <xf numFmtId="0" fontId="7" fillId="14" borderId="18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Protection="1">
      <protection hidden="1"/>
    </xf>
    <xf numFmtId="0" fontId="14" fillId="0" borderId="7" xfId="0" applyFont="1" applyBorder="1" applyProtection="1">
      <protection hidden="1"/>
    </xf>
    <xf numFmtId="169" fontId="14" fillId="0" borderId="7" xfId="0" applyNumberFormat="1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7" fillId="6" borderId="37" xfId="0" applyFont="1" applyFill="1" applyBorder="1" applyAlignment="1" applyProtection="1">
      <alignment horizontal="center" vertical="center" wrapText="1"/>
      <protection hidden="1"/>
    </xf>
    <xf numFmtId="165" fontId="14" fillId="6" borderId="38" xfId="0" applyNumberFormat="1" applyFont="1" applyFill="1" applyBorder="1" applyAlignment="1" applyProtection="1">
      <alignment horizontal="center" vertical="center" wrapText="1"/>
      <protection hidden="1"/>
    </xf>
    <xf numFmtId="171" fontId="14" fillId="6" borderId="39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40" xfId="0" applyFont="1" applyFill="1" applyBorder="1" applyAlignment="1" applyProtection="1">
      <alignment horizontal="center" vertical="center" wrapText="1"/>
      <protection hidden="1"/>
    </xf>
    <xf numFmtId="14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2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166" fontId="14" fillId="5" borderId="41" xfId="0" applyNumberFormat="1" applyFont="1" applyFill="1" applyBorder="1" applyAlignment="1" applyProtection="1">
      <alignment horizontal="center" vertical="center" wrapText="1"/>
      <protection hidden="1"/>
    </xf>
    <xf numFmtId="171" fontId="14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14" fillId="17" borderId="37" xfId="0" applyFont="1" applyFill="1" applyBorder="1" applyProtection="1">
      <protection hidden="1"/>
    </xf>
    <xf numFmtId="0" fontId="14" fillId="17" borderId="38" xfId="0" applyFont="1" applyFill="1" applyBorder="1" applyAlignment="1" applyProtection="1">
      <alignment horizontal="center" vertical="center"/>
      <protection hidden="1"/>
    </xf>
    <xf numFmtId="0" fontId="14" fillId="17" borderId="39" xfId="0" applyFont="1" applyFill="1" applyBorder="1" applyAlignment="1" applyProtection="1">
      <alignment horizontal="center" vertical="center"/>
      <protection hidden="1"/>
    </xf>
    <xf numFmtId="167" fontId="14" fillId="0" borderId="9" xfId="0" applyNumberFormat="1" applyFont="1" applyBorder="1" applyAlignment="1" applyProtection="1">
      <alignment horizontal="center" vertical="center"/>
      <protection hidden="1"/>
    </xf>
    <xf numFmtId="167" fontId="14" fillId="0" borderId="32" xfId="0" applyNumberFormat="1" applyFont="1" applyBorder="1" applyAlignment="1" applyProtection="1">
      <alignment horizontal="center" vertical="center"/>
      <protection hidden="1"/>
    </xf>
    <xf numFmtId="167" fontId="14" fillId="0" borderId="41" xfId="0" applyNumberFormat="1" applyFont="1" applyBorder="1" applyAlignment="1" applyProtection="1">
      <alignment horizontal="center" vertical="center"/>
      <protection hidden="1"/>
    </xf>
    <xf numFmtId="167" fontId="14" fillId="0" borderId="41" xfId="0" applyNumberFormat="1" applyFont="1" applyBorder="1" applyAlignment="1" applyProtection="1">
      <alignment horizontal="center" vertical="center" wrapText="1"/>
      <protection hidden="1"/>
    </xf>
    <xf numFmtId="167" fontId="14" fillId="0" borderId="35" xfId="0" applyNumberFormat="1" applyFont="1" applyBorder="1" applyAlignment="1" applyProtection="1">
      <alignment horizontal="center" vertical="center"/>
      <protection hidden="1"/>
    </xf>
    <xf numFmtId="169" fontId="7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8" xfId="0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Protection="1">
      <protection hidden="1"/>
    </xf>
    <xf numFmtId="0" fontId="14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169" fontId="14" fillId="0" borderId="3" xfId="0" applyNumberFormat="1" applyFont="1" applyBorder="1" applyProtection="1"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7" fillId="6" borderId="37" xfId="0" applyFont="1" applyFill="1" applyBorder="1" applyAlignment="1" applyProtection="1">
      <alignment horizontal="center" vertical="center"/>
      <protection hidden="1"/>
    </xf>
    <xf numFmtId="2" fontId="14" fillId="5" borderId="38" xfId="0" applyNumberFormat="1" applyFont="1" applyFill="1" applyBorder="1" applyAlignment="1" applyProtection="1">
      <alignment horizontal="center" vertical="center"/>
      <protection hidden="1"/>
    </xf>
    <xf numFmtId="14" fontId="14" fillId="5" borderId="38" xfId="0" applyNumberFormat="1" applyFont="1" applyFill="1" applyBorder="1" applyAlignment="1" applyProtection="1">
      <alignment horizontal="center" vertical="center"/>
      <protection hidden="1"/>
    </xf>
    <xf numFmtId="165" fontId="14" fillId="5" borderId="38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7" fillId="6" borderId="40" xfId="0" applyFont="1" applyFill="1" applyBorder="1" applyAlignment="1" applyProtection="1">
      <alignment horizontal="center" vertical="center"/>
      <protection hidden="1"/>
    </xf>
    <xf numFmtId="2" fontId="14" fillId="5" borderId="41" xfId="0" applyNumberFormat="1" applyFont="1" applyFill="1" applyBorder="1" applyAlignment="1" applyProtection="1">
      <alignment horizontal="center" vertical="center"/>
      <protection hidden="1"/>
    </xf>
    <xf numFmtId="14" fontId="14" fillId="5" borderId="41" xfId="0" applyNumberFormat="1" applyFont="1" applyFill="1" applyBorder="1" applyAlignment="1" applyProtection="1">
      <alignment horizontal="center" vertical="center"/>
      <protection hidden="1"/>
    </xf>
    <xf numFmtId="165" fontId="14" fillId="5" borderId="41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vertical="center" textRotation="90" wrapText="1"/>
      <protection hidden="1"/>
    </xf>
    <xf numFmtId="2" fontId="14" fillId="0" borderId="0" xfId="0" applyNumberFormat="1" applyFont="1" applyAlignment="1" applyProtection="1">
      <alignment horizontal="center" vertical="center"/>
      <protection hidden="1"/>
    </xf>
    <xf numFmtId="2" fontId="14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4" borderId="42" xfId="0" applyFont="1" applyFill="1" applyBorder="1" applyAlignment="1" applyProtection="1">
      <alignment horizontal="center" vertical="center" wrapText="1"/>
      <protection hidden="1"/>
    </xf>
    <xf numFmtId="0" fontId="7" fillId="4" borderId="50" xfId="0" applyFont="1" applyFill="1" applyBorder="1" applyAlignment="1" applyProtection="1">
      <alignment horizontal="center" vertical="center" wrapText="1"/>
      <protection hidden="1"/>
    </xf>
    <xf numFmtId="169" fontId="7" fillId="4" borderId="50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71" xfId="0" applyFont="1" applyFill="1" applyBorder="1" applyAlignment="1" applyProtection="1">
      <alignment horizontal="center" vertical="center"/>
      <protection hidden="1"/>
    </xf>
    <xf numFmtId="169" fontId="14" fillId="0" borderId="0" xfId="0" applyNumberFormat="1" applyFont="1" applyAlignment="1" applyProtection="1">
      <alignment horizontal="center" vertical="center"/>
      <protection hidden="1"/>
    </xf>
    <xf numFmtId="2" fontId="14" fillId="6" borderId="38" xfId="0" applyNumberFormat="1" applyFont="1" applyFill="1" applyBorder="1" applyAlignment="1" applyProtection="1">
      <alignment horizontal="center" vertical="center"/>
      <protection hidden="1"/>
    </xf>
    <xf numFmtId="165" fontId="14" fillId="6" borderId="38" xfId="0" applyNumberFormat="1" applyFont="1" applyFill="1" applyBorder="1" applyAlignment="1" applyProtection="1">
      <alignment horizontal="center" vertical="center"/>
      <protection hidden="1"/>
    </xf>
    <xf numFmtId="166" fontId="14" fillId="5" borderId="38" xfId="0" applyNumberFormat="1" applyFont="1" applyFill="1" applyBorder="1" applyAlignment="1" applyProtection="1">
      <alignment horizontal="center" vertical="center"/>
      <protection hidden="1"/>
    </xf>
    <xf numFmtId="2" fontId="14" fillId="6" borderId="9" xfId="0" applyNumberFormat="1" applyFont="1" applyFill="1" applyBorder="1" applyAlignment="1" applyProtection="1">
      <alignment horizontal="center" vertical="center"/>
      <protection hidden="1"/>
    </xf>
    <xf numFmtId="165" fontId="14" fillId="6" borderId="9" xfId="0" applyNumberFormat="1" applyFont="1" applyFill="1" applyBorder="1" applyAlignment="1" applyProtection="1">
      <alignment horizontal="center" vertical="center"/>
      <protection hidden="1"/>
    </xf>
    <xf numFmtId="0" fontId="7" fillId="27" borderId="6" xfId="0" applyFont="1" applyFill="1" applyBorder="1" applyAlignment="1" applyProtection="1">
      <alignment horizontal="center" vertical="center"/>
      <protection hidden="1"/>
    </xf>
    <xf numFmtId="165" fontId="7" fillId="6" borderId="9" xfId="0" applyNumberFormat="1" applyFont="1" applyFill="1" applyBorder="1" applyAlignment="1" applyProtection="1">
      <alignment horizontal="center" vertical="center"/>
      <protection hidden="1"/>
    </xf>
    <xf numFmtId="2" fontId="14" fillId="6" borderId="41" xfId="0" applyNumberFormat="1" applyFont="1" applyFill="1" applyBorder="1" applyAlignment="1" applyProtection="1">
      <alignment horizontal="center" vertical="center"/>
      <protection hidden="1"/>
    </xf>
    <xf numFmtId="165" fontId="14" fillId="6" borderId="41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vertical="center" wrapText="1"/>
      <protection hidden="1"/>
    </xf>
    <xf numFmtId="0" fontId="14" fillId="0" borderId="46" xfId="0" applyFont="1" applyBorder="1" applyProtection="1">
      <protection hidden="1"/>
    </xf>
    <xf numFmtId="0" fontId="14" fillId="6" borderId="37" xfId="0" applyFont="1" applyFill="1" applyBorder="1" applyAlignment="1" applyProtection="1">
      <alignment horizontal="center" vertical="center" wrapText="1"/>
      <protection hidden="1"/>
    </xf>
    <xf numFmtId="1" fontId="14" fillId="6" borderId="64" xfId="0" applyNumberFormat="1" applyFont="1" applyFill="1" applyBorder="1" applyAlignment="1" applyProtection="1">
      <alignment vertical="center" wrapText="1"/>
      <protection hidden="1"/>
    </xf>
    <xf numFmtId="2" fontId="14" fillId="5" borderId="45" xfId="0" applyNumberFormat="1" applyFont="1" applyFill="1" applyBorder="1" applyAlignment="1" applyProtection="1">
      <alignment horizontal="center" vertical="center"/>
      <protection hidden="1"/>
    </xf>
    <xf numFmtId="0" fontId="14" fillId="6" borderId="30" xfId="0" applyFont="1" applyFill="1" applyBorder="1" applyAlignment="1" applyProtection="1">
      <alignment horizontal="center" vertical="center" wrapText="1"/>
      <protection hidden="1"/>
    </xf>
    <xf numFmtId="1" fontId="14" fillId="6" borderId="62" xfId="0" applyNumberFormat="1" applyFont="1" applyFill="1" applyBorder="1" applyAlignment="1" applyProtection="1">
      <alignment vertical="center" wrapText="1"/>
      <protection hidden="1"/>
    </xf>
    <xf numFmtId="2" fontId="14" fillId="5" borderId="13" xfId="0" applyNumberFormat="1" applyFont="1" applyFill="1" applyBorder="1" applyAlignment="1" applyProtection="1">
      <alignment horizontal="center" vertical="center"/>
      <protection hidden="1"/>
    </xf>
    <xf numFmtId="0" fontId="7" fillId="27" borderId="1" xfId="0" applyFont="1" applyFill="1" applyBorder="1" applyAlignment="1" applyProtection="1">
      <alignment horizontal="center" vertical="center"/>
      <protection hidden="1"/>
    </xf>
    <xf numFmtId="0" fontId="14" fillId="6" borderId="40" xfId="0" applyFont="1" applyFill="1" applyBorder="1" applyAlignment="1" applyProtection="1">
      <alignment horizontal="center" vertical="center" wrapText="1"/>
      <protection hidden="1"/>
    </xf>
    <xf numFmtId="1" fontId="14" fillId="6" borderId="65" xfId="0" applyNumberFormat="1" applyFont="1" applyFill="1" applyBorder="1" applyAlignment="1" applyProtection="1">
      <alignment vertical="center" wrapText="1"/>
      <protection hidden="1"/>
    </xf>
    <xf numFmtId="2" fontId="14" fillId="5" borderId="54" xfId="0" applyNumberFormat="1" applyFont="1" applyFill="1" applyBorder="1" applyAlignment="1" applyProtection="1">
      <alignment horizontal="center" vertical="center"/>
      <protection hidden="1"/>
    </xf>
    <xf numFmtId="2" fontId="14" fillId="5" borderId="37" xfId="0" applyNumberFormat="1" applyFont="1" applyFill="1" applyBorder="1" applyAlignment="1" applyProtection="1">
      <alignment horizontal="center" vertical="center"/>
      <protection hidden="1"/>
    </xf>
    <xf numFmtId="2" fontId="14" fillId="5" borderId="30" xfId="0" applyNumberFormat="1" applyFont="1" applyFill="1" applyBorder="1" applyAlignment="1" applyProtection="1">
      <alignment horizontal="center" vertical="center"/>
      <protection hidden="1"/>
    </xf>
    <xf numFmtId="2" fontId="14" fillId="5" borderId="40" xfId="0" applyNumberFormat="1" applyFont="1" applyFill="1" applyBorder="1" applyAlignment="1" applyProtection="1">
      <alignment horizontal="center" vertical="center"/>
      <protection hidden="1"/>
    </xf>
    <xf numFmtId="2" fontId="14" fillId="5" borderId="9" xfId="0" applyNumberFormat="1" applyFont="1" applyFill="1" applyBorder="1" applyAlignment="1" applyProtection="1">
      <alignment horizontal="center" vertical="center"/>
      <protection hidden="1"/>
    </xf>
    <xf numFmtId="166" fontId="14" fillId="0" borderId="0" xfId="0" applyNumberFormat="1" applyFont="1" applyProtection="1"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48" xfId="0" applyFont="1" applyFill="1" applyBorder="1" applyAlignment="1" applyProtection="1">
      <alignment horizontal="center" vertical="center" wrapText="1"/>
      <protection hidden="1"/>
    </xf>
    <xf numFmtId="169" fontId="7" fillId="4" borderId="6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61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Protection="1">
      <protection hidden="1"/>
    </xf>
    <xf numFmtId="0" fontId="14" fillId="2" borderId="7" xfId="0" applyFont="1" applyFill="1" applyBorder="1" applyProtection="1">
      <protection hidden="1"/>
    </xf>
    <xf numFmtId="0" fontId="14" fillId="2" borderId="3" xfId="0" applyFont="1" applyFill="1" applyBorder="1" applyProtection="1"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horizontal="center" vertical="center"/>
      <protection hidden="1"/>
    </xf>
    <xf numFmtId="169" fontId="14" fillId="2" borderId="3" xfId="0" applyNumberFormat="1" applyFont="1" applyFill="1" applyBorder="1" applyAlignment="1" applyProtection="1">
      <alignment horizontal="center" vertical="center"/>
      <protection hidden="1"/>
    </xf>
    <xf numFmtId="0" fontId="14" fillId="2" borderId="4" xfId="0" applyFont="1" applyFill="1" applyBorder="1" applyProtection="1">
      <protection hidden="1"/>
    </xf>
    <xf numFmtId="0" fontId="7" fillId="27" borderId="10" xfId="0" applyFont="1" applyFill="1" applyBorder="1" applyAlignment="1" applyProtection="1">
      <alignment vertical="center"/>
      <protection hidden="1"/>
    </xf>
    <xf numFmtId="0" fontId="14" fillId="27" borderId="0" xfId="0" applyFont="1" applyFill="1" applyAlignment="1" applyProtection="1">
      <alignment vertical="center"/>
      <protection hidden="1"/>
    </xf>
    <xf numFmtId="0" fontId="14" fillId="27" borderId="10" xfId="0" applyFont="1" applyFill="1" applyBorder="1" applyAlignment="1" applyProtection="1">
      <alignment vertical="center"/>
      <protection hidden="1"/>
    </xf>
    <xf numFmtId="0" fontId="14" fillId="27" borderId="44" xfId="0" applyFont="1" applyFill="1" applyBorder="1" applyAlignment="1" applyProtection="1">
      <alignment vertical="center"/>
      <protection hidden="1"/>
    </xf>
    <xf numFmtId="0" fontId="14" fillId="27" borderId="5" xfId="0" applyFont="1" applyFill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4" fillId="2" borderId="3" xfId="0" applyFont="1" applyFill="1" applyBorder="1" applyAlignment="1" applyProtection="1">
      <alignment vertical="center" textRotation="90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4" fillId="0" borderId="44" xfId="0" applyFont="1" applyBorder="1" applyProtection="1">
      <protection hidden="1"/>
    </xf>
    <xf numFmtId="0" fontId="14" fillId="2" borderId="5" xfId="0" applyFont="1" applyFill="1" applyBorder="1" applyAlignment="1" applyProtection="1">
      <alignment vertical="center" textRotation="90"/>
      <protection hidden="1"/>
    </xf>
    <xf numFmtId="0" fontId="14" fillId="2" borderId="5" xfId="0" applyFont="1" applyFill="1" applyBorder="1" applyProtection="1"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172" fontId="45" fillId="5" borderId="9" xfId="0" applyNumberFormat="1" applyFont="1" applyFill="1" applyBorder="1" applyAlignment="1" applyProtection="1">
      <alignment horizontal="center" vertical="center" wrapText="1"/>
      <protection hidden="1"/>
    </xf>
    <xf numFmtId="4" fontId="45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45" fillId="5" borderId="12" xfId="0" applyFont="1" applyFill="1" applyBorder="1" applyAlignment="1" applyProtection="1">
      <alignment horizontal="center" vertical="center" wrapText="1"/>
      <protection hidden="1"/>
    </xf>
    <xf numFmtId="0" fontId="45" fillId="5" borderId="12" xfId="0" applyFont="1" applyFill="1" applyBorder="1" applyAlignment="1" applyProtection="1">
      <alignment vertical="center" wrapText="1"/>
      <protection hidden="1"/>
    </xf>
    <xf numFmtId="0" fontId="45" fillId="5" borderId="57" xfId="0" applyFont="1" applyFill="1" applyBorder="1" applyAlignment="1" applyProtection="1">
      <alignment vertical="center" wrapText="1"/>
      <protection hidden="1"/>
    </xf>
    <xf numFmtId="0" fontId="14" fillId="0" borderId="44" xfId="0" applyFont="1" applyBorder="1" applyAlignment="1" applyProtection="1">
      <alignment horizontal="center"/>
      <protection hidden="1"/>
    </xf>
    <xf numFmtId="0" fontId="14" fillId="0" borderId="5" xfId="0" applyFont="1" applyBorder="1" applyAlignment="1" applyProtection="1">
      <alignment horizontal="center"/>
      <protection hidden="1"/>
    </xf>
    <xf numFmtId="0" fontId="14" fillId="0" borderId="36" xfId="0" applyFont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 vertical="center" textRotation="90"/>
      <protection hidden="1"/>
    </xf>
    <xf numFmtId="0" fontId="14" fillId="2" borderId="0" xfId="0" applyFont="1" applyFill="1" applyProtection="1">
      <protection hidden="1"/>
    </xf>
    <xf numFmtId="0" fontId="45" fillId="5" borderId="9" xfId="0" applyFont="1" applyFill="1" applyBorder="1" applyAlignment="1" applyProtection="1">
      <alignment horizontal="center" vertical="center" wrapText="1"/>
      <protection hidden="1"/>
    </xf>
    <xf numFmtId="0" fontId="45" fillId="5" borderId="32" xfId="0" applyFont="1" applyFill="1" applyBorder="1" applyAlignment="1" applyProtection="1">
      <alignment horizontal="center" vertical="center" wrapText="1"/>
      <protection hidden="1"/>
    </xf>
    <xf numFmtId="173" fontId="45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center" wrapText="1"/>
      <protection hidden="1"/>
    </xf>
    <xf numFmtId="0" fontId="7" fillId="14" borderId="20" xfId="0" applyFont="1" applyFill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165" fontId="14" fillId="5" borderId="16" xfId="0" applyNumberFormat="1" applyFont="1" applyFill="1" applyBorder="1" applyAlignment="1" applyProtection="1">
      <alignment horizontal="center" vertical="center" wrapText="1"/>
      <protection hidden="1"/>
    </xf>
    <xf numFmtId="165" fontId="14" fillId="5" borderId="34" xfId="0" applyNumberFormat="1" applyFont="1" applyFill="1" applyBorder="1" applyAlignment="1" applyProtection="1">
      <alignment horizontal="center" vertical="center" wrapText="1"/>
      <protection hidden="1"/>
    </xf>
    <xf numFmtId="2" fontId="14" fillId="5" borderId="41" xfId="0" applyNumberFormat="1" applyFont="1" applyFill="1" applyBorder="1" applyAlignment="1" applyProtection="1">
      <alignment horizontal="center" vertical="center" wrapText="1"/>
      <protection hidden="1"/>
    </xf>
    <xf numFmtId="165" fontId="14" fillId="5" borderId="50" xfId="0" applyNumberFormat="1" applyFont="1" applyFill="1" applyBorder="1" applyAlignment="1" applyProtection="1">
      <alignment horizontal="center" vertical="center" wrapText="1"/>
      <protection hidden="1"/>
    </xf>
    <xf numFmtId="165" fontId="14" fillId="5" borderId="7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7" fillId="4" borderId="68" xfId="0" applyFont="1" applyFill="1" applyBorder="1" applyAlignment="1" applyProtection="1">
      <alignment horizontal="center" vertical="center" wrapText="1"/>
      <protection hidden="1"/>
    </xf>
    <xf numFmtId="0" fontId="7" fillId="4" borderId="63" xfId="0" applyFont="1" applyFill="1" applyBorder="1" applyAlignment="1" applyProtection="1">
      <alignment horizontal="center" vertical="center" wrapText="1"/>
      <protection hidden="1"/>
    </xf>
    <xf numFmtId="169" fontId="7" fillId="4" borderId="63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63" xfId="0" applyFont="1" applyFill="1" applyBorder="1" applyAlignment="1" applyProtection="1">
      <alignment horizontal="center" vertical="center"/>
      <protection hidden="1"/>
    </xf>
    <xf numFmtId="0" fontId="7" fillId="4" borderId="69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169" fontId="14" fillId="0" borderId="7" xfId="0" applyNumberFormat="1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/>
      <protection hidden="1"/>
    </xf>
    <xf numFmtId="0" fontId="14" fillId="0" borderId="48" xfId="0" applyFont="1" applyBorder="1" applyAlignment="1" applyProtection="1">
      <alignment horizontal="center"/>
      <protection hidden="1"/>
    </xf>
    <xf numFmtId="0" fontId="14" fillId="0" borderId="61" xfId="0" applyFont="1" applyBorder="1" applyAlignment="1" applyProtection="1">
      <alignment horizontal="center"/>
      <protection hidden="1"/>
    </xf>
    <xf numFmtId="169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29" xfId="0" applyFont="1" applyFill="1" applyBorder="1" applyAlignment="1" applyProtection="1">
      <alignment horizontal="center" vertical="center" wrapText="1"/>
      <protection hidden="1"/>
    </xf>
    <xf numFmtId="166" fontId="14" fillId="5" borderId="37" xfId="0" applyNumberFormat="1" applyFont="1" applyFill="1" applyBorder="1" applyAlignment="1" applyProtection="1">
      <alignment horizontal="center" vertical="center" wrapText="1"/>
      <protection hidden="1"/>
    </xf>
    <xf numFmtId="164" fontId="14" fillId="5" borderId="38" xfId="0" applyNumberFormat="1" applyFont="1" applyFill="1" applyBorder="1" applyAlignment="1" applyProtection="1">
      <alignment horizontal="center" vertical="center" wrapText="1"/>
      <protection hidden="1"/>
    </xf>
    <xf numFmtId="164" fontId="14" fillId="5" borderId="39" xfId="0" applyNumberFormat="1" applyFont="1" applyFill="1" applyBorder="1" applyAlignment="1" applyProtection="1">
      <alignment horizontal="center" vertical="center" wrapText="1"/>
      <protection hidden="1"/>
    </xf>
    <xf numFmtId="0" fontId="14" fillId="15" borderId="37" xfId="0" applyFont="1" applyFill="1" applyBorder="1" applyAlignment="1" applyProtection="1">
      <alignment horizontal="center" vertical="center"/>
      <protection hidden="1"/>
    </xf>
    <xf numFmtId="0" fontId="14" fillId="15" borderId="38" xfId="0" applyFont="1" applyFill="1" applyBorder="1" applyAlignment="1" applyProtection="1">
      <alignment horizontal="center" vertical="center" wrapText="1"/>
      <protection hidden="1"/>
    </xf>
    <xf numFmtId="0" fontId="14" fillId="15" borderId="38" xfId="0" applyFont="1" applyFill="1" applyBorder="1" applyAlignment="1" applyProtection="1">
      <alignment horizontal="center" vertical="center"/>
      <protection hidden="1"/>
    </xf>
    <xf numFmtId="0" fontId="14" fillId="15" borderId="39" xfId="0" applyFont="1" applyFill="1" applyBorder="1" applyAlignment="1" applyProtection="1">
      <alignment horizontal="center" vertical="center"/>
      <protection hidden="1"/>
    </xf>
    <xf numFmtId="0" fontId="7" fillId="15" borderId="17" xfId="0" applyFont="1" applyFill="1" applyBorder="1" applyAlignment="1" applyProtection="1">
      <alignment horizontal="center" vertical="center" wrapText="1"/>
      <protection hidden="1"/>
    </xf>
    <xf numFmtId="0" fontId="7" fillId="15" borderId="18" xfId="0" applyFont="1" applyFill="1" applyBorder="1" applyAlignment="1" applyProtection="1">
      <alignment horizontal="center" vertical="center" wrapText="1"/>
      <protection hidden="1"/>
    </xf>
    <xf numFmtId="14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11" xfId="0" applyFont="1" applyFill="1" applyBorder="1" applyAlignment="1" applyProtection="1">
      <alignment horizontal="center" vertical="center" wrapText="1"/>
      <protection hidden="1"/>
    </xf>
    <xf numFmtId="166" fontId="14" fillId="5" borderId="30" xfId="0" applyNumberFormat="1" applyFont="1" applyFill="1" applyBorder="1" applyAlignment="1" applyProtection="1">
      <alignment horizontal="center" vertical="center" wrapText="1"/>
      <protection hidden="1"/>
    </xf>
    <xf numFmtId="166" fontId="14" fillId="5" borderId="9" xfId="0" applyNumberFormat="1" applyFont="1" applyFill="1" applyBorder="1" applyAlignment="1" applyProtection="1">
      <alignment horizontal="center" vertical="center" wrapText="1"/>
      <protection hidden="1"/>
    </xf>
    <xf numFmtId="164" fontId="14" fillId="5" borderId="9" xfId="0" applyNumberFormat="1" applyFont="1" applyFill="1" applyBorder="1" applyAlignment="1" applyProtection="1">
      <alignment horizontal="center" vertical="center" wrapText="1"/>
      <protection hidden="1"/>
    </xf>
    <xf numFmtId="164" fontId="14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6" borderId="28" xfId="0" applyFont="1" applyFill="1" applyBorder="1" applyAlignment="1" applyProtection="1">
      <alignment horizontal="center" vertical="center" wrapText="1"/>
      <protection hidden="1"/>
    </xf>
    <xf numFmtId="0" fontId="14" fillId="6" borderId="32" xfId="0" applyFont="1" applyFill="1" applyBorder="1" applyAlignment="1" applyProtection="1">
      <alignment horizontal="center" vertical="center" wrapText="1"/>
      <protection hidden="1"/>
    </xf>
    <xf numFmtId="166" fontId="14" fillId="6" borderId="32" xfId="0" applyNumberFormat="1" applyFont="1" applyFill="1" applyBorder="1" applyAlignment="1" applyProtection="1">
      <alignment horizontal="center" vertical="center" wrapText="1"/>
      <protection hidden="1"/>
    </xf>
    <xf numFmtId="169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52" xfId="0" applyFont="1" applyFill="1" applyBorder="1" applyAlignment="1" applyProtection="1">
      <alignment horizontal="center" vertical="center" wrapText="1"/>
      <protection hidden="1"/>
    </xf>
    <xf numFmtId="164" fontId="14" fillId="5" borderId="41" xfId="0" applyNumberFormat="1" applyFont="1" applyFill="1" applyBorder="1" applyAlignment="1" applyProtection="1">
      <alignment horizontal="center" vertical="center" wrapText="1"/>
      <protection hidden="1"/>
    </xf>
    <xf numFmtId="0" fontId="14" fillId="6" borderId="35" xfId="0" applyFont="1" applyFill="1" applyBorder="1" applyAlignment="1" applyProtection="1">
      <alignment horizontal="center" vertical="center" wrapText="1"/>
      <protection hidden="1"/>
    </xf>
    <xf numFmtId="10" fontId="14" fillId="6" borderId="40" xfId="0" applyNumberFormat="1" applyFont="1" applyFill="1" applyBorder="1" applyAlignment="1" applyProtection="1">
      <alignment horizontal="center" vertical="center" wrapText="1"/>
      <protection hidden="1"/>
    </xf>
    <xf numFmtId="2" fontId="14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169" fontId="14" fillId="6" borderId="38" xfId="0" applyNumberFormat="1" applyFont="1" applyFill="1" applyBorder="1" applyAlignment="1" applyProtection="1">
      <alignment horizontal="center" vertical="center" wrapText="1"/>
      <protection hidden="1"/>
    </xf>
    <xf numFmtId="14" fontId="14" fillId="6" borderId="38" xfId="0" applyNumberFormat="1" applyFont="1" applyFill="1" applyBorder="1" applyAlignment="1" applyProtection="1">
      <alignment horizontal="center" vertical="center" wrapText="1"/>
      <protection hidden="1"/>
    </xf>
    <xf numFmtId="164" fontId="14" fillId="6" borderId="38" xfId="0" applyNumberFormat="1" applyFont="1" applyFill="1" applyBorder="1" applyAlignment="1" applyProtection="1">
      <alignment horizontal="center" vertical="center" wrapText="1"/>
      <protection hidden="1"/>
    </xf>
    <xf numFmtId="164" fontId="14" fillId="6" borderId="39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0" xfId="0" applyNumberFormat="1" applyFont="1" applyProtection="1">
      <protection hidden="1"/>
    </xf>
    <xf numFmtId="164" fontId="14" fillId="6" borderId="32" xfId="0" applyNumberFormat="1" applyFont="1" applyFill="1" applyBorder="1" applyAlignment="1" applyProtection="1">
      <alignment horizontal="center" vertical="center" wrapText="1"/>
      <protection hidden="1"/>
    </xf>
    <xf numFmtId="164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164" fontId="14" fillId="6" borderId="35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0" xfId="0" applyNumberFormat="1" applyFont="1" applyAlignment="1" applyProtection="1">
      <alignment vertical="center"/>
      <protection hidden="1"/>
    </xf>
    <xf numFmtId="167" fontId="14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 vertical="center"/>
      <protection hidden="1"/>
    </xf>
    <xf numFmtId="165" fontId="14" fillId="0" borderId="0" xfId="0" applyNumberFormat="1" applyFont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169" fontId="14" fillId="0" borderId="5" xfId="0" applyNumberFormat="1" applyFont="1" applyBorder="1" applyAlignment="1" applyProtection="1">
      <alignment horizontal="center" vertical="center"/>
      <protection hidden="1"/>
    </xf>
    <xf numFmtId="0" fontId="14" fillId="0" borderId="36" xfId="0" applyFont="1" applyBorder="1" applyProtection="1"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14" fillId="6" borderId="20" xfId="0" applyFont="1" applyFill="1" applyBorder="1" applyAlignment="1" applyProtection="1">
      <alignment horizontal="center" vertical="center" wrapText="1"/>
      <protection hidden="1"/>
    </xf>
    <xf numFmtId="171" fontId="14" fillId="6" borderId="20" xfId="0" applyNumberFormat="1" applyFont="1" applyFill="1" applyBorder="1" applyAlignment="1" applyProtection="1">
      <alignment horizontal="center" vertical="center" wrapText="1"/>
      <protection hidden="1"/>
    </xf>
    <xf numFmtId="11" fontId="14" fillId="6" borderId="20" xfId="0" applyNumberFormat="1" applyFont="1" applyFill="1" applyBorder="1" applyAlignment="1" applyProtection="1">
      <alignment horizontal="center" vertical="center" wrapText="1"/>
      <protection hidden="1"/>
    </xf>
    <xf numFmtId="169" fontId="14" fillId="6" borderId="26" xfId="0" applyNumberFormat="1" applyFont="1" applyFill="1" applyBorder="1" applyAlignment="1" applyProtection="1">
      <alignment horizontal="center" vertical="center" wrapText="1"/>
      <protection hidden="1"/>
    </xf>
    <xf numFmtId="14" fontId="1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textRotation="90"/>
      <protection hidden="1"/>
    </xf>
    <xf numFmtId="14" fontId="14" fillId="0" borderId="0" xfId="0" applyNumberFormat="1" applyFont="1" applyAlignment="1" applyProtection="1">
      <alignment horizontal="center" vertical="center"/>
      <protection hidden="1"/>
    </xf>
    <xf numFmtId="169" fontId="7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7" xfId="0" applyFont="1" applyBorder="1" applyProtection="1">
      <protection hidden="1"/>
    </xf>
    <xf numFmtId="169" fontId="14" fillId="0" borderId="3" xfId="0" applyNumberFormat="1" applyFont="1" applyBorder="1" applyAlignment="1" applyProtection="1">
      <alignment horizontal="center" vertical="center"/>
      <protection hidden="1"/>
    </xf>
    <xf numFmtId="0" fontId="14" fillId="0" borderId="4" xfId="0" applyFont="1" applyBorder="1" applyProtection="1">
      <protection hidden="1"/>
    </xf>
    <xf numFmtId="0" fontId="14" fillId="6" borderId="45" xfId="0" applyFont="1" applyFill="1" applyBorder="1" applyAlignment="1" applyProtection="1">
      <alignment horizontal="center" vertical="center" wrapText="1"/>
      <protection hidden="1"/>
    </xf>
    <xf numFmtId="2" fontId="14" fillId="5" borderId="38" xfId="0" applyNumberFormat="1" applyFont="1" applyFill="1" applyBorder="1" applyAlignment="1" applyProtection="1">
      <alignment horizontal="center" vertical="center" wrapText="1"/>
      <protection hidden="1"/>
    </xf>
    <xf numFmtId="14" fontId="14" fillId="5" borderId="39" xfId="0" applyNumberFormat="1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 wrapText="1"/>
      <protection hidden="1"/>
    </xf>
    <xf numFmtId="165" fontId="14" fillId="5" borderId="9" xfId="0" applyNumberFormat="1" applyFont="1" applyFill="1" applyBorder="1" applyAlignment="1" applyProtection="1">
      <alignment horizontal="center" vertical="center" wrapText="1"/>
      <protection hidden="1"/>
    </xf>
    <xf numFmtId="14" fontId="14" fillId="5" borderId="32" xfId="0" applyNumberFormat="1" applyFont="1" applyFill="1" applyBorder="1" applyAlignment="1" applyProtection="1">
      <alignment horizontal="center" vertical="center"/>
      <protection hidden="1"/>
    </xf>
    <xf numFmtId="0" fontId="14" fillId="6" borderId="54" xfId="0" applyFont="1" applyFill="1" applyBorder="1" applyAlignment="1" applyProtection="1">
      <alignment horizontal="center" vertical="center" wrapText="1"/>
      <protection hidden="1"/>
    </xf>
    <xf numFmtId="165" fontId="14" fillId="5" borderId="41" xfId="0" applyNumberFormat="1" applyFont="1" applyFill="1" applyBorder="1" applyAlignment="1" applyProtection="1">
      <alignment horizontal="center" vertical="center" wrapText="1"/>
      <protection hidden="1"/>
    </xf>
    <xf numFmtId="14" fontId="14" fillId="5" borderId="35" xfId="0" applyNumberFormat="1" applyFont="1" applyFill="1" applyBorder="1" applyAlignment="1" applyProtection="1">
      <alignment horizontal="center" vertical="center"/>
      <protection hidden="1"/>
    </xf>
    <xf numFmtId="2" fontId="14" fillId="2" borderId="0" xfId="0" applyNumberFormat="1" applyFont="1" applyFill="1" applyAlignment="1" applyProtection="1">
      <alignment horizontal="center" vertical="center"/>
      <protection hidden="1"/>
    </xf>
    <xf numFmtId="169" fontId="14" fillId="2" borderId="0" xfId="0" applyNumberFormat="1" applyFont="1" applyFill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/>
      <protection hidden="1"/>
    </xf>
    <xf numFmtId="0" fontId="14" fillId="4" borderId="71" xfId="0" applyFont="1" applyFill="1" applyBorder="1" applyAlignment="1" applyProtection="1">
      <alignment horizontal="center" vertical="center" wrapText="1"/>
      <protection hidden="1"/>
    </xf>
    <xf numFmtId="11" fontId="14" fillId="6" borderId="37" xfId="0" applyNumberFormat="1" applyFont="1" applyFill="1" applyBorder="1" applyAlignment="1" applyProtection="1">
      <alignment horizontal="center" vertical="center"/>
      <protection hidden="1"/>
    </xf>
    <xf numFmtId="164" fontId="14" fillId="6" borderId="38" xfId="0" applyNumberFormat="1" applyFont="1" applyFill="1" applyBorder="1" applyAlignment="1" applyProtection="1">
      <alignment horizontal="center" vertical="center"/>
      <protection hidden="1"/>
    </xf>
    <xf numFmtId="168" fontId="7" fillId="6" borderId="30" xfId="0" applyNumberFormat="1" applyFont="1" applyFill="1" applyBorder="1" applyAlignment="1" applyProtection="1">
      <alignment horizontal="center" vertical="center"/>
      <protection hidden="1"/>
    </xf>
    <xf numFmtId="168" fontId="14" fillId="0" borderId="9" xfId="0" applyNumberFormat="1" applyFont="1" applyBorder="1" applyAlignment="1" applyProtection="1">
      <alignment horizontal="center" vertical="center"/>
      <protection hidden="1"/>
    </xf>
    <xf numFmtId="178" fontId="14" fillId="0" borderId="0" xfId="0" applyNumberFormat="1" applyFont="1" applyAlignment="1" applyProtection="1">
      <alignment horizont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78" fontId="14" fillId="0" borderId="0" xfId="0" applyNumberFormat="1" applyFont="1" applyAlignment="1" applyProtection="1">
      <alignment horizontal="center" vertical="center"/>
      <protection hidden="1"/>
    </xf>
    <xf numFmtId="0" fontId="14" fillId="4" borderId="18" xfId="0" applyFont="1" applyFill="1" applyBorder="1" applyAlignment="1" applyProtection="1">
      <alignment horizontal="center" vertical="center"/>
      <protection hidden="1"/>
    </xf>
    <xf numFmtId="0" fontId="49" fillId="6" borderId="38" xfId="0" applyFont="1" applyFill="1" applyBorder="1" applyAlignment="1" applyProtection="1">
      <alignment horizontal="center" vertical="center" wrapText="1"/>
      <protection hidden="1"/>
    </xf>
    <xf numFmtId="14" fontId="14" fillId="5" borderId="63" xfId="0" applyNumberFormat="1" applyFont="1" applyFill="1" applyBorder="1" applyAlignment="1" applyProtection="1">
      <alignment horizontal="center" vertical="center"/>
      <protection hidden="1"/>
    </xf>
    <xf numFmtId="174" fontId="14" fillId="6" borderId="38" xfId="0" applyNumberFormat="1" applyFont="1" applyFill="1" applyBorder="1" applyAlignment="1" applyProtection="1">
      <alignment horizontal="center" vertical="center"/>
      <protection hidden="1"/>
    </xf>
    <xf numFmtId="1" fontId="14" fillId="6" borderId="41" xfId="0" applyNumberFormat="1" applyFont="1" applyFill="1" applyBorder="1" applyAlignment="1" applyProtection="1">
      <alignment vertical="center" wrapText="1"/>
      <protection hidden="1"/>
    </xf>
    <xf numFmtId="14" fontId="14" fillId="5" borderId="50" xfId="0" applyNumberFormat="1" applyFont="1" applyFill="1" applyBorder="1" applyAlignment="1" applyProtection="1">
      <alignment horizontal="center" vertical="center"/>
      <protection hidden="1"/>
    </xf>
    <xf numFmtId="174" fontId="14" fillId="6" borderId="4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textRotation="90" wrapText="1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hidden="1"/>
    </xf>
    <xf numFmtId="174" fontId="14" fillId="0" borderId="0" xfId="0" applyNumberFormat="1" applyFont="1" applyAlignment="1" applyProtection="1">
      <alignment horizontal="center" vertical="center"/>
      <protection hidden="1"/>
    </xf>
    <xf numFmtId="11" fontId="14" fillId="6" borderId="38" xfId="0" applyNumberFormat="1" applyFont="1" applyFill="1" applyBorder="1" applyAlignment="1" applyProtection="1">
      <alignment horizontal="center" vertical="center"/>
      <protection hidden="1"/>
    </xf>
    <xf numFmtId="178" fontId="14" fillId="5" borderId="38" xfId="0" applyNumberFormat="1" applyFont="1" applyFill="1" applyBorder="1" applyAlignment="1" applyProtection="1">
      <alignment horizontal="center" vertical="center"/>
      <protection hidden="1"/>
    </xf>
    <xf numFmtId="11" fontId="14" fillId="0" borderId="0" xfId="0" applyNumberFormat="1" applyFont="1" applyProtection="1">
      <protection hidden="1"/>
    </xf>
    <xf numFmtId="0" fontId="9" fillId="14" borderId="6" xfId="0" applyFont="1" applyFill="1" applyBorder="1" applyAlignment="1" applyProtection="1">
      <alignment horizontal="center" vertical="center" wrapText="1"/>
      <protection hidden="1"/>
    </xf>
    <xf numFmtId="14" fontId="13" fillId="23" borderId="38" xfId="0" applyNumberFormat="1" applyFont="1" applyFill="1" applyBorder="1" applyAlignment="1" applyProtection="1">
      <alignment horizontal="center" vertical="center" wrapText="1"/>
      <protection hidden="1"/>
    </xf>
    <xf numFmtId="0" fontId="13" fillId="23" borderId="9" xfId="0" applyFont="1" applyFill="1" applyBorder="1" applyAlignment="1" applyProtection="1">
      <alignment horizontal="center" vertical="center" wrapText="1"/>
      <protection hidden="1"/>
    </xf>
    <xf numFmtId="0" fontId="13" fillId="23" borderId="41" xfId="0" applyFont="1" applyFill="1" applyBorder="1" applyAlignment="1" applyProtection="1">
      <alignment horizontal="center" vertical="center" wrapText="1"/>
      <protection hidden="1"/>
    </xf>
    <xf numFmtId="0" fontId="14" fillId="5" borderId="72" xfId="0" applyFont="1" applyFill="1" applyBorder="1" applyAlignment="1" applyProtection="1">
      <alignment horizontal="center" vertical="center" wrapText="1"/>
      <protection hidden="1"/>
    </xf>
    <xf numFmtId="0" fontId="14" fillId="5" borderId="12" xfId="0" applyFont="1" applyFill="1" applyBorder="1" applyAlignment="1" applyProtection="1">
      <alignment horizontal="center" vertical="center"/>
      <protection hidden="1"/>
    </xf>
    <xf numFmtId="183" fontId="14" fillId="5" borderId="12" xfId="0" applyNumberFormat="1" applyFont="1" applyFill="1" applyBorder="1" applyAlignment="1" applyProtection="1">
      <alignment horizontal="center" vertical="center"/>
      <protection hidden="1"/>
    </xf>
    <xf numFmtId="164" fontId="14" fillId="5" borderId="57" xfId="0" applyNumberFormat="1" applyFont="1" applyFill="1" applyBorder="1" applyAlignment="1" applyProtection="1">
      <alignment horizontal="center" vertical="center"/>
      <protection hidden="1"/>
    </xf>
    <xf numFmtId="0" fontId="7" fillId="13" borderId="2" xfId="0" applyFont="1" applyFill="1" applyBorder="1" applyAlignment="1" applyProtection="1">
      <alignment horizontal="center" vertical="center" wrapText="1"/>
      <protection hidden="1"/>
    </xf>
    <xf numFmtId="0" fontId="7" fillId="13" borderId="10" xfId="0" applyFont="1" applyFill="1" applyBorder="1" applyAlignment="1" applyProtection="1">
      <alignment horizontal="center" vertical="center" wrapText="1"/>
      <protection hidden="1"/>
    </xf>
    <xf numFmtId="0" fontId="7" fillId="13" borderId="73" xfId="0" applyFont="1" applyFill="1" applyBorder="1" applyAlignment="1" applyProtection="1">
      <alignment horizontal="center" vertical="center" wrapText="1"/>
      <protection hidden="1"/>
    </xf>
    <xf numFmtId="0" fontId="7" fillId="13" borderId="49" xfId="0" applyFont="1" applyFill="1" applyBorder="1" applyAlignment="1" applyProtection="1">
      <alignment horizontal="center" vertical="center" wrapText="1"/>
      <protection hidden="1"/>
    </xf>
    <xf numFmtId="0" fontId="7" fillId="13" borderId="33" xfId="0" applyFont="1" applyFill="1" applyBorder="1" applyAlignment="1" applyProtection="1">
      <alignment horizontal="center" vertical="center" wrapText="1"/>
      <protection hidden="1"/>
    </xf>
    <xf numFmtId="0" fontId="7" fillId="13" borderId="53" xfId="0" applyFont="1" applyFill="1" applyBorder="1" applyAlignment="1" applyProtection="1">
      <alignment horizontal="center" vertical="center" wrapText="1"/>
      <protection hidden="1"/>
    </xf>
    <xf numFmtId="0" fontId="14" fillId="6" borderId="19" xfId="0" applyFont="1" applyFill="1" applyBorder="1" applyAlignment="1" applyProtection="1">
      <alignment horizontal="center" vertical="center" wrapText="1"/>
      <protection hidden="1"/>
    </xf>
    <xf numFmtId="0" fontId="7" fillId="13" borderId="74" xfId="0" applyFont="1" applyFill="1" applyBorder="1" applyAlignment="1" applyProtection="1">
      <alignment horizontal="center" vertical="center" wrapText="1"/>
      <protection hidden="1"/>
    </xf>
    <xf numFmtId="0" fontId="7" fillId="13" borderId="63" xfId="0" applyFont="1" applyFill="1" applyBorder="1" applyAlignment="1" applyProtection="1">
      <alignment horizontal="center" vertical="center" wrapText="1"/>
      <protection hidden="1"/>
    </xf>
    <xf numFmtId="0" fontId="16" fillId="16" borderId="63" xfId="0" applyFont="1" applyFill="1" applyBorder="1" applyAlignment="1" applyProtection="1">
      <alignment horizontal="center" vertical="center" wrapText="1"/>
      <protection hidden="1"/>
    </xf>
    <xf numFmtId="0" fontId="14" fillId="13" borderId="37" xfId="0" applyFont="1" applyFill="1" applyBorder="1" applyAlignment="1" applyProtection="1">
      <alignment horizontal="center" vertical="center" wrapText="1"/>
      <protection hidden="1"/>
    </xf>
    <xf numFmtId="169" fontId="14" fillId="12" borderId="39" xfId="0" applyNumberFormat="1" applyFont="1" applyFill="1" applyBorder="1" applyAlignment="1" applyProtection="1">
      <alignment horizontal="center" vertical="center" wrapText="1"/>
      <protection hidden="1"/>
    </xf>
    <xf numFmtId="1" fontId="14" fillId="12" borderId="30" xfId="0" applyNumberFormat="1" applyFont="1" applyFill="1" applyBorder="1" applyAlignment="1" applyProtection="1">
      <alignment vertical="center" wrapText="1"/>
      <protection hidden="1"/>
    </xf>
    <xf numFmtId="169" fontId="14" fillId="12" borderId="32" xfId="0" applyNumberFormat="1" applyFont="1" applyFill="1" applyBorder="1" applyAlignment="1" applyProtection="1">
      <alignment horizontal="center" vertical="center" wrapText="1"/>
      <protection hidden="1"/>
    </xf>
    <xf numFmtId="1" fontId="14" fillId="12" borderId="30" xfId="0" applyNumberFormat="1" applyFont="1" applyFill="1" applyBorder="1" applyAlignment="1" applyProtection="1">
      <alignment horizontal="center" vertical="center" wrapText="1"/>
      <protection hidden="1"/>
    </xf>
    <xf numFmtId="1" fontId="14" fillId="12" borderId="40" xfId="0" applyNumberFormat="1" applyFont="1" applyFill="1" applyBorder="1" applyAlignment="1" applyProtection="1">
      <alignment horizontal="center" vertical="center" wrapText="1"/>
      <protection hidden="1"/>
    </xf>
    <xf numFmtId="169" fontId="14" fillId="12" borderId="35" xfId="0" applyNumberFormat="1" applyFont="1" applyFill="1" applyBorder="1" applyAlignment="1" applyProtection="1">
      <alignment horizontal="center" vertical="center" wrapText="1"/>
      <protection hidden="1"/>
    </xf>
    <xf numFmtId="169" fontId="14" fillId="12" borderId="11" xfId="0" applyNumberFormat="1" applyFont="1" applyFill="1" applyBorder="1" applyAlignment="1" applyProtection="1">
      <alignment horizontal="center" vertical="center" wrapText="1"/>
      <protection hidden="1"/>
    </xf>
    <xf numFmtId="11" fontId="14" fillId="2" borderId="9" xfId="0" applyNumberFormat="1" applyFont="1" applyFill="1" applyBorder="1" applyAlignment="1" applyProtection="1">
      <alignment horizontal="center" vertical="center" wrapText="1"/>
      <protection hidden="1"/>
    </xf>
    <xf numFmtId="167" fontId="14" fillId="9" borderId="17" xfId="0" applyNumberFormat="1" applyFont="1" applyFill="1" applyBorder="1" applyAlignment="1" applyProtection="1">
      <alignment horizontal="center" vertical="center" wrapText="1"/>
      <protection hidden="1"/>
    </xf>
    <xf numFmtId="167" fontId="14" fillId="9" borderId="20" xfId="0" applyNumberFormat="1" applyFont="1" applyFill="1" applyBorder="1" applyAlignment="1" applyProtection="1">
      <alignment horizontal="center" vertical="center" wrapText="1"/>
      <protection hidden="1"/>
    </xf>
    <xf numFmtId="167" fontId="14" fillId="9" borderId="18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" xfId="0" applyNumberFormat="1" applyFont="1" applyFill="1" applyBorder="1" applyAlignment="1">
      <alignment horizontal="center" vertical="center" wrapText="1"/>
    </xf>
    <xf numFmtId="166" fontId="14" fillId="5" borderId="40" xfId="0" applyNumberFormat="1" applyFont="1" applyFill="1" applyBorder="1" applyAlignment="1" applyProtection="1">
      <alignment horizontal="center" vertical="center" wrapText="1"/>
      <protection hidden="1"/>
    </xf>
    <xf numFmtId="166" fontId="14" fillId="5" borderId="35" xfId="0" applyNumberFormat="1" applyFont="1" applyFill="1" applyBorder="1" applyAlignment="1" applyProtection="1">
      <alignment horizontal="center" vertical="center" wrapText="1"/>
      <protection hidden="1"/>
    </xf>
    <xf numFmtId="14" fontId="14" fillId="16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7" fillId="5" borderId="54" xfId="0" applyFont="1" applyFill="1" applyBorder="1" applyAlignment="1" applyProtection="1">
      <alignment horizontal="center" vertical="center" wrapText="1"/>
      <protection hidden="1"/>
    </xf>
    <xf numFmtId="2" fontId="7" fillId="5" borderId="35" xfId="0" applyNumberFormat="1" applyFont="1" applyFill="1" applyBorder="1" applyAlignment="1" applyProtection="1">
      <alignment horizontal="center" vertical="center" wrapText="1"/>
      <protection hidden="1"/>
    </xf>
    <xf numFmtId="0" fontId="14" fillId="27" borderId="64" xfId="0" applyFont="1" applyFill="1" applyBorder="1" applyAlignment="1" applyProtection="1">
      <alignment horizontal="center" vertical="center" wrapText="1"/>
      <protection hidden="1"/>
    </xf>
    <xf numFmtId="0" fontId="14" fillId="27" borderId="62" xfId="0" applyFont="1" applyFill="1" applyBorder="1" applyAlignment="1" applyProtection="1">
      <alignment horizontal="center" vertical="center" wrapText="1"/>
      <protection hidden="1"/>
    </xf>
    <xf numFmtId="0" fontId="14" fillId="27" borderId="65" xfId="0" applyFont="1" applyFill="1" applyBorder="1" applyAlignment="1" applyProtection="1">
      <alignment horizontal="center" vertical="center" wrapText="1"/>
      <protection hidden="1"/>
    </xf>
    <xf numFmtId="0" fontId="14" fillId="5" borderId="63" xfId="0" applyFont="1" applyFill="1" applyBorder="1" applyAlignment="1" applyProtection="1">
      <alignment horizontal="center" vertical="center"/>
      <protection hidden="1"/>
    </xf>
    <xf numFmtId="0" fontId="14" fillId="5" borderId="50" xfId="0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51" fillId="5" borderId="30" xfId="0" applyFont="1" applyFill="1" applyBorder="1" applyAlignment="1" applyProtection="1">
      <alignment horizontal="center" vertical="center"/>
      <protection hidden="1"/>
    </xf>
    <xf numFmtId="0" fontId="51" fillId="5" borderId="9" xfId="0" applyFont="1" applyFill="1" applyBorder="1" applyAlignment="1" applyProtection="1">
      <alignment horizontal="center" vertical="center"/>
      <protection hidden="1"/>
    </xf>
    <xf numFmtId="166" fontId="51" fillId="5" borderId="9" xfId="0" applyNumberFormat="1" applyFont="1" applyFill="1" applyBorder="1" applyAlignment="1" applyProtection="1">
      <alignment horizontal="center" vertical="center"/>
      <protection hidden="1"/>
    </xf>
    <xf numFmtId="0" fontId="51" fillId="5" borderId="11" xfId="0" applyFont="1" applyFill="1" applyBorder="1" applyAlignment="1" applyProtection="1">
      <alignment horizontal="center" vertical="center"/>
      <protection hidden="1"/>
    </xf>
    <xf numFmtId="167" fontId="51" fillId="5" borderId="40" xfId="0" applyNumberFormat="1" applyFont="1" applyFill="1" applyBorder="1" applyAlignment="1" applyProtection="1">
      <alignment horizontal="center" vertical="center"/>
      <protection hidden="1"/>
    </xf>
    <xf numFmtId="0" fontId="51" fillId="5" borderId="41" xfId="0" applyFont="1" applyFill="1" applyBorder="1" applyAlignment="1" applyProtection="1">
      <alignment horizontal="center" vertical="center"/>
      <protection hidden="1"/>
    </xf>
    <xf numFmtId="0" fontId="51" fillId="5" borderId="52" xfId="0" applyFont="1" applyFill="1" applyBorder="1" applyAlignment="1" applyProtection="1">
      <alignment horizontal="center" vertical="center"/>
      <protection hidden="1"/>
    </xf>
    <xf numFmtId="169" fontId="51" fillId="5" borderId="9" xfId="0" quotePrefix="1" applyNumberFormat="1" applyFont="1" applyFill="1" applyBorder="1" applyAlignment="1" applyProtection="1">
      <alignment horizontal="center" vertical="center"/>
      <protection hidden="1"/>
    </xf>
    <xf numFmtId="0" fontId="51" fillId="5" borderId="40" xfId="0" applyFont="1" applyFill="1" applyBorder="1" applyAlignment="1" applyProtection="1">
      <alignment horizontal="center" vertical="center"/>
      <protection hidden="1"/>
    </xf>
    <xf numFmtId="169" fontId="51" fillId="5" borderId="41" xfId="0" quotePrefix="1" applyNumberFormat="1" applyFont="1" applyFill="1" applyBorder="1" applyAlignment="1" applyProtection="1">
      <alignment horizontal="center" vertical="center"/>
      <protection hidden="1"/>
    </xf>
    <xf numFmtId="166" fontId="51" fillId="5" borderId="30" xfId="0" applyNumberFormat="1" applyFont="1" applyFill="1" applyBorder="1" applyAlignment="1" applyProtection="1">
      <alignment horizontal="center" vertical="center"/>
      <protection hidden="1"/>
    </xf>
    <xf numFmtId="169" fontId="51" fillId="5" borderId="9" xfId="0" quotePrefix="1" applyNumberFormat="1" applyFont="1" applyFill="1" applyBorder="1" applyAlignment="1" applyProtection="1">
      <alignment horizontal="center" vertical="center" wrapText="1"/>
      <protection hidden="1"/>
    </xf>
    <xf numFmtId="0" fontId="51" fillId="5" borderId="11" xfId="0" applyFont="1" applyFill="1" applyBorder="1" applyAlignment="1" applyProtection="1">
      <alignment horizontal="center" vertical="center" wrapText="1"/>
      <protection hidden="1"/>
    </xf>
    <xf numFmtId="166" fontId="51" fillId="5" borderId="40" xfId="0" applyNumberFormat="1" applyFont="1" applyFill="1" applyBorder="1" applyAlignment="1" applyProtection="1">
      <alignment horizontal="center" vertical="center"/>
      <protection hidden="1"/>
    </xf>
    <xf numFmtId="0" fontId="51" fillId="5" borderId="52" xfId="0" applyFont="1" applyFill="1" applyBorder="1" applyAlignment="1" applyProtection="1">
      <alignment horizontal="center" vertical="center" wrapText="1"/>
      <protection hidden="1"/>
    </xf>
    <xf numFmtId="169" fontId="51" fillId="5" borderId="41" xfId="0" quotePrefix="1" applyNumberFormat="1" applyFont="1" applyFill="1" applyBorder="1" applyAlignment="1" applyProtection="1">
      <alignment horizontal="center" vertical="center" wrapText="1"/>
      <protection hidden="1"/>
    </xf>
    <xf numFmtId="0" fontId="51" fillId="5" borderId="38" xfId="0" applyFont="1" applyFill="1" applyBorder="1" applyAlignment="1" applyProtection="1">
      <alignment horizontal="center" vertical="center"/>
      <protection hidden="1"/>
    </xf>
    <xf numFmtId="2" fontId="51" fillId="5" borderId="39" xfId="0" applyNumberFormat="1" applyFont="1" applyFill="1" applyBorder="1" applyAlignment="1" applyProtection="1">
      <alignment horizontal="center" vertical="center"/>
      <protection hidden="1"/>
    </xf>
    <xf numFmtId="2" fontId="51" fillId="5" borderId="35" xfId="0" applyNumberFormat="1" applyFont="1" applyFill="1" applyBorder="1" applyAlignment="1" applyProtection="1">
      <alignment horizontal="center" vertical="center"/>
      <protection hidden="1"/>
    </xf>
    <xf numFmtId="166" fontId="51" fillId="5" borderId="37" xfId="0" applyNumberFormat="1" applyFont="1" applyFill="1" applyBorder="1" applyAlignment="1" applyProtection="1">
      <alignment horizontal="center" vertical="center"/>
      <protection hidden="1"/>
    </xf>
    <xf numFmtId="166" fontId="51" fillId="5" borderId="38" xfId="0" applyNumberFormat="1" applyFont="1" applyFill="1" applyBorder="1" applyAlignment="1" applyProtection="1">
      <alignment horizontal="center" vertical="center"/>
      <protection hidden="1"/>
    </xf>
    <xf numFmtId="2" fontId="51" fillId="6" borderId="38" xfId="0" applyNumberFormat="1" applyFont="1" applyFill="1" applyBorder="1" applyAlignment="1" applyProtection="1">
      <alignment horizontal="center" vertical="center"/>
      <protection hidden="1"/>
    </xf>
    <xf numFmtId="169" fontId="51" fillId="5" borderId="38" xfId="0" applyNumberFormat="1" applyFont="1" applyFill="1" applyBorder="1" applyAlignment="1" applyProtection="1">
      <alignment horizontal="center" vertical="center"/>
      <protection hidden="1"/>
    </xf>
    <xf numFmtId="2" fontId="51" fillId="6" borderId="9" xfId="0" applyNumberFormat="1" applyFont="1" applyFill="1" applyBorder="1" applyAlignment="1" applyProtection="1">
      <alignment horizontal="center" vertical="center"/>
      <protection hidden="1"/>
    </xf>
    <xf numFmtId="169" fontId="51" fillId="5" borderId="9" xfId="0" applyNumberFormat="1" applyFont="1" applyFill="1" applyBorder="1" applyAlignment="1" applyProtection="1">
      <alignment horizontal="center" vertical="center"/>
      <protection hidden="1"/>
    </xf>
    <xf numFmtId="2" fontId="51" fillId="6" borderId="41" xfId="0" applyNumberFormat="1" applyFont="1" applyFill="1" applyBorder="1" applyAlignment="1" applyProtection="1">
      <alignment horizontal="center" vertical="center"/>
      <protection hidden="1"/>
    </xf>
    <xf numFmtId="169" fontId="51" fillId="5" borderId="41" xfId="0" applyNumberFormat="1" applyFont="1" applyFill="1" applyBorder="1" applyAlignment="1" applyProtection="1">
      <alignment horizontal="center" vertical="center"/>
      <protection hidden="1"/>
    </xf>
    <xf numFmtId="0" fontId="51" fillId="5" borderId="37" xfId="0" applyFont="1" applyFill="1" applyBorder="1" applyAlignment="1" applyProtection="1">
      <alignment horizontal="center" vertical="center"/>
      <protection hidden="1"/>
    </xf>
    <xf numFmtId="167" fontId="51" fillId="5" borderId="38" xfId="0" applyNumberFormat="1" applyFont="1" applyFill="1" applyBorder="1" applyAlignment="1" applyProtection="1">
      <alignment horizontal="center" vertical="center"/>
      <protection hidden="1"/>
    </xf>
    <xf numFmtId="167" fontId="51" fillId="5" borderId="29" xfId="0" applyNumberFormat="1" applyFont="1" applyFill="1" applyBorder="1" applyAlignment="1" applyProtection="1">
      <alignment horizontal="center" vertical="center" wrapText="1"/>
      <protection hidden="1"/>
    </xf>
    <xf numFmtId="169" fontId="51" fillId="5" borderId="38" xfId="0" quotePrefix="1" applyNumberFormat="1" applyFont="1" applyFill="1" applyBorder="1" applyAlignment="1" applyProtection="1">
      <alignment horizontal="center" vertical="center"/>
      <protection hidden="1"/>
    </xf>
    <xf numFmtId="167" fontId="51" fillId="5" borderId="9" xfId="0" applyNumberFormat="1" applyFont="1" applyFill="1" applyBorder="1" applyAlignment="1" applyProtection="1">
      <alignment horizontal="center" vertical="center"/>
      <protection hidden="1"/>
    </xf>
    <xf numFmtId="167" fontId="51" fillId="5" borderId="11" xfId="0" applyNumberFormat="1" applyFont="1" applyFill="1" applyBorder="1" applyAlignment="1" applyProtection="1">
      <alignment horizontal="center" vertical="center" wrapText="1"/>
      <protection hidden="1"/>
    </xf>
    <xf numFmtId="167" fontId="51" fillId="5" borderId="41" xfId="0" applyNumberFormat="1" applyFont="1" applyFill="1" applyBorder="1" applyAlignment="1" applyProtection="1">
      <alignment horizontal="center" vertical="center"/>
      <protection hidden="1"/>
    </xf>
    <xf numFmtId="167" fontId="51" fillId="5" borderId="52" xfId="0" applyNumberFormat="1" applyFont="1" applyFill="1" applyBorder="1" applyAlignment="1" applyProtection="1">
      <alignment horizontal="center" vertical="center" wrapText="1"/>
      <protection hidden="1"/>
    </xf>
    <xf numFmtId="0" fontId="51" fillId="5" borderId="29" xfId="0" applyFont="1" applyFill="1" applyBorder="1" applyAlignment="1" applyProtection="1">
      <alignment horizontal="center" vertical="center" wrapText="1"/>
      <protection hidden="1"/>
    </xf>
    <xf numFmtId="169" fontId="51" fillId="5" borderId="38" xfId="0" quotePrefix="1" applyNumberFormat="1" applyFont="1" applyFill="1" applyBorder="1" applyAlignment="1" applyProtection="1">
      <alignment horizontal="center" vertical="center" wrapText="1"/>
      <protection hidden="1"/>
    </xf>
    <xf numFmtId="167" fontId="51" fillId="5" borderId="37" xfId="0" applyNumberFormat="1" applyFont="1" applyFill="1" applyBorder="1" applyAlignment="1" applyProtection="1">
      <alignment horizontal="center" vertical="center"/>
      <protection hidden="1"/>
    </xf>
    <xf numFmtId="0" fontId="51" fillId="5" borderId="29" xfId="0" applyFont="1" applyFill="1" applyBorder="1" applyAlignment="1" applyProtection="1">
      <alignment horizontal="center" vertical="center"/>
      <protection hidden="1"/>
    </xf>
    <xf numFmtId="2" fontId="51" fillId="5" borderId="37" xfId="0" applyNumberFormat="1" applyFont="1" applyFill="1" applyBorder="1" applyAlignment="1" applyProtection="1">
      <alignment horizontal="center" vertical="center"/>
      <protection hidden="1"/>
    </xf>
    <xf numFmtId="2" fontId="51" fillId="5" borderId="30" xfId="0" applyNumberFormat="1" applyFont="1" applyFill="1" applyBorder="1" applyAlignment="1" applyProtection="1">
      <alignment horizontal="center" vertical="center"/>
      <protection hidden="1"/>
    </xf>
    <xf numFmtId="2" fontId="51" fillId="5" borderId="40" xfId="0" applyNumberFormat="1" applyFont="1" applyFill="1" applyBorder="1" applyAlignment="1" applyProtection="1">
      <alignment horizontal="center" vertical="center"/>
      <protection hidden="1"/>
    </xf>
    <xf numFmtId="0" fontId="51" fillId="5" borderId="39" xfId="0" applyFont="1" applyFill="1" applyBorder="1" applyAlignment="1" applyProtection="1">
      <alignment horizontal="center" vertical="center" wrapText="1"/>
      <protection hidden="1"/>
    </xf>
    <xf numFmtId="0" fontId="51" fillId="5" borderId="32" xfId="0" applyFont="1" applyFill="1" applyBorder="1" applyAlignment="1" applyProtection="1">
      <alignment horizontal="center" vertical="center" wrapText="1"/>
      <protection hidden="1"/>
    </xf>
    <xf numFmtId="167" fontId="51" fillId="5" borderId="72" xfId="0" applyNumberFormat="1" applyFont="1" applyFill="1" applyBorder="1" applyAlignment="1" applyProtection="1">
      <alignment horizontal="center" vertical="center"/>
      <protection hidden="1"/>
    </xf>
    <xf numFmtId="0" fontId="51" fillId="5" borderId="12" xfId="0" applyFont="1" applyFill="1" applyBorder="1" applyAlignment="1" applyProtection="1">
      <alignment horizontal="center" vertical="center"/>
      <protection hidden="1"/>
    </xf>
    <xf numFmtId="0" fontId="51" fillId="5" borderId="57" xfId="0" applyFont="1" applyFill="1" applyBorder="1" applyAlignment="1" applyProtection="1">
      <alignment horizontal="center" vertical="center" wrapText="1"/>
      <protection hidden="1"/>
    </xf>
    <xf numFmtId="0" fontId="53" fillId="4" borderId="20" xfId="0" applyFont="1" applyFill="1" applyBorder="1" applyAlignment="1" applyProtection="1">
      <alignment horizontal="center" vertical="center" wrapText="1"/>
      <protection hidden="1"/>
    </xf>
    <xf numFmtId="173" fontId="51" fillId="5" borderId="37" xfId="0" applyNumberFormat="1" applyFont="1" applyFill="1" applyBorder="1" applyAlignment="1" applyProtection="1">
      <alignment horizontal="center" vertical="center"/>
      <protection hidden="1"/>
    </xf>
    <xf numFmtId="166" fontId="51" fillId="5" borderId="39" xfId="0" applyNumberFormat="1" applyFont="1" applyFill="1" applyBorder="1" applyAlignment="1" applyProtection="1">
      <alignment horizontal="center" vertical="center"/>
      <protection hidden="1"/>
    </xf>
    <xf numFmtId="173" fontId="51" fillId="5" borderId="30" xfId="0" applyNumberFormat="1" applyFont="1" applyFill="1" applyBorder="1" applyAlignment="1" applyProtection="1">
      <alignment horizontal="center" vertical="center"/>
      <protection hidden="1"/>
    </xf>
    <xf numFmtId="0" fontId="51" fillId="5" borderId="32" xfId="0" applyFont="1" applyFill="1" applyBorder="1" applyAlignment="1" applyProtection="1">
      <alignment horizontal="center" vertical="center"/>
      <protection hidden="1"/>
    </xf>
    <xf numFmtId="166" fontId="51" fillId="5" borderId="41" xfId="0" applyNumberFormat="1" applyFont="1" applyFill="1" applyBorder="1" applyAlignment="1" applyProtection="1">
      <alignment horizontal="center" vertical="center"/>
      <protection hidden="1"/>
    </xf>
    <xf numFmtId="0" fontId="51" fillId="5" borderId="35" xfId="0" applyFont="1" applyFill="1" applyBorder="1" applyAlignment="1" applyProtection="1">
      <alignment horizontal="center" vertical="center"/>
      <protection hidden="1"/>
    </xf>
    <xf numFmtId="2" fontId="51" fillId="5" borderId="9" xfId="0" applyNumberFormat="1" applyFont="1" applyFill="1" applyBorder="1" applyAlignment="1" applyProtection="1">
      <alignment horizontal="center" vertical="center"/>
      <protection hidden="1"/>
    </xf>
    <xf numFmtId="0" fontId="14" fillId="11" borderId="37" xfId="0" applyFont="1" applyFill="1" applyBorder="1" applyAlignment="1" applyProtection="1">
      <alignment horizontal="center" vertical="center"/>
      <protection hidden="1"/>
    </xf>
    <xf numFmtId="0" fontId="14" fillId="11" borderId="38" xfId="0" applyFont="1" applyFill="1" applyBorder="1" applyAlignment="1" applyProtection="1">
      <alignment horizontal="center" vertical="center"/>
      <protection hidden="1"/>
    </xf>
    <xf numFmtId="167" fontId="14" fillId="11" borderId="38" xfId="0" applyNumberFormat="1" applyFont="1" applyFill="1" applyBorder="1" applyAlignment="1" applyProtection="1">
      <alignment horizontal="center" vertical="center"/>
      <protection hidden="1"/>
    </xf>
    <xf numFmtId="167" fontId="14" fillId="11" borderId="29" xfId="0" applyNumberFormat="1" applyFont="1" applyFill="1" applyBorder="1" applyAlignment="1" applyProtection="1">
      <alignment horizontal="center" vertical="center" wrapText="1"/>
      <protection hidden="1"/>
    </xf>
    <xf numFmtId="169" fontId="14" fillId="11" borderId="38" xfId="0" quotePrefix="1" applyNumberFormat="1" applyFont="1" applyFill="1" applyBorder="1" applyAlignment="1" applyProtection="1">
      <alignment horizontal="center" vertical="center" wrapText="1"/>
      <protection hidden="1"/>
    </xf>
    <xf numFmtId="167" fontId="14" fillId="11" borderId="30" xfId="0" applyNumberFormat="1" applyFont="1" applyFill="1" applyBorder="1" applyAlignment="1" applyProtection="1">
      <alignment horizontal="center" vertical="center"/>
      <protection hidden="1"/>
    </xf>
    <xf numFmtId="0" fontId="14" fillId="11" borderId="9" xfId="0" applyFont="1" applyFill="1" applyBorder="1" applyAlignment="1" applyProtection="1">
      <alignment horizontal="center" vertical="center"/>
      <protection hidden="1"/>
    </xf>
    <xf numFmtId="167" fontId="14" fillId="11" borderId="9" xfId="0" applyNumberFormat="1" applyFont="1" applyFill="1" applyBorder="1" applyAlignment="1" applyProtection="1">
      <alignment horizontal="center" vertical="center"/>
      <protection hidden="1"/>
    </xf>
    <xf numFmtId="167" fontId="14" fillId="11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30" xfId="0" applyFont="1" applyFill="1" applyBorder="1" applyAlignment="1" applyProtection="1">
      <alignment horizontal="center" vertical="center"/>
      <protection hidden="1"/>
    </xf>
    <xf numFmtId="169" fontId="14" fillId="11" borderId="9" xfId="0" quotePrefix="1" applyNumberFormat="1" applyFont="1" applyFill="1" applyBorder="1" applyAlignment="1" applyProtection="1">
      <alignment horizontal="center" vertical="center" wrapText="1"/>
      <protection hidden="1"/>
    </xf>
    <xf numFmtId="0" fontId="14" fillId="11" borderId="11" xfId="0" applyFont="1" applyFill="1" applyBorder="1" applyAlignment="1" applyProtection="1">
      <alignment horizontal="center" vertical="center" wrapText="1"/>
      <protection hidden="1"/>
    </xf>
    <xf numFmtId="166" fontId="14" fillId="11" borderId="30" xfId="0" applyNumberFormat="1" applyFont="1" applyFill="1" applyBorder="1" applyAlignment="1" applyProtection="1">
      <alignment horizontal="center" vertical="center"/>
      <protection hidden="1"/>
    </xf>
    <xf numFmtId="166" fontId="14" fillId="11" borderId="9" xfId="0" applyNumberFormat="1" applyFont="1" applyFill="1" applyBorder="1" applyAlignment="1" applyProtection="1">
      <alignment horizontal="center" vertical="center"/>
      <protection hidden="1"/>
    </xf>
    <xf numFmtId="0" fontId="45" fillId="11" borderId="11" xfId="0" applyFont="1" applyFill="1" applyBorder="1" applyAlignment="1" applyProtection="1">
      <alignment horizontal="center" vertical="center" wrapText="1"/>
      <protection hidden="1"/>
    </xf>
    <xf numFmtId="166" fontId="14" fillId="11" borderId="40" xfId="0" applyNumberFormat="1" applyFont="1" applyFill="1" applyBorder="1" applyAlignment="1" applyProtection="1">
      <alignment horizontal="center" vertical="center"/>
      <protection hidden="1"/>
    </xf>
    <xf numFmtId="0" fontId="14" fillId="11" borderId="41" xfId="0" applyFont="1" applyFill="1" applyBorder="1" applyAlignment="1" applyProtection="1">
      <alignment horizontal="center" vertical="center"/>
      <protection hidden="1"/>
    </xf>
    <xf numFmtId="0" fontId="45" fillId="11" borderId="52" xfId="0" applyFont="1" applyFill="1" applyBorder="1" applyAlignment="1" applyProtection="1">
      <alignment horizontal="center" vertical="center" wrapText="1"/>
      <protection hidden="1"/>
    </xf>
    <xf numFmtId="0" fontId="14" fillId="11" borderId="40" xfId="0" applyFont="1" applyFill="1" applyBorder="1" applyAlignment="1" applyProtection="1">
      <alignment horizontal="center" vertical="center"/>
      <protection hidden="1"/>
    </xf>
    <xf numFmtId="169" fontId="14" fillId="11" borderId="41" xfId="0" quotePrefix="1" applyNumberFormat="1" applyFont="1" applyFill="1" applyBorder="1" applyAlignment="1" applyProtection="1">
      <alignment horizontal="center" vertical="center" wrapText="1"/>
      <protection hidden="1"/>
    </xf>
    <xf numFmtId="172" fontId="51" fillId="5" borderId="38" xfId="0" applyNumberFormat="1" applyFont="1" applyFill="1" applyBorder="1" applyAlignment="1" applyProtection="1">
      <alignment horizontal="center" vertical="center" wrapText="1"/>
      <protection hidden="1"/>
    </xf>
    <xf numFmtId="173" fontId="51" fillId="5" borderId="38" xfId="0" applyNumberFormat="1" applyFont="1" applyFill="1" applyBorder="1" applyAlignment="1" applyProtection="1">
      <alignment horizontal="center" vertical="center" wrapText="1"/>
      <protection hidden="1"/>
    </xf>
    <xf numFmtId="173" fontId="51" fillId="5" borderId="29" xfId="0" applyNumberFormat="1" applyFont="1" applyFill="1" applyBorder="1" applyAlignment="1" applyProtection="1">
      <alignment horizontal="center" vertical="center" wrapText="1"/>
      <protection hidden="1"/>
    </xf>
    <xf numFmtId="172" fontId="51" fillId="5" borderId="9" xfId="0" applyNumberFormat="1" applyFont="1" applyFill="1" applyBorder="1" applyAlignment="1" applyProtection="1">
      <alignment horizontal="center" vertical="center" wrapText="1"/>
      <protection hidden="1"/>
    </xf>
    <xf numFmtId="173" fontId="51" fillId="5" borderId="9" xfId="0" applyNumberFormat="1" applyFont="1" applyFill="1" applyBorder="1" applyAlignment="1" applyProtection="1">
      <alignment horizontal="center" vertical="center" wrapText="1"/>
      <protection hidden="1"/>
    </xf>
    <xf numFmtId="172" fontId="51" fillId="5" borderId="41" xfId="0" applyNumberFormat="1" applyFont="1" applyFill="1" applyBorder="1" applyAlignment="1" applyProtection="1">
      <alignment horizontal="center" vertical="center" wrapText="1"/>
      <protection hidden="1"/>
    </xf>
    <xf numFmtId="173" fontId="51" fillId="5" borderId="41" xfId="0" applyNumberFormat="1" applyFont="1" applyFill="1" applyBorder="1" applyAlignment="1" applyProtection="1">
      <alignment horizontal="center" vertical="center" wrapText="1"/>
      <protection hidden="1"/>
    </xf>
    <xf numFmtId="169" fontId="51" fillId="5" borderId="38" xfId="0" quotePrefix="1" applyNumberFormat="1" applyFont="1" applyFill="1" applyBorder="1" applyAlignment="1">
      <alignment horizontal="center" vertical="center" wrapText="1"/>
    </xf>
    <xf numFmtId="169" fontId="51" fillId="5" borderId="9" xfId="0" quotePrefix="1" applyNumberFormat="1" applyFont="1" applyFill="1" applyBorder="1" applyAlignment="1">
      <alignment horizontal="center" vertical="center" wrapText="1"/>
    </xf>
    <xf numFmtId="0" fontId="51" fillId="5" borderId="35" xfId="0" applyFont="1" applyFill="1" applyBorder="1" applyAlignment="1" applyProtection="1">
      <alignment horizontal="center" vertical="center" wrapText="1"/>
      <protection hidden="1"/>
    </xf>
    <xf numFmtId="169" fontId="51" fillId="5" borderId="41" xfId="0" quotePrefix="1" applyNumberFormat="1" applyFont="1" applyFill="1" applyBorder="1" applyAlignment="1">
      <alignment horizontal="center" vertical="center" wrapText="1"/>
    </xf>
    <xf numFmtId="167" fontId="51" fillId="5" borderId="39" xfId="0" applyNumberFormat="1" applyFont="1" applyFill="1" applyBorder="1" applyAlignment="1" applyProtection="1">
      <alignment horizontal="center" vertical="center" wrapText="1"/>
      <protection hidden="1"/>
    </xf>
    <xf numFmtId="167" fontId="51" fillId="5" borderId="30" xfId="0" applyNumberFormat="1" applyFont="1" applyFill="1" applyBorder="1" applyAlignment="1" applyProtection="1">
      <alignment horizontal="center" vertical="center"/>
      <protection hidden="1"/>
    </xf>
    <xf numFmtId="167" fontId="51" fillId="5" borderId="32" xfId="0" applyNumberFormat="1" applyFont="1" applyFill="1" applyBorder="1" applyAlignment="1" applyProtection="1">
      <alignment horizontal="center" vertical="center" wrapText="1"/>
      <protection hidden="1"/>
    </xf>
    <xf numFmtId="167" fontId="51" fillId="5" borderId="35" xfId="0" applyNumberFormat="1" applyFont="1" applyFill="1" applyBorder="1" applyAlignment="1" applyProtection="1">
      <alignment horizontal="center" vertical="center" wrapText="1"/>
      <protection hidden="1"/>
    </xf>
    <xf numFmtId="0" fontId="51" fillId="5" borderId="69" xfId="0" applyFont="1" applyFill="1" applyBorder="1" applyAlignment="1" applyProtection="1">
      <alignment horizontal="center" vertical="center"/>
      <protection hidden="1"/>
    </xf>
    <xf numFmtId="0" fontId="51" fillId="5" borderId="16" xfId="0" applyFont="1" applyFill="1" applyBorder="1" applyAlignment="1" applyProtection="1">
      <alignment horizontal="center" vertical="center"/>
      <protection hidden="1"/>
    </xf>
    <xf numFmtId="167" fontId="51" fillId="5" borderId="16" xfId="0" applyNumberFormat="1" applyFont="1" applyFill="1" applyBorder="1" applyAlignment="1" applyProtection="1">
      <alignment horizontal="center" vertical="center"/>
      <protection hidden="1"/>
    </xf>
    <xf numFmtId="0" fontId="51" fillId="5" borderId="50" xfId="0" applyFont="1" applyFill="1" applyBorder="1" applyAlignment="1" applyProtection="1">
      <alignment horizontal="center" vertical="center"/>
      <protection hidden="1"/>
    </xf>
    <xf numFmtId="167" fontId="51" fillId="5" borderId="50" xfId="0" applyNumberFormat="1" applyFont="1" applyFill="1" applyBorder="1" applyAlignment="1" applyProtection="1">
      <alignment horizontal="center" vertical="center"/>
      <protection hidden="1"/>
    </xf>
    <xf numFmtId="0" fontId="51" fillId="5" borderId="72" xfId="0" applyFont="1" applyFill="1" applyBorder="1" applyAlignment="1" applyProtection="1">
      <alignment horizontal="center" vertical="center"/>
      <protection hidden="1"/>
    </xf>
    <xf numFmtId="169" fontId="51" fillId="5" borderId="12" xfId="0" quotePrefix="1" applyNumberFormat="1" applyFont="1" applyFill="1" applyBorder="1" applyAlignment="1" applyProtection="1">
      <alignment horizontal="center" vertical="center"/>
      <protection hidden="1"/>
    </xf>
    <xf numFmtId="2" fontId="51" fillId="5" borderId="38" xfId="0" applyNumberFormat="1" applyFont="1" applyFill="1" applyBorder="1" applyAlignment="1" applyProtection="1">
      <alignment horizontal="center" vertical="center"/>
      <protection hidden="1"/>
    </xf>
    <xf numFmtId="167" fontId="51" fillId="6" borderId="38" xfId="0" applyNumberFormat="1" applyFont="1" applyFill="1" applyBorder="1" applyAlignment="1" applyProtection="1">
      <alignment horizontal="center" vertical="center"/>
      <protection hidden="1"/>
    </xf>
    <xf numFmtId="169" fontId="51" fillId="5" borderId="39" xfId="0" applyNumberFormat="1" applyFont="1" applyFill="1" applyBorder="1" applyAlignment="1" applyProtection="1">
      <alignment horizontal="center" vertical="center"/>
      <protection hidden="1"/>
    </xf>
    <xf numFmtId="167" fontId="51" fillId="6" borderId="9" xfId="0" applyNumberFormat="1" applyFont="1" applyFill="1" applyBorder="1" applyAlignment="1" applyProtection="1">
      <alignment horizontal="center" vertical="center"/>
      <protection hidden="1"/>
    </xf>
    <xf numFmtId="169" fontId="51" fillId="5" borderId="32" xfId="0" applyNumberFormat="1" applyFont="1" applyFill="1" applyBorder="1" applyAlignment="1" applyProtection="1">
      <alignment horizontal="center" vertical="center"/>
      <protection hidden="1"/>
    </xf>
    <xf numFmtId="2" fontId="51" fillId="5" borderId="41" xfId="0" applyNumberFormat="1" applyFont="1" applyFill="1" applyBorder="1" applyAlignment="1" applyProtection="1">
      <alignment horizontal="center" vertical="center"/>
      <protection hidden="1"/>
    </xf>
    <xf numFmtId="167" fontId="51" fillId="6" borderId="41" xfId="0" applyNumberFormat="1" applyFont="1" applyFill="1" applyBorder="1" applyAlignment="1" applyProtection="1">
      <alignment horizontal="center" vertical="center"/>
      <protection hidden="1"/>
    </xf>
    <xf numFmtId="169" fontId="51" fillId="5" borderId="35" xfId="0" applyNumberFormat="1" applyFont="1" applyFill="1" applyBorder="1" applyAlignment="1" applyProtection="1">
      <alignment horizontal="center" vertical="center"/>
      <protection hidden="1"/>
    </xf>
    <xf numFmtId="0" fontId="51" fillId="5" borderId="39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locked="0"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166" fontId="1" fillId="0" borderId="0" xfId="0" applyNumberFormat="1" applyFont="1" applyAlignment="1" applyProtection="1">
      <alignment vertical="center" wrapText="1"/>
      <protection hidden="1"/>
    </xf>
    <xf numFmtId="2" fontId="1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14" fontId="51" fillId="5" borderId="39" xfId="0" quotePrefix="1" applyNumberFormat="1" applyFont="1" applyFill="1" applyBorder="1" applyAlignment="1" applyProtection="1">
      <alignment horizontal="center" vertical="center" wrapText="1"/>
      <protection hidden="1"/>
    </xf>
    <xf numFmtId="0" fontId="52" fillId="5" borderId="32" xfId="0" applyFont="1" applyFill="1" applyBorder="1" applyAlignment="1" applyProtection="1">
      <alignment horizontal="center" vertical="center" wrapText="1"/>
      <protection hidden="1"/>
    </xf>
    <xf numFmtId="0" fontId="52" fillId="5" borderId="35" xfId="0" applyFont="1" applyFill="1" applyBorder="1" applyAlignment="1" applyProtection="1">
      <alignment horizontal="center" vertical="center" wrapText="1"/>
      <protection hidden="1"/>
    </xf>
    <xf numFmtId="3" fontId="14" fillId="27" borderId="68" xfId="0" applyNumberFormat="1" applyFont="1" applyFill="1" applyBorder="1" applyAlignment="1" applyProtection="1">
      <alignment horizontal="center" vertical="center" wrapText="1"/>
      <protection hidden="1"/>
    </xf>
    <xf numFmtId="3" fontId="14" fillId="27" borderId="48" xfId="0" applyNumberFormat="1" applyFont="1" applyFill="1" applyBorder="1" applyAlignment="1" applyProtection="1">
      <alignment horizontal="center" vertical="center" wrapText="1"/>
      <protection hidden="1"/>
    </xf>
    <xf numFmtId="3" fontId="14" fillId="27" borderId="42" xfId="0" applyNumberFormat="1" applyFont="1" applyFill="1" applyBorder="1" applyAlignment="1" applyProtection="1">
      <alignment horizontal="center" vertical="center" wrapText="1"/>
      <protection hidden="1"/>
    </xf>
    <xf numFmtId="0" fontId="13" fillId="23" borderId="30" xfId="0" applyFont="1" applyFill="1" applyBorder="1" applyAlignment="1" applyProtection="1">
      <alignment horizontal="center" vertical="center" wrapText="1"/>
      <protection hidden="1"/>
    </xf>
    <xf numFmtId="0" fontId="13" fillId="23" borderId="9" xfId="0" applyFont="1" applyFill="1" applyBorder="1" applyAlignment="1" applyProtection="1">
      <alignment horizontal="center" vertical="center" wrapText="1"/>
      <protection hidden="1"/>
    </xf>
    <xf numFmtId="0" fontId="13" fillId="23" borderId="11" xfId="0" applyFont="1" applyFill="1" applyBorder="1" applyAlignment="1" applyProtection="1">
      <alignment horizontal="center" vertical="center" wrapText="1"/>
      <protection hidden="1"/>
    </xf>
    <xf numFmtId="0" fontId="13" fillId="23" borderId="13" xfId="0" applyFont="1" applyFill="1" applyBorder="1" applyAlignment="1" applyProtection="1">
      <alignment horizontal="center" vertical="center" wrapText="1"/>
      <protection hidden="1"/>
    </xf>
    <xf numFmtId="1" fontId="13" fillId="23" borderId="9" xfId="0" applyNumberFormat="1" applyFont="1" applyFill="1" applyBorder="1" applyAlignment="1" applyProtection="1">
      <alignment horizontal="center" vertical="center" wrapText="1"/>
      <protection hidden="1"/>
    </xf>
    <xf numFmtId="0" fontId="13" fillId="23" borderId="32" xfId="0" applyFont="1" applyFill="1" applyBorder="1" applyAlignment="1" applyProtection="1">
      <alignment horizontal="center" vertical="center" wrapText="1"/>
      <protection hidden="1"/>
    </xf>
    <xf numFmtId="0" fontId="7" fillId="27" borderId="2" xfId="0" applyFont="1" applyFill="1" applyBorder="1" applyAlignment="1" applyProtection="1">
      <alignment horizontal="center" vertical="center" textRotation="90" wrapText="1"/>
      <protection hidden="1"/>
    </xf>
    <xf numFmtId="0" fontId="7" fillId="27" borderId="10" xfId="0" applyFont="1" applyFill="1" applyBorder="1" applyAlignment="1" applyProtection="1">
      <alignment horizontal="center" vertical="center" textRotation="90" wrapText="1"/>
      <protection hidden="1"/>
    </xf>
    <xf numFmtId="0" fontId="7" fillId="27" borderId="44" xfId="0" applyFont="1" applyFill="1" applyBorder="1" applyAlignment="1" applyProtection="1">
      <alignment horizontal="center" vertical="center" textRotation="90" wrapText="1"/>
      <protection hidden="1"/>
    </xf>
    <xf numFmtId="0" fontId="7" fillId="27" borderId="10" xfId="0" applyFont="1" applyFill="1" applyBorder="1" applyAlignment="1" applyProtection="1">
      <alignment horizontal="center" vertical="center"/>
      <protection hidden="1"/>
    </xf>
    <xf numFmtId="0" fontId="7" fillId="27" borderId="0" xfId="0" applyFont="1" applyFill="1" applyAlignment="1" applyProtection="1">
      <alignment horizontal="center" vertical="center"/>
      <protection hidden="1"/>
    </xf>
    <xf numFmtId="0" fontId="7" fillId="26" borderId="2" xfId="0" applyFont="1" applyFill="1" applyBorder="1" applyAlignment="1" applyProtection="1">
      <alignment horizontal="center" vertical="center" wrapText="1"/>
      <protection hidden="1"/>
    </xf>
    <xf numFmtId="0" fontId="7" fillId="26" borderId="3" xfId="0" applyFont="1" applyFill="1" applyBorder="1" applyAlignment="1" applyProtection="1">
      <alignment horizontal="center" vertical="center" wrapText="1"/>
      <protection hidden="1"/>
    </xf>
    <xf numFmtId="0" fontId="7" fillId="26" borderId="10" xfId="0" applyFont="1" applyFill="1" applyBorder="1" applyAlignment="1" applyProtection="1">
      <alignment horizontal="center" vertical="center" wrapText="1"/>
      <protection hidden="1"/>
    </xf>
    <xf numFmtId="0" fontId="7" fillId="26" borderId="0" xfId="0" applyFont="1" applyFill="1" applyAlignment="1" applyProtection="1">
      <alignment horizontal="center" vertical="center" wrapText="1"/>
      <protection hidden="1"/>
    </xf>
    <xf numFmtId="0" fontId="7" fillId="26" borderId="44" xfId="0" applyFont="1" applyFill="1" applyBorder="1" applyAlignment="1" applyProtection="1">
      <alignment horizontal="center" vertical="center" wrapText="1"/>
      <protection hidden="1"/>
    </xf>
    <xf numFmtId="0" fontId="7" fillId="26" borderId="5" xfId="0" applyFont="1" applyFill="1" applyBorder="1" applyAlignment="1" applyProtection="1">
      <alignment horizontal="center" vertical="center" wrapText="1"/>
      <protection hidden="1"/>
    </xf>
    <xf numFmtId="169" fontId="51" fillId="5" borderId="39" xfId="0" quotePrefix="1" applyNumberFormat="1" applyFont="1" applyFill="1" applyBorder="1" applyAlignment="1" applyProtection="1">
      <alignment horizontal="center" vertical="center" wrapText="1"/>
      <protection hidden="1"/>
    </xf>
    <xf numFmtId="169" fontId="14" fillId="11" borderId="32" xfId="0" quotePrefix="1" applyNumberFormat="1" applyFont="1" applyFill="1" applyBorder="1" applyAlignment="1" applyProtection="1">
      <alignment horizontal="center" vertical="center" wrapText="1"/>
      <protection hidden="1"/>
    </xf>
    <xf numFmtId="0" fontId="45" fillId="11" borderId="32" xfId="0" applyFont="1" applyFill="1" applyBorder="1" applyAlignment="1" applyProtection="1">
      <alignment horizontal="center" vertical="center" wrapText="1"/>
      <protection hidden="1"/>
    </xf>
    <xf numFmtId="0" fontId="45" fillId="11" borderId="35" xfId="0" applyFont="1" applyFill="1" applyBorder="1" applyAlignment="1" applyProtection="1">
      <alignment horizontal="center" vertical="center" wrapText="1"/>
      <protection hidden="1"/>
    </xf>
    <xf numFmtId="0" fontId="51" fillId="5" borderId="39" xfId="0" quotePrefix="1" applyFont="1" applyFill="1" applyBorder="1" applyAlignment="1">
      <alignment horizontal="center" vertical="center"/>
    </xf>
    <xf numFmtId="0" fontId="51" fillId="5" borderId="32" xfId="0" applyFont="1" applyFill="1" applyBorder="1" applyAlignment="1">
      <alignment horizontal="center" vertical="center"/>
    </xf>
    <xf numFmtId="0" fontId="51" fillId="5" borderId="35" xfId="0" applyFont="1" applyFill="1" applyBorder="1" applyAlignment="1">
      <alignment horizontal="center" vertical="center"/>
    </xf>
    <xf numFmtId="14" fontId="51" fillId="5" borderId="39" xfId="0" quotePrefix="1" applyNumberFormat="1" applyFont="1" applyFill="1" applyBorder="1" applyAlignment="1">
      <alignment horizontal="center" vertical="center"/>
    </xf>
    <xf numFmtId="14" fontId="51" fillId="5" borderId="32" xfId="0" applyNumberFormat="1" applyFont="1" applyFill="1" applyBorder="1" applyAlignment="1">
      <alignment horizontal="center" vertical="center"/>
    </xf>
    <xf numFmtId="14" fontId="51" fillId="5" borderId="35" xfId="0" applyNumberFormat="1" applyFont="1" applyFill="1" applyBorder="1" applyAlignment="1">
      <alignment horizontal="center" vertical="center"/>
    </xf>
    <xf numFmtId="0" fontId="7" fillId="26" borderId="30" xfId="0" applyFont="1" applyFill="1" applyBorder="1" applyAlignment="1" applyProtection="1">
      <alignment horizontal="center" vertical="center"/>
      <protection hidden="1"/>
    </xf>
    <xf numFmtId="0" fontId="7" fillId="26" borderId="11" xfId="0" applyFont="1" applyFill="1" applyBorder="1" applyAlignment="1" applyProtection="1">
      <alignment horizontal="center" vertical="center"/>
      <protection hidden="1"/>
    </xf>
    <xf numFmtId="0" fontId="51" fillId="5" borderId="39" xfId="0" quotePrefix="1" applyFont="1" applyFill="1" applyBorder="1" applyAlignment="1" applyProtection="1">
      <alignment horizontal="center" vertical="center" wrapText="1"/>
      <protection hidden="1"/>
    </xf>
    <xf numFmtId="0" fontId="7" fillId="26" borderId="40" xfId="0" applyFont="1" applyFill="1" applyBorder="1" applyAlignment="1" applyProtection="1">
      <alignment horizontal="center" vertical="center"/>
      <protection hidden="1"/>
    </xf>
    <xf numFmtId="0" fontId="7" fillId="26" borderId="52" xfId="0" applyFont="1" applyFill="1" applyBorder="1" applyAlignment="1" applyProtection="1">
      <alignment horizontal="center" vertical="center"/>
      <protection hidden="1"/>
    </xf>
    <xf numFmtId="0" fontId="14" fillId="11" borderId="39" xfId="0" quotePrefix="1" applyFont="1" applyFill="1" applyBorder="1" applyAlignment="1" applyProtection="1">
      <alignment horizontal="center" vertical="center" wrapText="1"/>
      <protection hidden="1"/>
    </xf>
    <xf numFmtId="0" fontId="7" fillId="26" borderId="37" xfId="0" applyFont="1" applyFill="1" applyBorder="1" applyAlignment="1" applyProtection="1">
      <alignment horizontal="center" vertical="center"/>
      <protection hidden="1"/>
    </xf>
    <xf numFmtId="0" fontId="14" fillId="26" borderId="29" xfId="0" applyFont="1" applyFill="1" applyBorder="1" applyAlignment="1" applyProtection="1">
      <alignment horizontal="center" vertical="center"/>
      <protection hidden="1"/>
    </xf>
    <xf numFmtId="0" fontId="14" fillId="26" borderId="30" xfId="0" applyFont="1" applyFill="1" applyBorder="1" applyAlignment="1" applyProtection="1">
      <alignment horizontal="center" vertical="center"/>
      <protection hidden="1"/>
    </xf>
    <xf numFmtId="0" fontId="14" fillId="26" borderId="11" xfId="0" applyFont="1" applyFill="1" applyBorder="1" applyAlignment="1" applyProtection="1">
      <alignment horizontal="center" vertical="center"/>
      <protection hidden="1"/>
    </xf>
    <xf numFmtId="0" fontId="14" fillId="11" borderId="32" xfId="0" quotePrefix="1" applyFont="1" applyFill="1" applyBorder="1" applyAlignment="1" applyProtection="1">
      <alignment horizontal="center" vertical="center" wrapText="1"/>
      <protection hidden="1"/>
    </xf>
    <xf numFmtId="0" fontId="13" fillId="23" borderId="40" xfId="0" applyFont="1" applyFill="1" applyBorder="1" applyAlignment="1" applyProtection="1">
      <alignment horizontal="center" vertical="center" wrapText="1"/>
      <protection hidden="1"/>
    </xf>
    <xf numFmtId="0" fontId="13" fillId="23" borderId="41" xfId="0" applyFont="1" applyFill="1" applyBorder="1" applyAlignment="1" applyProtection="1">
      <alignment horizontal="center" vertical="center" wrapText="1"/>
      <protection hidden="1"/>
    </xf>
    <xf numFmtId="0" fontId="13" fillId="23" borderId="52" xfId="0" applyFont="1" applyFill="1" applyBorder="1" applyAlignment="1" applyProtection="1">
      <alignment horizontal="center" vertical="center" wrapText="1"/>
      <protection hidden="1"/>
    </xf>
    <xf numFmtId="0" fontId="13" fillId="23" borderId="54" xfId="0" applyFont="1" applyFill="1" applyBorder="1" applyAlignment="1" applyProtection="1">
      <alignment horizontal="center" vertical="center" wrapText="1"/>
      <protection hidden="1"/>
    </xf>
    <xf numFmtId="1" fontId="13" fillId="23" borderId="52" xfId="0" applyNumberFormat="1" applyFont="1" applyFill="1" applyBorder="1" applyAlignment="1" applyProtection="1">
      <alignment horizontal="center" vertical="center" wrapText="1"/>
      <protection hidden="1"/>
    </xf>
    <xf numFmtId="1" fontId="13" fillId="23" borderId="54" xfId="0" applyNumberFormat="1" applyFont="1" applyFill="1" applyBorder="1" applyAlignment="1" applyProtection="1">
      <alignment horizontal="center" vertical="center" wrapText="1"/>
      <protection hidden="1"/>
    </xf>
    <xf numFmtId="0" fontId="13" fillId="23" borderId="35" xfId="0" applyFont="1" applyFill="1" applyBorder="1" applyAlignment="1" applyProtection="1">
      <alignment horizontal="center" vertical="center" wrapText="1"/>
      <protection hidden="1"/>
    </xf>
    <xf numFmtId="0" fontId="9" fillId="14" borderId="6" xfId="0" applyFont="1" applyFill="1" applyBorder="1" applyAlignment="1" applyProtection="1">
      <alignment horizontal="center" vertical="center" wrapText="1"/>
      <protection hidden="1"/>
    </xf>
    <xf numFmtId="0" fontId="9" fillId="14" borderId="7" xfId="0" applyFont="1" applyFill="1" applyBorder="1" applyAlignment="1" applyProtection="1">
      <alignment horizontal="center" vertical="center" wrapText="1"/>
      <protection hidden="1"/>
    </xf>
    <xf numFmtId="0" fontId="9" fillId="14" borderId="8" xfId="0" applyFont="1" applyFill="1" applyBorder="1" applyAlignment="1" applyProtection="1">
      <alignment horizontal="center" vertical="center" wrapText="1"/>
      <protection hidden="1"/>
    </xf>
    <xf numFmtId="0" fontId="13" fillId="23" borderId="37" xfId="0" applyFont="1" applyFill="1" applyBorder="1" applyAlignment="1" applyProtection="1">
      <alignment horizontal="center" vertical="center" wrapText="1"/>
      <protection hidden="1"/>
    </xf>
    <xf numFmtId="0" fontId="13" fillId="23" borderId="38" xfId="0" applyFont="1" applyFill="1" applyBorder="1" applyAlignment="1" applyProtection="1">
      <alignment horizontal="center" vertical="center" wrapText="1"/>
      <protection hidden="1"/>
    </xf>
    <xf numFmtId="0" fontId="13" fillId="23" borderId="29" xfId="0" applyFont="1" applyFill="1" applyBorder="1" applyAlignment="1" applyProtection="1">
      <alignment horizontal="center" vertical="center" wrapText="1"/>
      <protection hidden="1"/>
    </xf>
    <xf numFmtId="0" fontId="13" fillId="23" borderId="45" xfId="0" applyFont="1" applyFill="1" applyBorder="1" applyAlignment="1" applyProtection="1">
      <alignment horizontal="center" vertical="center" wrapText="1"/>
      <protection hidden="1"/>
    </xf>
    <xf numFmtId="14" fontId="13" fillId="23" borderId="38" xfId="0" applyNumberFormat="1" applyFont="1" applyFill="1" applyBorder="1" applyAlignment="1" applyProtection="1">
      <alignment horizontal="center" vertical="center" wrapText="1"/>
      <protection hidden="1"/>
    </xf>
    <xf numFmtId="0" fontId="13" fillId="23" borderId="39" xfId="0" applyFont="1" applyFill="1" applyBorder="1" applyAlignment="1" applyProtection="1">
      <alignment horizontal="center" vertical="center" wrapText="1"/>
      <protection hidden="1"/>
    </xf>
    <xf numFmtId="0" fontId="14" fillId="27" borderId="69" xfId="0" applyFont="1" applyFill="1" applyBorder="1" applyAlignment="1" applyProtection="1">
      <alignment horizontal="center" vertical="center"/>
      <protection hidden="1"/>
    </xf>
    <xf numFmtId="0" fontId="14" fillId="27" borderId="61" xfId="0" applyFont="1" applyFill="1" applyBorder="1" applyAlignment="1" applyProtection="1">
      <alignment horizontal="center" vertical="center"/>
      <protection hidden="1"/>
    </xf>
    <xf numFmtId="0" fontId="14" fillId="27" borderId="71" xfId="0" applyFont="1" applyFill="1" applyBorder="1" applyAlignment="1" applyProtection="1">
      <alignment horizontal="center" vertical="center"/>
      <protection hidden="1"/>
    </xf>
    <xf numFmtId="14" fontId="51" fillId="5" borderId="63" xfId="0" applyNumberFormat="1" applyFont="1" applyFill="1" applyBorder="1" applyAlignment="1" applyProtection="1">
      <alignment horizontal="center" vertical="center"/>
      <protection hidden="1"/>
    </xf>
    <xf numFmtId="14" fontId="51" fillId="5" borderId="14" xfId="0" applyNumberFormat="1" applyFont="1" applyFill="1" applyBorder="1" applyAlignment="1" applyProtection="1">
      <alignment horizontal="center" vertical="center"/>
      <protection hidden="1"/>
    </xf>
    <xf numFmtId="14" fontId="51" fillId="5" borderId="50" xfId="0" applyNumberFormat="1" applyFont="1" applyFill="1" applyBorder="1" applyAlignment="1" applyProtection="1">
      <alignment horizontal="center" vertical="center"/>
      <protection hidden="1"/>
    </xf>
    <xf numFmtId="0" fontId="31" fillId="14" borderId="6" xfId="0" applyFont="1" applyFill="1" applyBorder="1" applyAlignment="1" applyProtection="1">
      <alignment horizontal="center" vertical="center" wrapText="1"/>
      <protection hidden="1"/>
    </xf>
    <xf numFmtId="0" fontId="31" fillId="14" borderId="7" xfId="0" applyFont="1" applyFill="1" applyBorder="1" applyAlignment="1" applyProtection="1">
      <alignment horizontal="center" vertical="center" wrapText="1"/>
      <protection hidden="1"/>
    </xf>
    <xf numFmtId="0" fontId="31" fillId="14" borderId="8" xfId="0" applyFont="1" applyFill="1" applyBorder="1" applyAlignment="1" applyProtection="1">
      <alignment horizontal="center" vertical="center" wrapText="1"/>
      <protection hidden="1"/>
    </xf>
    <xf numFmtId="0" fontId="7" fillId="23" borderId="37" xfId="0" applyFont="1" applyFill="1" applyBorder="1" applyAlignment="1" applyProtection="1">
      <alignment horizontal="center" vertical="center"/>
      <protection hidden="1"/>
    </xf>
    <xf numFmtId="0" fontId="7" fillId="23" borderId="40" xfId="0" applyFont="1" applyFill="1" applyBorder="1" applyAlignment="1" applyProtection="1">
      <alignment horizontal="center" vertical="center"/>
      <protection hidden="1"/>
    </xf>
    <xf numFmtId="0" fontId="14" fillId="27" borderId="2" xfId="0" applyFont="1" applyFill="1" applyBorder="1" applyAlignment="1" applyProtection="1">
      <alignment horizontal="center" vertical="center" textRotation="90" wrapText="1"/>
      <protection hidden="1"/>
    </xf>
    <xf numFmtId="0" fontId="14" fillId="27" borderId="66" xfId="0" applyFont="1" applyFill="1" applyBorder="1" applyAlignment="1" applyProtection="1">
      <alignment horizontal="center" vertical="center" textRotation="90" wrapText="1"/>
      <protection hidden="1"/>
    </xf>
    <xf numFmtId="0" fontId="14" fillId="27" borderId="10" xfId="0" applyFont="1" applyFill="1" applyBorder="1" applyAlignment="1" applyProtection="1">
      <alignment horizontal="center" vertical="center" textRotation="90" wrapText="1"/>
      <protection hidden="1"/>
    </xf>
    <xf numFmtId="0" fontId="7" fillId="27" borderId="68" xfId="0" applyFont="1" applyFill="1" applyBorder="1" applyAlignment="1" applyProtection="1">
      <alignment horizontal="center" vertical="center" textRotation="90" wrapText="1"/>
      <protection hidden="1"/>
    </xf>
    <xf numFmtId="0" fontId="7" fillId="27" borderId="48" xfId="0" applyFont="1" applyFill="1" applyBorder="1" applyAlignment="1" applyProtection="1">
      <alignment horizontal="center" vertical="center" textRotation="90" wrapText="1"/>
      <protection hidden="1"/>
    </xf>
    <xf numFmtId="0" fontId="7" fillId="27" borderId="42" xfId="0" applyFont="1" applyFill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31" fillId="14" borderId="6" xfId="0" applyFont="1" applyFill="1" applyBorder="1" applyAlignment="1" applyProtection="1">
      <alignment horizontal="center" vertical="center"/>
      <protection hidden="1"/>
    </xf>
    <xf numFmtId="0" fontId="31" fillId="14" borderId="7" xfId="0" applyFont="1" applyFill="1" applyBorder="1" applyAlignment="1" applyProtection="1">
      <alignment horizontal="center" vertical="center"/>
      <protection hidden="1"/>
    </xf>
    <xf numFmtId="0" fontId="31" fillId="14" borderId="8" xfId="0" applyFont="1" applyFill="1" applyBorder="1" applyAlignment="1" applyProtection="1">
      <alignment horizontal="center" vertical="center"/>
      <protection hidden="1"/>
    </xf>
    <xf numFmtId="14" fontId="51" fillId="5" borderId="57" xfId="0" applyNumberFormat="1" applyFont="1" applyFill="1" applyBorder="1" applyAlignment="1">
      <alignment horizontal="center" vertical="center"/>
    </xf>
    <xf numFmtId="0" fontId="14" fillId="23" borderId="67" xfId="0" applyFont="1" applyFill="1" applyBorder="1" applyAlignment="1" applyProtection="1">
      <alignment horizontal="center" vertical="center"/>
      <protection hidden="1"/>
    </xf>
    <xf numFmtId="0" fontId="14" fillId="23" borderId="66" xfId="0" applyFont="1" applyFill="1" applyBorder="1" applyAlignment="1" applyProtection="1">
      <alignment horizontal="center" vertical="center"/>
      <protection hidden="1"/>
    </xf>
    <xf numFmtId="0" fontId="7" fillId="23" borderId="2" xfId="0" applyFont="1" applyFill="1" applyBorder="1" applyAlignment="1" applyProtection="1">
      <alignment horizontal="center" vertical="center" wrapText="1"/>
      <protection hidden="1"/>
    </xf>
    <xf numFmtId="0" fontId="7" fillId="23" borderId="3" xfId="0" applyFont="1" applyFill="1" applyBorder="1" applyAlignment="1" applyProtection="1">
      <alignment horizontal="center" vertical="center" wrapText="1"/>
      <protection hidden="1"/>
    </xf>
    <xf numFmtId="0" fontId="7" fillId="23" borderId="4" xfId="0" applyFont="1" applyFill="1" applyBorder="1" applyAlignment="1" applyProtection="1">
      <alignment horizontal="center" vertical="center" wrapText="1"/>
      <protection hidden="1"/>
    </xf>
    <xf numFmtId="0" fontId="7" fillId="23" borderId="10" xfId="0" applyFont="1" applyFill="1" applyBorder="1" applyAlignment="1" applyProtection="1">
      <alignment horizontal="center" vertical="center" wrapText="1"/>
      <protection hidden="1"/>
    </xf>
    <xf numFmtId="0" fontId="7" fillId="23" borderId="0" xfId="0" applyFont="1" applyFill="1" applyAlignment="1" applyProtection="1">
      <alignment horizontal="center" vertical="center" wrapText="1"/>
      <protection hidden="1"/>
    </xf>
    <xf numFmtId="0" fontId="7" fillId="23" borderId="46" xfId="0" applyFont="1" applyFill="1" applyBorder="1" applyAlignment="1" applyProtection="1">
      <alignment horizontal="center" vertical="center" wrapText="1"/>
      <protection hidden="1"/>
    </xf>
    <xf numFmtId="0" fontId="14" fillId="27" borderId="27" xfId="0" applyFont="1" applyFill="1" applyBorder="1" applyAlignment="1" applyProtection="1">
      <alignment horizontal="center" vertical="center"/>
      <protection hidden="1"/>
    </xf>
    <xf numFmtId="0" fontId="14" fillId="27" borderId="22" xfId="0" applyFont="1" applyFill="1" applyBorder="1" applyAlignment="1" applyProtection="1">
      <alignment horizontal="center" vertical="center"/>
      <protection hidden="1"/>
    </xf>
    <xf numFmtId="0" fontId="14" fillId="27" borderId="43" xfId="0" applyFont="1" applyFill="1" applyBorder="1" applyAlignment="1" applyProtection="1">
      <alignment horizontal="center" vertical="center"/>
      <protection hidden="1"/>
    </xf>
    <xf numFmtId="14" fontId="14" fillId="5" borderId="63" xfId="0" applyNumberFormat="1" applyFont="1" applyFill="1" applyBorder="1" applyAlignment="1" applyProtection="1">
      <alignment horizontal="center" vertical="center" wrapText="1"/>
      <protection hidden="1"/>
    </xf>
    <xf numFmtId="14" fontId="14" fillId="5" borderId="14" xfId="0" applyNumberFormat="1" applyFont="1" applyFill="1" applyBorder="1" applyAlignment="1" applyProtection="1">
      <alignment horizontal="center" vertical="center" wrapText="1"/>
      <protection hidden="1"/>
    </xf>
    <xf numFmtId="14" fontId="14" fillId="5" borderId="50" xfId="0" applyNumberFormat="1" applyFont="1" applyFill="1" applyBorder="1" applyAlignment="1" applyProtection="1">
      <alignment horizontal="center" vertical="center" wrapText="1"/>
      <protection hidden="1"/>
    </xf>
    <xf numFmtId="0" fontId="31" fillId="14" borderId="2" xfId="0" applyFont="1" applyFill="1" applyBorder="1" applyAlignment="1" applyProtection="1">
      <alignment horizontal="center" vertical="center"/>
      <protection hidden="1"/>
    </xf>
    <xf numFmtId="0" fontId="31" fillId="14" borderId="3" xfId="0" applyFont="1" applyFill="1" applyBorder="1" applyAlignment="1" applyProtection="1">
      <alignment horizontal="center" vertical="center"/>
      <protection hidden="1"/>
    </xf>
    <xf numFmtId="0" fontId="31" fillId="14" borderId="4" xfId="0" applyFont="1" applyFill="1" applyBorder="1" applyAlignment="1" applyProtection="1">
      <alignment horizontal="center" vertical="center"/>
      <protection hidden="1"/>
    </xf>
    <xf numFmtId="0" fontId="31" fillId="14" borderId="44" xfId="0" applyFont="1" applyFill="1" applyBorder="1" applyAlignment="1" applyProtection="1">
      <alignment horizontal="center" vertical="center"/>
      <protection hidden="1"/>
    </xf>
    <xf numFmtId="0" fontId="31" fillId="14" borderId="5" xfId="0" applyFont="1" applyFill="1" applyBorder="1" applyAlignment="1" applyProtection="1">
      <alignment horizontal="center" vertical="center"/>
      <protection hidden="1"/>
    </xf>
    <xf numFmtId="0" fontId="31" fillId="14" borderId="36" xfId="0" applyFont="1" applyFill="1" applyBorder="1" applyAlignment="1" applyProtection="1">
      <alignment horizontal="center" vertical="center"/>
      <protection hidden="1"/>
    </xf>
    <xf numFmtId="0" fontId="14" fillId="26" borderId="68" xfId="0" applyFont="1" applyFill="1" applyBorder="1" applyAlignment="1" applyProtection="1">
      <alignment horizontal="center" vertical="center"/>
      <protection hidden="1"/>
    </xf>
    <xf numFmtId="0" fontId="14" fillId="26" borderId="48" xfId="0" applyFont="1" applyFill="1" applyBorder="1" applyAlignment="1" applyProtection="1">
      <alignment horizontal="center" vertical="center"/>
      <protection hidden="1"/>
    </xf>
    <xf numFmtId="0" fontId="14" fillId="26" borderId="42" xfId="0" applyFont="1" applyFill="1" applyBorder="1" applyAlignment="1" applyProtection="1">
      <alignment horizontal="center" vertical="center"/>
      <protection hidden="1"/>
    </xf>
    <xf numFmtId="0" fontId="14" fillId="26" borderId="68" xfId="0" applyFont="1" applyFill="1" applyBorder="1" applyAlignment="1" applyProtection="1">
      <alignment horizontal="center" vertical="center" wrapText="1"/>
      <protection hidden="1"/>
    </xf>
    <xf numFmtId="0" fontId="14" fillId="26" borderId="48" xfId="0" applyFont="1" applyFill="1" applyBorder="1" applyAlignment="1" applyProtection="1">
      <alignment horizontal="center" vertical="center" wrapText="1"/>
      <protection hidden="1"/>
    </xf>
    <xf numFmtId="0" fontId="14" fillId="26" borderId="42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1" fillId="0" borderId="7" xfId="0" applyFont="1" applyBorder="1" applyAlignment="1" applyProtection="1">
      <alignment horizontal="center" vertical="center"/>
      <protection hidden="1"/>
    </xf>
    <xf numFmtId="0" fontId="31" fillId="0" borderId="8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15" borderId="6" xfId="0" applyFont="1" applyFill="1" applyBorder="1" applyAlignment="1" applyProtection="1">
      <alignment horizontal="center" vertical="center"/>
      <protection hidden="1"/>
    </xf>
    <xf numFmtId="0" fontId="7" fillId="15" borderId="7" xfId="0" applyFont="1" applyFill="1" applyBorder="1" applyAlignment="1" applyProtection="1">
      <alignment horizontal="center" vertical="center"/>
      <protection hidden="1"/>
    </xf>
    <xf numFmtId="0" fontId="7" fillId="15" borderId="8" xfId="0" applyFont="1" applyFill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7" fillId="14" borderId="6" xfId="0" applyFont="1" applyFill="1" applyBorder="1" applyAlignment="1" applyProtection="1">
      <alignment horizontal="center" vertical="center"/>
      <protection hidden="1"/>
    </xf>
    <xf numFmtId="0" fontId="7" fillId="14" borderId="7" xfId="0" applyFont="1" applyFill="1" applyBorder="1" applyAlignment="1" applyProtection="1">
      <alignment horizontal="center" vertical="center"/>
      <protection hidden="1"/>
    </xf>
    <xf numFmtId="0" fontId="7" fillId="14" borderId="8" xfId="0" applyFont="1" applyFill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/>
      <protection hidden="1"/>
    </xf>
    <xf numFmtId="0" fontId="14" fillId="0" borderId="45" xfId="0" applyFont="1" applyBorder="1" applyAlignment="1" applyProtection="1">
      <alignment horizontal="center"/>
      <protection hidden="1"/>
    </xf>
    <xf numFmtId="0" fontId="31" fillId="14" borderId="2" xfId="0" applyFont="1" applyFill="1" applyBorder="1" applyAlignment="1" applyProtection="1">
      <alignment horizontal="center" vertical="center" wrapText="1"/>
      <protection hidden="1"/>
    </xf>
    <xf numFmtId="0" fontId="31" fillId="14" borderId="3" xfId="0" applyFont="1" applyFill="1" applyBorder="1" applyAlignment="1" applyProtection="1">
      <alignment horizontal="center" vertical="center" wrapText="1"/>
      <protection hidden="1"/>
    </xf>
    <xf numFmtId="0" fontId="31" fillId="14" borderId="4" xfId="0" applyFont="1" applyFill="1" applyBorder="1" applyAlignment="1" applyProtection="1">
      <alignment horizontal="center" vertical="center" wrapText="1"/>
      <protection hidden="1"/>
    </xf>
    <xf numFmtId="0" fontId="31" fillId="14" borderId="44" xfId="0" applyFont="1" applyFill="1" applyBorder="1" applyAlignment="1" applyProtection="1">
      <alignment horizontal="center" vertical="center" wrapText="1"/>
      <protection hidden="1"/>
    </xf>
    <xf numFmtId="0" fontId="31" fillId="14" borderId="5" xfId="0" applyFont="1" applyFill="1" applyBorder="1" applyAlignment="1" applyProtection="1">
      <alignment horizontal="center" vertical="center" wrapText="1"/>
      <protection hidden="1"/>
    </xf>
    <xf numFmtId="0" fontId="31" fillId="14" borderId="3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14" fillId="0" borderId="8" xfId="0" applyFont="1" applyBorder="1" applyAlignment="1" applyProtection="1">
      <alignment horizontal="center"/>
      <protection hidden="1"/>
    </xf>
    <xf numFmtId="0" fontId="7" fillId="14" borderId="2" xfId="0" applyFont="1" applyFill="1" applyBorder="1" applyAlignment="1" applyProtection="1">
      <alignment horizontal="center" vertical="center"/>
      <protection hidden="1"/>
    </xf>
    <xf numFmtId="0" fontId="7" fillId="14" borderId="3" xfId="0" applyFont="1" applyFill="1" applyBorder="1" applyAlignment="1" applyProtection="1">
      <alignment horizontal="center" vertical="center"/>
      <protection hidden="1"/>
    </xf>
    <xf numFmtId="0" fontId="7" fillId="14" borderId="4" xfId="0" applyFont="1" applyFill="1" applyBorder="1" applyAlignment="1" applyProtection="1">
      <alignment horizontal="center" vertical="center"/>
      <protection hidden="1"/>
    </xf>
    <xf numFmtId="0" fontId="7" fillId="14" borderId="44" xfId="0" applyFont="1" applyFill="1" applyBorder="1" applyAlignment="1" applyProtection="1">
      <alignment horizontal="center" vertical="center"/>
      <protection hidden="1"/>
    </xf>
    <xf numFmtId="0" fontId="7" fillId="14" borderId="5" xfId="0" applyFont="1" applyFill="1" applyBorder="1" applyAlignment="1" applyProtection="1">
      <alignment horizontal="center" vertical="center"/>
      <protection hidden="1"/>
    </xf>
    <xf numFmtId="0" fontId="7" fillId="14" borderId="36" xfId="0" applyFont="1" applyFill="1" applyBorder="1" applyAlignment="1" applyProtection="1">
      <alignment horizontal="center" vertical="center"/>
      <protection hidden="1"/>
    </xf>
    <xf numFmtId="0" fontId="7" fillId="27" borderId="2" xfId="0" applyFont="1" applyFill="1" applyBorder="1" applyAlignment="1" applyProtection="1">
      <alignment horizontal="center" vertical="center"/>
      <protection hidden="1"/>
    </xf>
    <xf numFmtId="0" fontId="7" fillId="27" borderId="3" xfId="0" applyFont="1" applyFill="1" applyBorder="1" applyAlignment="1" applyProtection="1">
      <alignment horizontal="center" vertical="center"/>
      <protection hidden="1"/>
    </xf>
    <xf numFmtId="0" fontId="7" fillId="27" borderId="44" xfId="0" applyFont="1" applyFill="1" applyBorder="1" applyAlignment="1" applyProtection="1">
      <alignment horizontal="center" vertical="center"/>
      <protection hidden="1"/>
    </xf>
    <xf numFmtId="0" fontId="7" fillId="27" borderId="5" xfId="0" applyFont="1" applyFill="1" applyBorder="1" applyAlignment="1" applyProtection="1">
      <alignment horizontal="center" vertical="center"/>
      <protection hidden="1"/>
    </xf>
    <xf numFmtId="3" fontId="14" fillId="26" borderId="69" xfId="0" applyNumberFormat="1" applyFont="1" applyFill="1" applyBorder="1" applyAlignment="1" applyProtection="1">
      <alignment horizontal="center" vertical="center" wrapText="1"/>
      <protection hidden="1"/>
    </xf>
    <xf numFmtId="3" fontId="14" fillId="26" borderId="61" xfId="0" applyNumberFormat="1" applyFont="1" applyFill="1" applyBorder="1" applyAlignment="1" applyProtection="1">
      <alignment horizontal="center" vertical="center" wrapText="1"/>
      <protection hidden="1"/>
    </xf>
    <xf numFmtId="3" fontId="14" fillId="26" borderId="71" xfId="0" applyNumberFormat="1" applyFont="1" applyFill="1" applyBorder="1" applyAlignment="1" applyProtection="1">
      <alignment horizontal="center" vertical="center" wrapText="1"/>
      <protection hidden="1"/>
    </xf>
    <xf numFmtId="49" fontId="14" fillId="26" borderId="69" xfId="0" applyNumberFormat="1" applyFont="1" applyFill="1" applyBorder="1" applyAlignment="1" applyProtection="1">
      <alignment horizontal="center" vertical="center" wrapText="1"/>
      <protection hidden="1"/>
    </xf>
    <xf numFmtId="49" fontId="14" fillId="26" borderId="61" xfId="0" applyNumberFormat="1" applyFont="1" applyFill="1" applyBorder="1" applyAlignment="1" applyProtection="1">
      <alignment horizontal="center" vertical="center" wrapText="1"/>
      <protection hidden="1"/>
    </xf>
    <xf numFmtId="49" fontId="14" fillId="26" borderId="71" xfId="0" applyNumberFormat="1" applyFont="1" applyFill="1" applyBorder="1" applyAlignment="1" applyProtection="1">
      <alignment horizontal="center" vertical="center" wrapText="1"/>
      <protection hidden="1"/>
    </xf>
    <xf numFmtId="0" fontId="14" fillId="27" borderId="68" xfId="0" applyFont="1" applyFill="1" applyBorder="1" applyAlignment="1" applyProtection="1">
      <alignment horizontal="center" vertical="center"/>
      <protection hidden="1"/>
    </xf>
    <xf numFmtId="0" fontId="14" fillId="27" borderId="48" xfId="0" applyFont="1" applyFill="1" applyBorder="1" applyAlignment="1" applyProtection="1">
      <alignment horizontal="center" vertical="center"/>
      <protection hidden="1"/>
    </xf>
    <xf numFmtId="0" fontId="14" fillId="27" borderId="42" xfId="0" applyFont="1" applyFill="1" applyBorder="1" applyAlignment="1" applyProtection="1">
      <alignment horizontal="center" vertical="center"/>
      <protection hidden="1"/>
    </xf>
    <xf numFmtId="3" fontId="14" fillId="27" borderId="69" xfId="0" applyNumberFormat="1" applyFont="1" applyFill="1" applyBorder="1" applyAlignment="1" applyProtection="1">
      <alignment horizontal="center" vertical="center" wrapText="1"/>
      <protection hidden="1"/>
    </xf>
    <xf numFmtId="3" fontId="14" fillId="27" borderId="61" xfId="0" applyNumberFormat="1" applyFont="1" applyFill="1" applyBorder="1" applyAlignment="1" applyProtection="1">
      <alignment horizontal="center" vertical="center" wrapText="1"/>
      <protection hidden="1"/>
    </xf>
    <xf numFmtId="3" fontId="14" fillId="27" borderId="71" xfId="0" applyNumberFormat="1" applyFont="1" applyFill="1" applyBorder="1" applyAlignment="1" applyProtection="1">
      <alignment horizontal="center" vertical="center" wrapText="1"/>
      <protection hidden="1"/>
    </xf>
    <xf numFmtId="0" fontId="7" fillId="26" borderId="2" xfId="0" applyFont="1" applyFill="1" applyBorder="1" applyAlignment="1" applyProtection="1">
      <alignment horizontal="center" vertical="center"/>
      <protection hidden="1"/>
    </xf>
    <xf numFmtId="0" fontId="7" fillId="26" borderId="3" xfId="0" applyFont="1" applyFill="1" applyBorder="1" applyAlignment="1" applyProtection="1">
      <alignment horizontal="center" vertical="center"/>
      <protection hidden="1"/>
    </xf>
    <xf numFmtId="0" fontId="7" fillId="26" borderId="10" xfId="0" applyFont="1" applyFill="1" applyBorder="1" applyAlignment="1" applyProtection="1">
      <alignment horizontal="center" vertical="center"/>
      <protection hidden="1"/>
    </xf>
    <xf numFmtId="0" fontId="7" fillId="26" borderId="0" xfId="0" applyFont="1" applyFill="1" applyAlignment="1" applyProtection="1">
      <alignment horizontal="center" vertical="center"/>
      <protection hidden="1"/>
    </xf>
    <xf numFmtId="0" fontId="7" fillId="26" borderId="44" xfId="0" applyFont="1" applyFill="1" applyBorder="1" applyAlignment="1" applyProtection="1">
      <alignment horizontal="center" vertical="center"/>
      <protection hidden="1"/>
    </xf>
    <xf numFmtId="0" fontId="7" fillId="26" borderId="5" xfId="0" applyFont="1" applyFill="1" applyBorder="1" applyAlignment="1" applyProtection="1">
      <alignment horizontal="center" vertical="center"/>
      <protection hidden="1"/>
    </xf>
    <xf numFmtId="169" fontId="51" fillId="5" borderId="39" xfId="0" quotePrefix="1" applyNumberFormat="1" applyFont="1" applyFill="1" applyBorder="1" applyAlignment="1">
      <alignment horizontal="center" vertical="center" wrapText="1"/>
    </xf>
    <xf numFmtId="0" fontId="51" fillId="5" borderId="32" xfId="0" applyFont="1" applyFill="1" applyBorder="1" applyAlignment="1">
      <alignment horizontal="center" vertical="center" wrapText="1"/>
    </xf>
    <xf numFmtId="0" fontId="51" fillId="5" borderId="35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 applyProtection="1">
      <alignment horizontal="center" vertical="center" wrapText="1"/>
      <protection hidden="1"/>
    </xf>
    <xf numFmtId="0" fontId="31" fillId="15" borderId="3" xfId="0" applyFont="1" applyFill="1" applyBorder="1" applyAlignment="1" applyProtection="1">
      <alignment horizontal="center" vertical="center" wrapText="1"/>
      <protection hidden="1"/>
    </xf>
    <xf numFmtId="0" fontId="31" fillId="15" borderId="4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0" fontId="7" fillId="27" borderId="67" xfId="0" applyFont="1" applyFill="1" applyBorder="1" applyAlignment="1" applyProtection="1">
      <alignment horizontal="center" vertical="center" textRotation="90"/>
      <protection hidden="1"/>
    </xf>
    <xf numFmtId="0" fontId="7" fillId="27" borderId="66" xfId="0" applyFont="1" applyFill="1" applyBorder="1" applyAlignment="1" applyProtection="1">
      <alignment horizontal="center" vertical="center" textRotation="90"/>
      <protection hidden="1"/>
    </xf>
    <xf numFmtId="0" fontId="7" fillId="27" borderId="10" xfId="0" applyFont="1" applyFill="1" applyBorder="1" applyAlignment="1" applyProtection="1">
      <alignment horizontal="center" vertical="center" textRotation="90"/>
      <protection hidden="1"/>
    </xf>
    <xf numFmtId="0" fontId="7" fillId="27" borderId="44" xfId="0" applyFont="1" applyFill="1" applyBorder="1" applyAlignment="1" applyProtection="1">
      <alignment horizontal="center" vertical="center" textRotation="90"/>
      <protection hidden="1"/>
    </xf>
    <xf numFmtId="0" fontId="7" fillId="27" borderId="64" xfId="0" applyFont="1" applyFill="1" applyBorder="1" applyAlignment="1" applyProtection="1">
      <alignment horizontal="center" vertical="center" textRotation="90" wrapText="1"/>
      <protection hidden="1"/>
    </xf>
    <xf numFmtId="0" fontId="7" fillId="27" borderId="62" xfId="0" applyFont="1" applyFill="1" applyBorder="1" applyAlignment="1" applyProtection="1">
      <alignment horizontal="center" vertical="center" textRotation="90" wrapText="1"/>
      <protection hidden="1"/>
    </xf>
    <xf numFmtId="0" fontId="7" fillId="27" borderId="65" xfId="0" applyFont="1" applyFill="1" applyBorder="1" applyAlignment="1" applyProtection="1">
      <alignment horizontal="center" vertical="center" textRotation="90" wrapText="1"/>
      <protection hidden="1"/>
    </xf>
    <xf numFmtId="0" fontId="14" fillId="27" borderId="38" xfId="0" applyFont="1" applyFill="1" applyBorder="1" applyAlignment="1" applyProtection="1">
      <alignment horizontal="center" vertical="center"/>
      <protection hidden="1"/>
    </xf>
    <xf numFmtId="0" fontId="14" fillId="27" borderId="9" xfId="0" applyFont="1" applyFill="1" applyBorder="1" applyAlignment="1" applyProtection="1">
      <alignment horizontal="center" vertical="center"/>
      <protection hidden="1"/>
    </xf>
    <xf numFmtId="0" fontId="14" fillId="27" borderId="41" xfId="0" applyFont="1" applyFill="1" applyBorder="1" applyAlignment="1" applyProtection="1">
      <alignment horizontal="center" vertical="center"/>
      <protection hidden="1"/>
    </xf>
    <xf numFmtId="0" fontId="14" fillId="27" borderId="67" xfId="0" applyFont="1" applyFill="1" applyBorder="1" applyAlignment="1" applyProtection="1">
      <alignment horizontal="center" vertical="center" textRotation="90" wrapText="1"/>
      <protection hidden="1"/>
    </xf>
    <xf numFmtId="0" fontId="14" fillId="27" borderId="47" xfId="0" applyFont="1" applyFill="1" applyBorder="1" applyAlignment="1" applyProtection="1">
      <alignment horizontal="center" vertical="center" textRotation="90" wrapText="1"/>
      <protection hidden="1"/>
    </xf>
    <xf numFmtId="0" fontId="47" fillId="10" borderId="67" xfId="0" applyFont="1" applyFill="1" applyBorder="1" applyAlignment="1">
      <alignment horizontal="center" vertical="center" textRotation="90" wrapText="1"/>
    </xf>
    <xf numFmtId="0" fontId="47" fillId="10" borderId="66" xfId="0" applyFont="1" applyFill="1" applyBorder="1" applyAlignment="1">
      <alignment horizontal="center" vertical="center" textRotation="90" wrapText="1"/>
    </xf>
    <xf numFmtId="0" fontId="47" fillId="10" borderId="47" xfId="0" applyFont="1" applyFill="1" applyBorder="1" applyAlignment="1">
      <alignment horizontal="center" vertical="center" textRotation="90" wrapText="1"/>
    </xf>
    <xf numFmtId="0" fontId="14" fillId="5" borderId="63" xfId="0" applyFont="1" applyFill="1" applyBorder="1" applyAlignment="1" applyProtection="1">
      <alignment horizontal="center" vertical="center"/>
      <protection hidden="1"/>
    </xf>
    <xf numFmtId="0" fontId="14" fillId="5" borderId="50" xfId="0" applyFont="1" applyFill="1" applyBorder="1" applyAlignment="1" applyProtection="1">
      <alignment horizontal="center" vertical="center"/>
      <protection hidden="1"/>
    </xf>
    <xf numFmtId="14" fontId="14" fillId="5" borderId="63" xfId="0" applyNumberFormat="1" applyFont="1" applyFill="1" applyBorder="1" applyAlignment="1" applyProtection="1">
      <alignment horizontal="center" vertical="center"/>
      <protection hidden="1"/>
    </xf>
    <xf numFmtId="14" fontId="14" fillId="5" borderId="50" xfId="0" applyNumberFormat="1" applyFont="1" applyFill="1" applyBorder="1" applyAlignment="1" applyProtection="1">
      <alignment horizontal="center" vertical="center"/>
      <protection hidden="1"/>
    </xf>
    <xf numFmtId="0" fontId="14" fillId="27" borderId="3" xfId="0" applyFont="1" applyFill="1" applyBorder="1" applyAlignment="1" applyProtection="1">
      <alignment horizontal="center" vertical="center"/>
      <protection hidden="1"/>
    </xf>
    <xf numFmtId="0" fontId="14" fillId="27" borderId="0" xfId="0" applyFont="1" applyFill="1" applyAlignment="1" applyProtection="1">
      <alignment horizontal="center" vertical="center"/>
      <protection hidden="1"/>
    </xf>
    <xf numFmtId="0" fontId="14" fillId="27" borderId="5" xfId="0" applyFont="1" applyFill="1" applyBorder="1" applyAlignment="1" applyProtection="1">
      <alignment horizontal="center" vertical="center"/>
      <protection hidden="1"/>
    </xf>
    <xf numFmtId="14" fontId="51" fillId="5" borderId="3" xfId="0" applyNumberFormat="1" applyFont="1" applyFill="1" applyBorder="1" applyAlignment="1" applyProtection="1">
      <alignment horizontal="center" vertical="center"/>
      <protection hidden="1"/>
    </xf>
    <xf numFmtId="14" fontId="51" fillId="5" borderId="0" xfId="0" applyNumberFormat="1" applyFont="1" applyFill="1" applyAlignment="1" applyProtection="1">
      <alignment horizontal="center" vertical="center"/>
      <protection hidden="1"/>
    </xf>
    <xf numFmtId="14" fontId="51" fillId="5" borderId="5" xfId="0" applyNumberFormat="1" applyFont="1" applyFill="1" applyBorder="1" applyAlignment="1" applyProtection="1">
      <alignment horizontal="center" vertical="center"/>
      <protection hidden="1"/>
    </xf>
    <xf numFmtId="0" fontId="26" fillId="0" borderId="47" xfId="0" applyFont="1" applyBorder="1" applyAlignment="1">
      <alignment horizontal="center" vertical="center" wrapText="1"/>
    </xf>
    <xf numFmtId="0" fontId="46" fillId="22" borderId="10" xfId="0" applyFont="1" applyFill="1" applyBorder="1" applyAlignment="1">
      <alignment horizontal="center" vertical="center"/>
    </xf>
    <xf numFmtId="0" fontId="46" fillId="22" borderId="0" xfId="0" applyFont="1" applyFill="1" applyAlignment="1">
      <alignment horizontal="center" vertical="center"/>
    </xf>
    <xf numFmtId="0" fontId="46" fillId="22" borderId="44" xfId="0" applyFont="1" applyFill="1" applyBorder="1" applyAlignment="1">
      <alignment horizontal="center" vertical="center"/>
    </xf>
    <xf numFmtId="0" fontId="46" fillId="2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31" borderId="6" xfId="0" applyFont="1" applyFill="1" applyBorder="1" applyAlignment="1">
      <alignment horizontal="center" vertical="center" wrapText="1"/>
    </xf>
    <xf numFmtId="0" fontId="7" fillId="31" borderId="8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7" fillId="6" borderId="47" xfId="0" applyFont="1" applyFill="1" applyBorder="1" applyAlignment="1">
      <alignment horizontal="right" vertical="center" wrapText="1"/>
    </xf>
    <xf numFmtId="0" fontId="7" fillId="13" borderId="55" xfId="0" applyFont="1" applyFill="1" applyBorder="1" applyAlignment="1" applyProtection="1">
      <alignment horizontal="left" vertical="center" wrapText="1"/>
      <protection hidden="1"/>
    </xf>
    <xf numFmtId="0" fontId="7" fillId="13" borderId="56" xfId="0" applyFont="1" applyFill="1" applyBorder="1" applyAlignment="1" applyProtection="1">
      <alignment horizontal="left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7" fillId="29" borderId="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  <protection hidden="1"/>
    </xf>
    <xf numFmtId="0" fontId="7" fillId="4" borderId="26" xfId="0" applyFont="1" applyFill="1" applyBorder="1" applyAlignment="1" applyProtection="1">
      <alignment horizontal="center" vertical="center" wrapText="1"/>
      <protection hidden="1"/>
    </xf>
    <xf numFmtId="0" fontId="7" fillId="29" borderId="2" xfId="0" applyFont="1" applyFill="1" applyBorder="1" applyAlignment="1">
      <alignment horizontal="center" vertical="center" wrapText="1"/>
    </xf>
    <xf numFmtId="0" fontId="7" fillId="29" borderId="4" xfId="0" applyFont="1" applyFill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4" fillId="0" borderId="16" xfId="0" applyFont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0" fontId="14" fillId="2" borderId="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14" fontId="12" fillId="22" borderId="6" xfId="0" applyNumberFormat="1" applyFont="1" applyFill="1" applyBorder="1" applyAlignment="1" applyProtection="1">
      <alignment horizontal="center" vertical="center" wrapText="1"/>
      <protection hidden="1"/>
    </xf>
    <xf numFmtId="14" fontId="12" fillId="22" borderId="7" xfId="0" applyNumberFormat="1" applyFont="1" applyFill="1" applyBorder="1" applyAlignment="1" applyProtection="1">
      <alignment horizontal="center" vertical="center" wrapText="1"/>
      <protection hidden="1"/>
    </xf>
    <xf numFmtId="14" fontId="12" fillId="2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2" fillId="22" borderId="6" xfId="0" applyFont="1" applyFill="1" applyBorder="1" applyAlignment="1" applyProtection="1">
      <alignment horizontal="center" vertical="center" wrapText="1"/>
      <protection hidden="1"/>
    </xf>
    <xf numFmtId="0" fontId="12" fillId="22" borderId="7" xfId="0" applyFont="1" applyFill="1" applyBorder="1" applyAlignment="1" applyProtection="1">
      <alignment horizontal="center" vertical="center" wrapText="1"/>
      <protection hidden="1"/>
    </xf>
    <xf numFmtId="0" fontId="12" fillId="22" borderId="3" xfId="0" applyFont="1" applyFill="1" applyBorder="1" applyAlignment="1" applyProtection="1">
      <alignment horizontal="center" vertical="center" wrapText="1"/>
      <protection hidden="1"/>
    </xf>
    <xf numFmtId="0" fontId="12" fillId="22" borderId="4" xfId="0" applyFont="1" applyFill="1" applyBorder="1" applyAlignment="1" applyProtection="1">
      <alignment horizontal="center" vertical="center" wrapText="1"/>
      <protection hidden="1"/>
    </xf>
    <xf numFmtId="0" fontId="46" fillId="22" borderId="2" xfId="0" applyFont="1" applyFill="1" applyBorder="1" applyAlignment="1">
      <alignment horizontal="center" vertical="center"/>
    </xf>
    <xf numFmtId="0" fontId="46" fillId="22" borderId="3" xfId="0" applyFont="1" applyFill="1" applyBorder="1" applyAlignment="1">
      <alignment horizontal="center" vertical="center"/>
    </xf>
    <xf numFmtId="0" fontId="46" fillId="22" borderId="4" xfId="0" applyFont="1" applyFill="1" applyBorder="1" applyAlignment="1">
      <alignment horizontal="center" vertical="center"/>
    </xf>
    <xf numFmtId="0" fontId="46" fillId="22" borderId="36" xfId="0" applyFont="1" applyFill="1" applyBorder="1" applyAlignment="1">
      <alignment horizontal="center" vertical="center"/>
    </xf>
    <xf numFmtId="0" fontId="12" fillId="22" borderId="6" xfId="0" applyFont="1" applyFill="1" applyBorder="1" applyAlignment="1">
      <alignment horizontal="center" vertical="center" wrapText="1"/>
    </xf>
    <xf numFmtId="0" fontId="12" fillId="22" borderId="7" xfId="0" applyFont="1" applyFill="1" applyBorder="1" applyAlignment="1">
      <alignment horizontal="center" vertical="center" wrapText="1"/>
    </xf>
    <xf numFmtId="0" fontId="12" fillId="22" borderId="8" xfId="0" applyFont="1" applyFill="1" applyBorder="1" applyAlignment="1">
      <alignment horizontal="center" vertical="center" wrapText="1"/>
    </xf>
    <xf numFmtId="167" fontId="14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167" fontId="14" fillId="5" borderId="3" xfId="0" applyNumberFormat="1" applyFont="1" applyFill="1" applyBorder="1" applyAlignment="1" applyProtection="1">
      <alignment horizontal="center" vertical="center" wrapText="1"/>
      <protection locked="0" hidden="1"/>
    </xf>
    <xf numFmtId="167" fontId="14" fillId="5" borderId="4" xfId="0" applyNumberFormat="1" applyFont="1" applyFill="1" applyBorder="1" applyAlignment="1" applyProtection="1">
      <alignment horizontal="center" vertical="center" wrapText="1"/>
      <protection locked="0" hidden="1"/>
    </xf>
    <xf numFmtId="167" fontId="14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167" fontId="14" fillId="5" borderId="0" xfId="0" applyNumberFormat="1" applyFont="1" applyFill="1" applyAlignment="1" applyProtection="1">
      <alignment horizontal="center" vertical="center" wrapText="1"/>
      <protection locked="0" hidden="1"/>
    </xf>
    <xf numFmtId="167" fontId="14" fillId="5" borderId="46" xfId="0" applyNumberFormat="1" applyFont="1" applyFill="1" applyBorder="1" applyAlignment="1" applyProtection="1">
      <alignment horizontal="center" vertical="center" wrapText="1"/>
      <protection locked="0" hidden="1"/>
    </xf>
    <xf numFmtId="167" fontId="14" fillId="5" borderId="44" xfId="0" applyNumberFormat="1" applyFont="1" applyFill="1" applyBorder="1" applyAlignment="1" applyProtection="1">
      <alignment horizontal="center" vertical="center" wrapText="1"/>
      <protection locked="0" hidden="1"/>
    </xf>
    <xf numFmtId="167" fontId="14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167" fontId="14" fillId="5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>
      <alignment horizontal="right" vertical="center" wrapText="1"/>
    </xf>
    <xf numFmtId="0" fontId="7" fillId="13" borderId="73" xfId="0" applyFont="1" applyFill="1" applyBorder="1" applyAlignment="1" applyProtection="1">
      <alignment horizontal="center" vertical="center" wrapText="1"/>
      <protection hidden="1"/>
    </xf>
    <xf numFmtId="0" fontId="7" fillId="13" borderId="10" xfId="0" applyFont="1" applyFill="1" applyBorder="1" applyAlignment="1" applyProtection="1">
      <alignment horizontal="center" vertical="center" wrapText="1"/>
      <protection hidden="1"/>
    </xf>
    <xf numFmtId="0" fontId="7" fillId="13" borderId="49" xfId="0" applyFont="1" applyFill="1" applyBorder="1" applyAlignment="1" applyProtection="1">
      <alignment horizontal="center" vertical="center" wrapText="1"/>
      <protection hidden="1"/>
    </xf>
    <xf numFmtId="169" fontId="14" fillId="12" borderId="32" xfId="0" applyNumberFormat="1" applyFont="1" applyFill="1" applyBorder="1" applyAlignment="1" applyProtection="1">
      <alignment horizontal="center" vertical="center" wrapText="1"/>
      <protection hidden="1"/>
    </xf>
    <xf numFmtId="1" fontId="14" fillId="9" borderId="9" xfId="0" applyNumberFormat="1" applyFont="1" applyFill="1" applyBorder="1" applyAlignment="1" applyProtection="1">
      <alignment horizontal="center" vertical="center" wrapText="1"/>
      <protection hidden="1"/>
    </xf>
    <xf numFmtId="1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2" fontId="14" fillId="12" borderId="9" xfId="0" applyNumberFormat="1" applyFont="1" applyFill="1" applyBorder="1" applyAlignment="1" applyProtection="1">
      <alignment horizontal="center" vertical="center" wrapText="1"/>
      <protection hidden="1"/>
    </xf>
    <xf numFmtId="14" fontId="14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12" borderId="9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169" fontId="14" fillId="16" borderId="26" xfId="0" applyNumberFormat="1" applyFont="1" applyFill="1" applyBorder="1" applyAlignment="1" applyProtection="1">
      <alignment horizontal="center" vertical="center" wrapText="1"/>
      <protection hidden="1"/>
    </xf>
    <xf numFmtId="169" fontId="14" fillId="16" borderId="19" xfId="0" applyNumberFormat="1" applyFont="1" applyFill="1" applyBorder="1" applyAlignment="1" applyProtection="1">
      <alignment horizontal="center" vertical="center" wrapText="1"/>
      <protection hidden="1"/>
    </xf>
    <xf numFmtId="14" fontId="14" fillId="16" borderId="20" xfId="0" applyNumberFormat="1" applyFont="1" applyFill="1" applyBorder="1" applyAlignment="1" applyProtection="1">
      <alignment horizontal="center" vertical="center" wrapText="1"/>
      <protection hidden="1"/>
    </xf>
    <xf numFmtId="14" fontId="14" fillId="16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7" fillId="18" borderId="2" xfId="0" applyFont="1" applyFill="1" applyBorder="1" applyAlignment="1" applyProtection="1">
      <alignment horizontal="center" vertical="center" wrapText="1"/>
      <protection hidden="1"/>
    </xf>
    <xf numFmtId="0" fontId="7" fillId="18" borderId="10" xfId="0" applyFont="1" applyFill="1" applyBorder="1" applyAlignment="1" applyProtection="1">
      <alignment horizontal="center" vertical="center" wrapText="1"/>
      <protection hidden="1"/>
    </xf>
    <xf numFmtId="0" fontId="7" fillId="18" borderId="49" xfId="0" applyFont="1" applyFill="1" applyBorder="1" applyAlignment="1" applyProtection="1">
      <alignment horizontal="center" vertical="center" wrapText="1"/>
      <protection hidden="1"/>
    </xf>
    <xf numFmtId="0" fontId="23" fillId="21" borderId="4" xfId="6" applyFont="1" applyBorder="1" applyAlignment="1" applyProtection="1">
      <alignment horizontal="center" vertical="center" wrapText="1"/>
      <protection locked="0" hidden="1"/>
    </xf>
    <xf numFmtId="0" fontId="23" fillId="21" borderId="36" xfId="6" applyFont="1" applyBorder="1" applyAlignment="1" applyProtection="1">
      <alignment horizontal="center" vertical="center" wrapText="1"/>
      <protection locked="0" hidden="1"/>
    </xf>
    <xf numFmtId="0" fontId="7" fillId="13" borderId="6" xfId="0" applyFont="1" applyFill="1" applyBorder="1" applyAlignment="1" applyProtection="1">
      <alignment horizontal="center" vertical="center" wrapText="1"/>
      <protection hidden="1"/>
    </xf>
    <xf numFmtId="0" fontId="7" fillId="13" borderId="19" xfId="0" applyFont="1" applyFill="1" applyBorder="1" applyAlignment="1" applyProtection="1">
      <alignment horizontal="center" vertical="center" wrapText="1"/>
      <protection hidden="1"/>
    </xf>
    <xf numFmtId="0" fontId="14" fillId="5" borderId="26" xfId="0" applyFont="1" applyFill="1" applyBorder="1" applyAlignment="1" applyProtection="1">
      <alignment horizontal="center" vertical="center" wrapText="1"/>
      <protection hidden="1"/>
    </xf>
    <xf numFmtId="0" fontId="14" fillId="5" borderId="7" xfId="0" applyFont="1" applyFill="1" applyBorder="1" applyAlignment="1" applyProtection="1">
      <alignment horizontal="center" vertical="center" wrapText="1"/>
      <protection hidden="1"/>
    </xf>
    <xf numFmtId="0" fontId="14" fillId="5" borderId="8" xfId="0" applyFont="1" applyFill="1" applyBorder="1" applyAlignment="1" applyProtection="1">
      <alignment horizontal="center" vertical="center" wrapText="1"/>
      <protection hidden="1"/>
    </xf>
    <xf numFmtId="2" fontId="14" fillId="9" borderId="9" xfId="0" applyNumberFormat="1" applyFont="1" applyFill="1" applyBorder="1" applyAlignment="1" applyProtection="1">
      <alignment horizontal="center" vertical="center" wrapText="1"/>
      <protection hidden="1"/>
    </xf>
    <xf numFmtId="1" fontId="14" fillId="12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13" borderId="6" xfId="0" applyFont="1" applyFill="1" applyBorder="1" applyAlignment="1" applyProtection="1">
      <alignment horizontal="left" vertical="center" wrapText="1"/>
      <protection hidden="1"/>
    </xf>
    <xf numFmtId="0" fontId="7" fillId="13" borderId="7" xfId="0" applyFont="1" applyFill="1" applyBorder="1" applyAlignment="1" applyProtection="1">
      <alignment horizontal="left" vertical="center" wrapText="1"/>
      <protection hidden="1"/>
    </xf>
    <xf numFmtId="0" fontId="7" fillId="13" borderId="8" xfId="0" applyFont="1" applyFill="1" applyBorder="1" applyAlignment="1" applyProtection="1">
      <alignment horizontal="center" vertical="center" wrapText="1"/>
      <protection hidden="1"/>
    </xf>
    <xf numFmtId="0" fontId="12" fillId="22" borderId="8" xfId="0" applyFont="1" applyFill="1" applyBorder="1" applyAlignment="1" applyProtection="1">
      <alignment horizontal="center" vertical="center" wrapText="1"/>
      <protection hidden="1"/>
    </xf>
    <xf numFmtId="0" fontId="14" fillId="9" borderId="49" xfId="0" applyFont="1" applyFill="1" applyBorder="1" applyAlignment="1" applyProtection="1">
      <alignment horizontal="center" vertical="center" wrapText="1"/>
      <protection hidden="1"/>
    </xf>
    <xf numFmtId="0" fontId="14" fillId="9" borderId="60" xfId="0" applyFont="1" applyFill="1" applyBorder="1" applyAlignment="1" applyProtection="1">
      <alignment horizontal="center" vertical="center" wrapText="1"/>
      <protection hidden="1"/>
    </xf>
    <xf numFmtId="0" fontId="14" fillId="9" borderId="33" xfId="0" applyFont="1" applyFill="1" applyBorder="1" applyAlignment="1" applyProtection="1">
      <alignment horizontal="center" vertical="center" wrapText="1"/>
      <protection hidden="1"/>
    </xf>
    <xf numFmtId="0" fontId="14" fillId="9" borderId="3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67" fontId="7" fillId="6" borderId="37" xfId="0" applyNumberFormat="1" applyFont="1" applyFill="1" applyBorder="1" applyAlignment="1" applyProtection="1">
      <alignment horizontal="center" vertical="center" wrapText="1"/>
      <protection hidden="1"/>
    </xf>
    <xf numFmtId="167" fontId="7" fillId="6" borderId="39" xfId="0" applyNumberFormat="1" applyFont="1" applyFill="1" applyBorder="1" applyAlignment="1" applyProtection="1">
      <alignment horizontal="center" vertical="center" wrapText="1"/>
      <protection hidden="1"/>
    </xf>
    <xf numFmtId="167" fontId="7" fillId="6" borderId="30" xfId="0" applyNumberFormat="1" applyFont="1" applyFill="1" applyBorder="1" applyAlignment="1" applyProtection="1">
      <alignment horizontal="center" vertical="center" wrapText="1"/>
      <protection hidden="1"/>
    </xf>
    <xf numFmtId="167" fontId="7" fillId="6" borderId="32" xfId="0" applyNumberFormat="1" applyFont="1" applyFill="1" applyBorder="1" applyAlignment="1" applyProtection="1">
      <alignment horizontal="center" vertical="center" wrapText="1"/>
      <protection hidden="1"/>
    </xf>
    <xf numFmtId="167" fontId="7" fillId="6" borderId="40" xfId="0" applyNumberFormat="1" applyFont="1" applyFill="1" applyBorder="1" applyAlignment="1" applyProtection="1">
      <alignment horizontal="center" vertical="center" wrapText="1"/>
      <protection hidden="1"/>
    </xf>
    <xf numFmtId="167" fontId="7" fillId="6" borderId="35" xfId="0" applyNumberFormat="1" applyFont="1" applyFill="1" applyBorder="1" applyAlignment="1" applyProtection="1">
      <alignment horizontal="center" vertical="center" wrapText="1"/>
      <protection hidden="1"/>
    </xf>
    <xf numFmtId="0" fontId="6" fillId="22" borderId="6" xfId="0" applyFont="1" applyFill="1" applyBorder="1" applyAlignment="1" applyProtection="1">
      <alignment horizontal="center" vertical="center" wrapText="1"/>
      <protection hidden="1"/>
    </xf>
    <xf numFmtId="0" fontId="6" fillId="22" borderId="8" xfId="0" applyFont="1" applyFill="1" applyBorder="1" applyAlignment="1" applyProtection="1">
      <alignment horizontal="center" vertical="center" wrapText="1"/>
      <protection hidden="1"/>
    </xf>
    <xf numFmtId="0" fontId="6" fillId="22" borderId="7" xfId="0" applyFont="1" applyFill="1" applyBorder="1" applyAlignment="1" applyProtection="1">
      <alignment horizontal="center" vertical="center" wrapText="1"/>
      <protection hidden="1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7" fillId="6" borderId="44" xfId="0" applyFont="1" applyFill="1" applyBorder="1" applyAlignment="1" applyProtection="1">
      <alignment horizontal="center" vertical="center" wrapText="1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167" fontId="14" fillId="6" borderId="38" xfId="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67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38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4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1" fillId="28" borderId="44" xfId="0" applyFont="1" applyFill="1" applyBorder="1" applyAlignment="1">
      <alignment horizontal="center" vertical="center"/>
    </xf>
    <xf numFmtId="0" fontId="1" fillId="28" borderId="5" xfId="0" applyFont="1" applyFill="1" applyBorder="1" applyAlignment="1">
      <alignment horizontal="center" vertical="center"/>
    </xf>
    <xf numFmtId="0" fontId="1" fillId="28" borderId="3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8" borderId="53" xfId="0" applyFont="1" applyFill="1" applyBorder="1" applyAlignment="1">
      <alignment horizontal="center" vertical="center" wrapText="1"/>
    </xf>
    <xf numFmtId="0" fontId="1" fillId="28" borderId="59" xfId="0" applyFont="1" applyFill="1" applyBorder="1" applyAlignment="1">
      <alignment horizontal="center" vertical="center" wrapText="1"/>
    </xf>
    <xf numFmtId="0" fontId="1" fillId="28" borderId="5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13">
    <cellStyle name="Buena" xfId="1" builtinId="26"/>
    <cellStyle name="Buena 2" xfId="8"/>
    <cellStyle name="Estilo 1" xfId="2"/>
    <cellStyle name="Estilo 1 2" xfId="9"/>
    <cellStyle name="Estilo 2" xfId="3"/>
    <cellStyle name="Estilo 2 2" xfId="10"/>
    <cellStyle name="Estilo 3" xfId="4"/>
    <cellStyle name="Estilo 4" xfId="5"/>
    <cellStyle name="Estilo 5" xfId="6"/>
    <cellStyle name="Estilo 6" xfId="7"/>
    <cellStyle name="Normal" xfId="0" builtinId="0"/>
    <cellStyle name="Normal_Hoja4" xfId="12"/>
    <cellStyle name="Porcentaje" xfId="11" builtinId="5"/>
  </cellStyles>
  <dxfs count="6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/>
  </tableStyles>
  <colors>
    <mruColors>
      <color rgb="FFFCE4D6"/>
      <color rgb="FFAFDF9F"/>
      <color rgb="FF073763"/>
      <color rgb="FFFF9999"/>
      <color rgb="FFF4B084"/>
      <color rgb="FFDDEBF7"/>
      <color rgb="FF0070C0"/>
      <color rgb="FF81B0E4"/>
      <color rgb="FF8DB4E2"/>
      <color rgb="FF91C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#'!$A$68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#'!$F$68:$F$70</c:f>
              <c:numCache>
                <c:formatCode>General</c:formatCode>
                <c:ptCount val="3"/>
                <c:pt idx="0">
                  <c:v>17.100000000000001</c:v>
                </c:pt>
                <c:pt idx="1">
                  <c:v>20.100000000000001</c:v>
                </c:pt>
                <c:pt idx="2" formatCode="0.0">
                  <c:v>23.1</c:v>
                </c:pt>
              </c:numCache>
            </c:numRef>
          </c:xVal>
          <c:yVal>
            <c:numRef>
              <c:f>'DATOS #'!$H$68:$H$70</c:f>
              <c:numCache>
                <c:formatCode>0.0</c:formatCode>
                <c:ptCount val="3"/>
                <c:pt idx="0">
                  <c:v>-0.2</c:v>
                </c:pt>
                <c:pt idx="1">
                  <c:v>-0.1</c:v>
                </c:pt>
                <c:pt idx="2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7168"/>
        <c:axId val="98957560"/>
      </c:scatterChart>
      <c:valAx>
        <c:axId val="9895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57560"/>
        <c:crosses val="autoZero"/>
        <c:crossBetween val="midCat"/>
      </c:valAx>
      <c:valAx>
        <c:axId val="9895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5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#'!$A$101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#'!$F$101:$F$103</c:f>
              <c:numCache>
                <c:formatCode>General</c:formatCode>
                <c:ptCount val="3"/>
                <c:pt idx="0" formatCode="0.0">
                  <c:v>14.9</c:v>
                </c:pt>
                <c:pt idx="1">
                  <c:v>25</c:v>
                </c:pt>
                <c:pt idx="2">
                  <c:v>34.9</c:v>
                </c:pt>
              </c:numCache>
            </c:numRef>
          </c:xVal>
          <c:yVal>
            <c:numRef>
              <c:f>'DATOS #'!$H$101:$H$103</c:f>
              <c:numCache>
                <c:formatCode>0.0</c:formatCode>
                <c:ptCount val="3"/>
                <c:pt idx="0" formatCode="General">
                  <c:v>0.1</c:v>
                </c:pt>
                <c:pt idx="1">
                  <c:v>0</c:v>
                </c:pt>
                <c:pt idx="2" formatCode="General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4976"/>
        <c:axId val="100597720"/>
      </c:scatterChart>
      <c:valAx>
        <c:axId val="10059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7720"/>
        <c:crosses val="autoZero"/>
        <c:crossBetween val="midCat"/>
      </c:valAx>
      <c:valAx>
        <c:axId val="10059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4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#'!$A$104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#'!$F$104:$F$106</c:f>
              <c:numCache>
                <c:formatCode>General</c:formatCode>
                <c:ptCount val="3"/>
                <c:pt idx="0">
                  <c:v>32.9</c:v>
                </c:pt>
                <c:pt idx="1">
                  <c:v>55.6</c:v>
                </c:pt>
                <c:pt idx="2" formatCode="0.0">
                  <c:v>79</c:v>
                </c:pt>
              </c:numCache>
            </c:numRef>
          </c:xVal>
          <c:yVal>
            <c:numRef>
              <c:f>'DATOS #'!$H$104:$H$106</c:f>
              <c:numCache>
                <c:formatCode>General</c:formatCode>
                <c:ptCount val="3"/>
                <c:pt idx="0">
                  <c:v>-2.9</c:v>
                </c:pt>
                <c:pt idx="1">
                  <c:v>-0.6</c:v>
                </c:pt>
                <c:pt idx="2">
                  <c:v>1.9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3016"/>
        <c:axId val="100593408"/>
      </c:scatterChart>
      <c:valAx>
        <c:axId val="100593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3408"/>
        <c:crosses val="autoZero"/>
        <c:crossBetween val="midCat"/>
      </c:valAx>
      <c:valAx>
        <c:axId val="1005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3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#'!$A$107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strRef>
              <c:f>'DATOS #'!$F$107:$F$109</c:f>
              <c:strCache>
                <c:ptCount val="3"/>
                <c:pt idx="0">
                  <c:v>499,801</c:v>
                </c:pt>
                <c:pt idx="1">
                  <c:v>752,296</c:v>
                </c:pt>
                <c:pt idx="2">
                  <c:v>1 099,608</c:v>
                </c:pt>
              </c:strCache>
            </c:strRef>
          </c:xVal>
          <c:yVal>
            <c:numRef>
              <c:f>'DATOS #'!$H$107:$H$109</c:f>
              <c:numCache>
                <c:formatCode>#,##0.000</c:formatCode>
                <c:ptCount val="3"/>
                <c:pt idx="0">
                  <c:v>1.742</c:v>
                </c:pt>
                <c:pt idx="1">
                  <c:v>1.2150000000000001</c:v>
                </c:pt>
                <c:pt idx="2">
                  <c:v>1.1379999999999999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6936"/>
        <c:axId val="100593800"/>
      </c:scatterChart>
      <c:valAx>
        <c:axId val="10059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3800"/>
        <c:crosses val="autoZero"/>
        <c:crossBetween val="midCat"/>
      </c:valAx>
      <c:valAx>
        <c:axId val="10059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6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#'!$A$112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#'!$F$112:$F$114</c:f>
              <c:numCache>
                <c:formatCode>0.0</c:formatCode>
                <c:ptCount val="3"/>
                <c:pt idx="0" formatCode="General">
                  <c:v>14.9</c:v>
                </c:pt>
                <c:pt idx="1">
                  <c:v>24.9</c:v>
                </c:pt>
                <c:pt idx="2">
                  <c:v>34.9</c:v>
                </c:pt>
              </c:numCache>
            </c:numRef>
          </c:xVal>
          <c:yVal>
            <c:numRef>
              <c:f>'DATOS #'!$H$112:$H$114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35248"/>
        <c:axId val="101237992"/>
      </c:scatterChart>
      <c:valAx>
        <c:axId val="10123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7992"/>
        <c:crosses val="autoZero"/>
        <c:crossBetween val="midCat"/>
      </c:valAx>
      <c:valAx>
        <c:axId val="10123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#'!$A$115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#'!$F$115:$F$117</c:f>
              <c:numCache>
                <c:formatCode>General</c:formatCode>
                <c:ptCount val="3"/>
                <c:pt idx="0">
                  <c:v>33.299999999999997</c:v>
                </c:pt>
                <c:pt idx="1">
                  <c:v>56.1</c:v>
                </c:pt>
                <c:pt idx="2" formatCode="0.0">
                  <c:v>82.1</c:v>
                </c:pt>
              </c:numCache>
            </c:numRef>
          </c:xVal>
          <c:yVal>
            <c:numRef>
              <c:f>'DATOS #'!$H$115:$H$117</c:f>
              <c:numCache>
                <c:formatCode>General</c:formatCode>
                <c:ptCount val="3"/>
                <c:pt idx="0">
                  <c:v>-3.3</c:v>
                </c:pt>
                <c:pt idx="1">
                  <c:v>-1.1000000000000001</c:v>
                </c:pt>
                <c:pt idx="2">
                  <c:v>-1.2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36816"/>
        <c:axId val="101238384"/>
      </c:scatterChart>
      <c:valAx>
        <c:axId val="10123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8384"/>
        <c:crosses val="autoZero"/>
        <c:crossBetween val="midCat"/>
      </c:valAx>
      <c:valAx>
        <c:axId val="10123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#'!$A$118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#'!$F$118:$F$120</c:f>
              <c:numCache>
                <c:formatCode>General</c:formatCode>
                <c:ptCount val="3"/>
                <c:pt idx="0" formatCode="0.000">
                  <c:v>399.84</c:v>
                </c:pt>
                <c:pt idx="1">
                  <c:v>752.29499999999996</c:v>
                </c:pt>
                <c:pt idx="2" formatCode="0.000">
                  <c:v>999.72299999999996</c:v>
                </c:pt>
              </c:numCache>
            </c:numRef>
          </c:xVal>
          <c:yVal>
            <c:numRef>
              <c:f>'DATOS #'!$H$118:$H$120</c:f>
              <c:numCache>
                <c:formatCode>0.000</c:formatCode>
                <c:ptCount val="3"/>
                <c:pt idx="0" formatCode="General">
                  <c:v>1.6759999999999999</c:v>
                </c:pt>
                <c:pt idx="1">
                  <c:v>0.81399999999999995</c:v>
                </c:pt>
                <c:pt idx="2" formatCode="General">
                  <c:v>0.54900000000000004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38776"/>
        <c:axId val="101234856"/>
      </c:scatterChart>
      <c:valAx>
        <c:axId val="10123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4856"/>
        <c:crosses val="autoZero"/>
        <c:crossBetween val="midCat"/>
      </c:valAx>
      <c:valAx>
        <c:axId val="10123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8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V-009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#'!$B$44</c:f>
              <c:strCache>
                <c:ptCount val="1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429777179719217"/>
                  <c:y val="0.103023181841221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#'!$F$44:$F$48</c:f>
              <c:numCache>
                <c:formatCode>0.00</c:formatCode>
                <c:ptCount val="5"/>
                <c:pt idx="0">
                  <c:v>13.94</c:v>
                </c:pt>
                <c:pt idx="1">
                  <c:v>15.94</c:v>
                </c:pt>
                <c:pt idx="2">
                  <c:v>16.98</c:v>
                </c:pt>
                <c:pt idx="3">
                  <c:v>17.98</c:v>
                </c:pt>
                <c:pt idx="4">
                  <c:v>21.99</c:v>
                </c:pt>
              </c:numCache>
            </c:numRef>
          </c:xVal>
          <c:yVal>
            <c:numRef>
              <c:f>'DATOS #'!$H$44:$H$48</c:f>
              <c:numCache>
                <c:formatCode>General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36424"/>
        <c:axId val="101236032"/>
      </c:scatterChart>
      <c:valAx>
        <c:axId val="101236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6032"/>
        <c:crosses val="autoZero"/>
        <c:crossBetween val="midCat"/>
      </c:valAx>
      <c:valAx>
        <c:axId val="1012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6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</a:t>
            </a:r>
            <a:r>
              <a:rPr lang="en-US" baseline="0"/>
              <a:t> </a:t>
            </a:r>
            <a:r>
              <a:rPr lang="en-US"/>
              <a:t>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#'!$B$38</c:f>
              <c:strCache>
                <c:ptCount val="1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812976403224042"/>
                  <c:y val="-6.2572543108277395E-2"/>
                </c:manualLayout>
              </c:layout>
              <c:numFmt formatCode="##,#00,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#'!$F$38:$F$42</c:f>
              <c:numCache>
                <c:formatCode>0.000</c:formatCode>
                <c:ptCount val="5"/>
                <c:pt idx="0">
                  <c:v>14.003</c:v>
                </c:pt>
                <c:pt idx="1">
                  <c:v>16.012</c:v>
                </c:pt>
                <c:pt idx="2">
                  <c:v>17.021999999999998</c:v>
                </c:pt>
                <c:pt idx="3" formatCode="General">
                  <c:v>18.026</c:v>
                </c:pt>
                <c:pt idx="4">
                  <c:v>22.04</c:v>
                </c:pt>
              </c:numCache>
            </c:numRef>
          </c:xVal>
          <c:yVal>
            <c:numRef>
              <c:f>'DATOS #'!$H$38:$H$42</c:f>
              <c:numCache>
                <c:formatCode>0.000</c:formatCode>
                <c:ptCount val="5"/>
                <c:pt idx="0">
                  <c:v>-0.02</c:v>
                </c:pt>
                <c:pt idx="1">
                  <c:v>-2.1999999999999999E-2</c:v>
                </c:pt>
                <c:pt idx="2">
                  <c:v>-2.3E-2</c:v>
                </c:pt>
                <c:pt idx="3" formatCode="General">
                  <c:v>-2.5000000000000001E-2</c:v>
                </c:pt>
                <c:pt idx="4" formatCode="General">
                  <c:v>-3.1E-2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39168"/>
        <c:axId val="101239560"/>
      </c:scatterChart>
      <c:valAx>
        <c:axId val="101239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9560"/>
        <c:crosses val="autoZero"/>
        <c:crossBetween val="midCat"/>
      </c:valAx>
      <c:valAx>
        <c:axId val="10123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BALANZA RADWAG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#'!$B$178:$B$184</c:f>
              <c:strCache>
                <c:ptCount val="7"/>
                <c:pt idx="0">
                  <c:v>balanza digital de 8100 g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893411444108266"/>
                  <c:y val="2.58451895273485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#'!$F$178:$F$187</c:f>
              <c:numCache>
                <c:formatCode>0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  <c:pt idx="6">
                  <c:v>3500</c:v>
                </c:pt>
                <c:pt idx="7">
                  <c:v>5000</c:v>
                </c:pt>
                <c:pt idx="8">
                  <c:v>6500</c:v>
                </c:pt>
                <c:pt idx="9">
                  <c:v>8100</c:v>
                </c:pt>
              </c:numCache>
            </c:numRef>
          </c:xVal>
          <c:yVal>
            <c:numRef>
              <c:f>'DATOS #'!$H$178:$H$187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-0.02</c:v>
                </c:pt>
                <c:pt idx="4">
                  <c:v>-0.03</c:v>
                </c:pt>
                <c:pt idx="5" formatCode="General">
                  <c:v>-0.04</c:v>
                </c:pt>
                <c:pt idx="6" formatCode="General">
                  <c:v>-7.0000000000000007E-2</c:v>
                </c:pt>
                <c:pt idx="7" formatCode="General">
                  <c:v>-0.11</c:v>
                </c:pt>
                <c:pt idx="8" formatCode="General">
                  <c:v>-0.15</c:v>
                </c:pt>
                <c:pt idx="9">
                  <c:v>-0.19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F-4B7D-9FCC-D033C0F5C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32896"/>
        <c:axId val="101234464"/>
      </c:scatterChart>
      <c:valAx>
        <c:axId val="10123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4464"/>
        <c:crosses val="autoZero"/>
        <c:crossBetween val="midCat"/>
      </c:valAx>
      <c:valAx>
        <c:axId val="10123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2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BALANZA VIBRA</a:t>
            </a:r>
          </a:p>
        </c:rich>
      </c:tx>
      <c:layout>
        <c:manualLayout>
          <c:xMode val="edge"/>
          <c:yMode val="edge"/>
          <c:x val="0.36089916195837102"/>
          <c:y val="3.3812553699774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#'!$B$189:$B$198</c:f>
              <c:strCache>
                <c:ptCount val="10"/>
                <c:pt idx="0">
                  <c:v>balanza digital de 60 kg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893411444108266"/>
                  <c:y val="2.58451895273485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#'!$F$189:$F$198</c:f>
              <c:numCache>
                <c:formatCode>0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5000</c:v>
                </c:pt>
                <c:pt idx="3">
                  <c:v>10000</c:v>
                </c:pt>
                <c:pt idx="4">
                  <c:v>15000</c:v>
                </c:pt>
                <c:pt idx="5">
                  <c:v>20000</c:v>
                </c:pt>
                <c:pt idx="6">
                  <c:v>25000</c:v>
                </c:pt>
                <c:pt idx="7">
                  <c:v>35000</c:v>
                </c:pt>
                <c:pt idx="8">
                  <c:v>50000</c:v>
                </c:pt>
                <c:pt idx="9">
                  <c:v>60000</c:v>
                </c:pt>
              </c:numCache>
            </c:numRef>
          </c:xVal>
          <c:yVal>
            <c:numRef>
              <c:f>'DATOS #'!$H$189:$H$198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 formatCode="General">
                  <c:v>0.1</c:v>
                </c:pt>
                <c:pt idx="6">
                  <c:v>0.2</c:v>
                </c:pt>
                <c:pt idx="7">
                  <c:v>0.5</c:v>
                </c:pt>
                <c:pt idx="8" formatCode="General">
                  <c:v>0.7</c:v>
                </c:pt>
                <c:pt idx="9" formatCode="General">
                  <c:v>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FF-442A-B50A-226770205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33288"/>
        <c:axId val="101233680"/>
      </c:scatterChart>
      <c:valAx>
        <c:axId val="101233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3680"/>
        <c:crosses val="autoZero"/>
        <c:crossBetween val="midCat"/>
      </c:valAx>
      <c:valAx>
        <c:axId val="10123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33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#'!$A$71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#'!$F$71:$F$73</c:f>
              <c:numCache>
                <c:formatCode>0.0</c:formatCode>
                <c:ptCount val="3"/>
                <c:pt idx="0" formatCode="General">
                  <c:v>33.299999999999997</c:v>
                </c:pt>
                <c:pt idx="1">
                  <c:v>55.6</c:v>
                </c:pt>
                <c:pt idx="2">
                  <c:v>78.8</c:v>
                </c:pt>
              </c:numCache>
            </c:numRef>
          </c:xVal>
          <c:yVal>
            <c:numRef>
              <c:f>'DATOS #'!$H$71:$H$73</c:f>
              <c:numCache>
                <c:formatCode>0.0</c:formatCode>
                <c:ptCount val="3"/>
                <c:pt idx="0" formatCode="General">
                  <c:v>-3.3</c:v>
                </c:pt>
                <c:pt idx="1">
                  <c:v>-0.6</c:v>
                </c:pt>
                <c:pt idx="2">
                  <c:v>2.1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8344"/>
        <c:axId val="98957952"/>
      </c:scatterChart>
      <c:valAx>
        <c:axId val="9895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57952"/>
        <c:crosses val="autoZero"/>
        <c:crossBetween val="midCat"/>
      </c:valAx>
      <c:valAx>
        <c:axId val="9895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58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</a:t>
            </a:r>
            <a:r>
              <a:rPr lang="en-US" baseline="0"/>
              <a:t> </a:t>
            </a:r>
            <a:r>
              <a:rPr lang="en-US"/>
              <a:t>V-010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#'!$B$50:$B$54</c:f>
              <c:strCache>
                <c:ptCount val="5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846313144850325"/>
                  <c:y val="7.510356979667623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-0.0022x + 0.0916</a:t>
                    </a:r>
                    <a:br>
                      <a:rPr lang="en-US" sz="1400" baseline="0"/>
                    </a:br>
                    <a:r>
                      <a:rPr lang="en-US" sz="1400" baseline="0"/>
                      <a:t>R² = 0.7951</a:t>
                    </a:r>
                    <a:endParaRPr lang="en-US" sz="1400"/>
                  </a:p>
                </c:rich>
              </c:tx>
              <c:numFmt formatCode="##,#00,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#'!$F$50:$F$54</c:f>
              <c:numCache>
                <c:formatCode>0.00</c:formatCode>
                <c:ptCount val="5"/>
                <c:pt idx="0">
                  <c:v>13.92</c:v>
                </c:pt>
                <c:pt idx="1">
                  <c:v>15.92</c:v>
                </c:pt>
                <c:pt idx="2">
                  <c:v>16.96</c:v>
                </c:pt>
                <c:pt idx="3">
                  <c:v>17.96</c:v>
                </c:pt>
                <c:pt idx="4">
                  <c:v>21.96</c:v>
                </c:pt>
              </c:numCache>
            </c:numRef>
          </c:xVal>
          <c:yVal>
            <c:numRef>
              <c:f>'DATOS #'!$H$50:$H$54</c:f>
              <c:numCache>
                <c:formatCode>General</c:formatCode>
                <c:ptCount val="5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B4-4498-B3B3-D27D8C6A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82576"/>
        <c:axId val="101382968"/>
      </c:scatterChart>
      <c:valAx>
        <c:axId val="10138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82968"/>
        <c:crosses val="autoZero"/>
        <c:crossBetween val="midCat"/>
      </c:valAx>
      <c:valAx>
        <c:axId val="10138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8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</a:t>
            </a:r>
            <a:r>
              <a:rPr lang="en-US" baseline="0"/>
              <a:t> </a:t>
            </a:r>
            <a:r>
              <a:rPr lang="en-US"/>
              <a:t>V-011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#'!$B$56:$B$60</c:f>
              <c:strCache>
                <c:ptCount val="5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680353798603669"/>
                  <c:y val="-0.229836623909518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#'!$F$56:$F$60</c:f>
              <c:numCache>
                <c:formatCode>0.00</c:formatCode>
                <c:ptCount val="5"/>
                <c:pt idx="0">
                  <c:v>13.8</c:v>
                </c:pt>
                <c:pt idx="1">
                  <c:v>15.81</c:v>
                </c:pt>
                <c:pt idx="2">
                  <c:v>16.850000000000001</c:v>
                </c:pt>
                <c:pt idx="3">
                  <c:v>17.850000000000001</c:v>
                </c:pt>
                <c:pt idx="4">
                  <c:v>21.85</c:v>
                </c:pt>
              </c:numCache>
            </c:numRef>
          </c:xVal>
          <c:yVal>
            <c:numRef>
              <c:f>'DATOS #'!$H$56:$H$60</c:f>
              <c:numCache>
                <c:formatCode>0.00</c:formatCode>
                <c:ptCount val="5"/>
                <c:pt idx="0" formatCode="General">
                  <c:v>0.16</c:v>
                </c:pt>
                <c:pt idx="1">
                  <c:v>0.15</c:v>
                </c:pt>
                <c:pt idx="2">
                  <c:v>0.15</c:v>
                </c:pt>
                <c:pt idx="3" formatCode="General">
                  <c:v>0.15</c:v>
                </c:pt>
                <c:pt idx="4" formatCode="General">
                  <c:v>0.15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C7-48BB-B7FF-EE79BFBED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75912"/>
        <c:axId val="101380224"/>
      </c:scatterChart>
      <c:valAx>
        <c:axId val="10137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80224"/>
        <c:crosses val="autoZero"/>
        <c:crossBetween val="midCat"/>
      </c:valAx>
      <c:valAx>
        <c:axId val="1013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7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RVC</a:t>
            </a:r>
            <a:r>
              <a:rPr lang="en-US" baseline="0"/>
              <a:t> liquido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7354158475438102E-2"/>
          <c:y val="0.12910517140744168"/>
          <c:w val="0.85198690451252068"/>
          <c:h val="0.7016662653353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'RT03-F33 # '!$A$8:$A$12</c:f>
              <c:strCache>
                <c:ptCount val="5"/>
                <c:pt idx="0">
                  <c:v>Termómetro (RVC)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170575843364778"/>
                  <c:y val="8.028722423122558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strRef>
              <c:f>'RT03-F33 # '!$C$8:$C$12</c:f>
              <c:strCache>
                <c:ptCount val="5"/>
                <c:pt idx="0">
                  <c:v>N/A</c:v>
                </c:pt>
                <c:pt idx="1">
                  <c:v>N/A</c:v>
                </c:pt>
                <c:pt idx="2">
                  <c:v>N/A</c:v>
                </c:pt>
                <c:pt idx="3">
                  <c:v>N/A</c:v>
                </c:pt>
                <c:pt idx="4">
                  <c:v>N/A</c:v>
                </c:pt>
              </c:strCache>
            </c:strRef>
          </c:xVal>
          <c:yVal>
            <c:numRef>
              <c:f>'RT03-F33 # '!$G$8:$G$12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77480"/>
        <c:axId val="101376304"/>
      </c:scatterChart>
      <c:valAx>
        <c:axId val="101377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76304"/>
        <c:crosses val="autoZero"/>
        <c:crossBetween val="midCat"/>
      </c:valAx>
      <c:valAx>
        <c:axId val="10137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77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'RT03-F33 # '!$A$13:$A$17</c:f>
              <c:strCache>
                <c:ptCount val="5"/>
                <c:pt idx="0">
                  <c:v>Instrumento de pesaje de funcionamiento no automático-IPFNA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552747200282843"/>
                  <c:y val="-4.7259230859345875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'RT03-F33 # '!$C$13:$C$22</c:f>
              <c:numCache>
                <c:formatCode>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'RT03-F33 # '!$G$13:$G$22</c:f>
              <c:numCache>
                <c:formatCode>0.0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78264"/>
        <c:axId val="101379440"/>
      </c:scatterChart>
      <c:valAx>
        <c:axId val="101378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79440"/>
        <c:crosses val="autoZero"/>
        <c:crossBetween val="midCat"/>
      </c:valAx>
      <c:valAx>
        <c:axId val="1013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78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'RT03-F33 # '!$P$110</c:f>
              <c:strCache>
                <c:ptCount val="1"/>
                <c:pt idx="0">
                  <c:v>Aporte a la Incertidumbre (aire)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'RT03-F33 # '!$A$112:$A$124</c:f>
              <c:strCache>
                <c:ptCount val="13"/>
                <c:pt idx="0">
                  <c:v>Ecuación</c:v>
                </c:pt>
                <c:pt idx="1">
                  <c:v>Taire (°C)</c:v>
                </c:pt>
                <c:pt idx="2">
                  <c:v>Calibración termómetro</c:v>
                </c:pt>
                <c:pt idx="3">
                  <c:v>resolución termómetro</c:v>
                </c:pt>
                <c:pt idx="4">
                  <c:v>Deriva del termómetro</c:v>
                </c:pt>
                <c:pt idx="5">
                  <c:v>Humedad (% hr)</c:v>
                </c:pt>
                <c:pt idx="6">
                  <c:v>Calibración higrómetro</c:v>
                </c:pt>
                <c:pt idx="7">
                  <c:v>resolución higrómetro</c:v>
                </c:pt>
                <c:pt idx="8">
                  <c:v>Deriva del higrómetro</c:v>
                </c:pt>
                <c:pt idx="9">
                  <c:v>Presión (hPa)</c:v>
                </c:pt>
                <c:pt idx="10">
                  <c:v>Calibración barómetro</c:v>
                </c:pt>
                <c:pt idx="11">
                  <c:v>resolución barómetro</c:v>
                </c:pt>
                <c:pt idx="12">
                  <c:v>Deriva del barómetro</c:v>
                </c:pt>
              </c:strCache>
            </c:strRef>
          </c:cat>
          <c:val>
            <c:numRef>
              <c:f>'RT03-F33 # '!$P$112:$P$124</c:f>
              <c:numCache>
                <c:formatCode>General</c:formatCode>
                <c:ptCount val="13"/>
                <c:pt idx="0" formatCode="0%">
                  <c:v>#N/A</c:v>
                </c:pt>
                <c:pt idx="2" formatCode="0%">
                  <c:v>#N/A</c:v>
                </c:pt>
                <c:pt idx="3" formatCode="0%">
                  <c:v>#N/A</c:v>
                </c:pt>
                <c:pt idx="4" formatCode="0.00%">
                  <c:v>#N/A</c:v>
                </c:pt>
                <c:pt idx="6" formatCode="0%">
                  <c:v>#N/A</c:v>
                </c:pt>
                <c:pt idx="7" formatCode="0.0000%">
                  <c:v>#N/A</c:v>
                </c:pt>
                <c:pt idx="8" formatCode="0.00%">
                  <c:v>#N/A</c:v>
                </c:pt>
                <c:pt idx="10" formatCode="0%">
                  <c:v>#N/A</c:v>
                </c:pt>
                <c:pt idx="11" formatCode="0.00%">
                  <c:v>#N/A</c:v>
                </c:pt>
                <c:pt idx="12" formatCode="0.00%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E2-434C-838E-3A183A11BDD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1377088"/>
        <c:axId val="101377872"/>
      </c:barChart>
      <c:catAx>
        <c:axId val="10137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77872"/>
        <c:crosses val="autoZero"/>
        <c:auto val="1"/>
        <c:lblAlgn val="ctr"/>
        <c:lblOffset val="100"/>
        <c:noMultiLvlLbl val="0"/>
      </c:catAx>
      <c:valAx>
        <c:axId val="101377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137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'RT03-F33 # '!$P$134</c:f>
              <c:strCache>
                <c:ptCount val="1"/>
                <c:pt idx="0">
                  <c:v>Aporte a la Incertidumbre (agua)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'RT03-F33 # '!$A$136:$A$146</c:f>
              <c:strCache>
                <c:ptCount val="11"/>
                <c:pt idx="0">
                  <c:v>Expansión del agua</c:v>
                </c:pt>
                <c:pt idx="1">
                  <c:v>Composición isotópica</c:v>
                </c:pt>
                <c:pt idx="2">
                  <c:v>Ecuación</c:v>
                </c:pt>
                <c:pt idx="3">
                  <c:v>Tagua (°C)</c:v>
                </c:pt>
                <c:pt idx="4">
                  <c:v>Calibración termómetro</c:v>
                </c:pt>
                <c:pt idx="5">
                  <c:v>Resolución termómetro</c:v>
                </c:pt>
                <c:pt idx="6">
                  <c:v>Deriva del termómetro</c:v>
                </c:pt>
                <c:pt idx="7">
                  <c:v>Presión (hPa)</c:v>
                </c:pt>
                <c:pt idx="8">
                  <c:v>Calibración barómetro</c:v>
                </c:pt>
                <c:pt idx="9">
                  <c:v>Resolución barómetro</c:v>
                </c:pt>
                <c:pt idx="10">
                  <c:v>Deriva del barómetro</c:v>
                </c:pt>
              </c:strCache>
            </c:strRef>
          </c:cat>
          <c:val>
            <c:numRef>
              <c:f>'RT03-F33 # '!$P$136:$P$146</c:f>
              <c:numCache>
                <c:formatCode>0%</c:formatCode>
                <c:ptCount val="11"/>
                <c:pt idx="0">
                  <c:v>0</c:v>
                </c:pt>
                <c:pt idx="1">
                  <c:v>#N/A</c:v>
                </c:pt>
                <c:pt idx="2" formatCode="0.0%">
                  <c:v>#N/A</c:v>
                </c:pt>
                <c:pt idx="4">
                  <c:v>0</c:v>
                </c:pt>
                <c:pt idx="5" formatCode="0.0000%">
                  <c:v>0</c:v>
                </c:pt>
                <c:pt idx="6" formatCode="0.000%">
                  <c:v>0</c:v>
                </c:pt>
                <c:pt idx="8" formatCode="0.000000%">
                  <c:v>#N/A</c:v>
                </c:pt>
                <c:pt idx="9" formatCode="0.0000000%">
                  <c:v>#N/A</c:v>
                </c:pt>
                <c:pt idx="10" formatCode="0.0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C1-47C8-B0F4-C84374DC84B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1379832"/>
        <c:axId val="101380616"/>
      </c:barChart>
      <c:catAx>
        <c:axId val="10137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80616"/>
        <c:crosses val="autoZero"/>
        <c:auto val="1"/>
        <c:lblAlgn val="ctr"/>
        <c:lblOffset val="100"/>
        <c:noMultiLvlLbl val="0"/>
      </c:catAx>
      <c:valAx>
        <c:axId val="1013806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137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'RT03-F33 # '!$R$153</c:f>
              <c:strCache>
                <c:ptCount val="1"/>
                <c:pt idx="0">
                  <c:v>Aporte a la Incertidumbre (volumen)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'RT03-F33 # '!$A$156:$A$182</c:f>
              <c:strCache>
                <c:ptCount val="27"/>
                <c:pt idx="0">
                  <c:v>Resolución balanza, g</c:v>
                </c:pt>
                <c:pt idx="1">
                  <c:v>Calibración, g</c:v>
                </c:pt>
                <c:pt idx="2">
                  <c:v>Excentricidad, g</c:v>
                </c:pt>
                <c:pt idx="3">
                  <c:v>Deriva,g</c:v>
                </c:pt>
                <c:pt idx="4">
                  <c:v>Lectura recipiente vacío g</c:v>
                </c:pt>
                <c:pt idx="5">
                  <c:v>Resolución, g</c:v>
                </c:pt>
                <c:pt idx="6">
                  <c:v>Calibración, g</c:v>
                </c:pt>
                <c:pt idx="7">
                  <c:v>Excentricidad, g</c:v>
                </c:pt>
                <c:pt idx="8">
                  <c:v>Incertidumbre del método</c:v>
                </c:pt>
                <c:pt idx="9">
                  <c:v>Densidad del aire (g/cm3)</c:v>
                </c:pt>
                <c:pt idx="10">
                  <c:v>CIPM Versión Exponencial 2007</c:v>
                </c:pt>
                <c:pt idx="11">
                  <c:v>Densidad del agua [g/cm³]</c:v>
                </c:pt>
                <c:pt idx="12">
                  <c:v>Tanaka</c:v>
                </c:pt>
                <c:pt idx="13">
                  <c:v>Den. Masas [g/cm³]</c:v>
                </c:pt>
                <c:pt idx="14">
                  <c:v>OIML R 111-1</c:v>
                </c:pt>
                <c:pt idx="15">
                  <c:v>Coef. Cúbico de exp. [1/°C]</c:v>
                </c:pt>
                <c:pt idx="16">
                  <c:v>Coeficiente expansión Térmica del material</c:v>
                </c:pt>
                <c:pt idx="17">
                  <c:v>Temperatura del agua [°C]</c:v>
                </c:pt>
                <c:pt idx="18">
                  <c:v>Resolución termómetro, ºC</c:v>
                </c:pt>
                <c:pt idx="19">
                  <c:v>Calibración termómetro, ºC</c:v>
                </c:pt>
                <c:pt idx="20">
                  <c:v>Deriva termómetro, ºC</c:v>
                </c:pt>
                <c:pt idx="21">
                  <c:v>Gradiente en la medición de la temperatura</c:v>
                </c:pt>
                <c:pt idx="22">
                  <c:v>Gradiente entre Tagua y T aire, ºC</c:v>
                </c:pt>
                <c:pt idx="23">
                  <c:v>Repetibilidad</c:v>
                </c:pt>
                <c:pt idx="24">
                  <c:v>Ajuste menisco (Efecto operador)</c:v>
                </c:pt>
                <c:pt idx="25">
                  <c:v>Ajuste menisco (Efecto operador)</c:v>
                </c:pt>
                <c:pt idx="26">
                  <c:v>Evaporación</c:v>
                </c:pt>
              </c:strCache>
            </c:strRef>
          </c:cat>
          <c:val>
            <c:numRef>
              <c:f>'RT03-F33 # '!$R$156:$R$182</c:f>
              <c:numCache>
                <c:formatCode>0.000%</c:formatCod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10">
                  <c:v>#N/A</c:v>
                </c:pt>
                <c:pt idx="12">
                  <c:v>0</c:v>
                </c:pt>
                <c:pt idx="14">
                  <c:v>#N/A</c:v>
                </c:pt>
                <c:pt idx="16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 formatCode="0.00%">
                  <c:v>#N/A</c:v>
                </c:pt>
                <c:pt idx="23" formatCode="0.0%">
                  <c:v>#N/A</c:v>
                </c:pt>
                <c:pt idx="24" formatCode="0.0%">
                  <c:v>#N/A</c:v>
                </c:pt>
                <c:pt idx="25">
                  <c:v>#N/A</c:v>
                </c:pt>
                <c:pt idx="26" formatCode="0.0%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4D-4B2C-8AD2-6F19C27E0F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2758904"/>
        <c:axId val="102755768"/>
      </c:barChart>
      <c:catAx>
        <c:axId val="10275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755768"/>
        <c:crosses val="autoZero"/>
        <c:auto val="1"/>
        <c:lblAlgn val="ctr"/>
        <c:lblOffset val="100"/>
        <c:noMultiLvlLbl val="0"/>
      </c:catAx>
      <c:valAx>
        <c:axId val="1027557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crossAx val="10275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volumen antes de ajuste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 #'!$B$3</c:f>
              <c:strCache>
                <c:ptCount val="1"/>
                <c:pt idx="0">
                  <c:v>TU (EMP + (mL))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#'!$B$4:$B$8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B1-4A70-B967-42302C221AFD}"/>
            </c:ext>
          </c:extLst>
        </c:ser>
        <c:ser>
          <c:idx val="1"/>
          <c:order val="1"/>
          <c:tx>
            <c:strRef>
              <c:f>'PC #'!$C$3</c:f>
              <c:strCache>
                <c:ptCount val="1"/>
                <c:pt idx="0">
                  <c:v>TL (EMP - (mL))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#'!$C$4:$C$8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B1-4A70-B967-42302C221AFD}"/>
            </c:ext>
          </c:extLst>
        </c:ser>
        <c:ser>
          <c:idx val="2"/>
          <c:order val="2"/>
          <c:tx>
            <c:strRef>
              <c:f>'PC #'!$D$3</c:f>
              <c:strCache>
                <c:ptCount val="1"/>
                <c:pt idx="0">
                  <c:v>Volumen nominal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#'!$D$4:$D$8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B1-4A70-B967-42302C221AFD}"/>
            </c:ext>
          </c:extLst>
        </c:ser>
        <c:ser>
          <c:idx val="3"/>
          <c:order val="3"/>
          <c:tx>
            <c:strRef>
              <c:f>'PC #'!$E$3</c:f>
              <c:strCache>
                <c:ptCount val="1"/>
                <c:pt idx="0">
                  <c:v>Error indicación (mL)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'PC #'!$F$4:$F$8</c:f>
                <c:numCache>
                  <c:formatCode>General</c:formatCode>
                  <c:ptCount val="5"/>
                  <c:pt idx="1">
                    <c:v>#N/A</c:v>
                  </c:pt>
                  <c:pt idx="2">
                    <c:v>#N/A</c:v>
                  </c:pt>
                </c:numCache>
              </c:numRef>
            </c:plus>
            <c:minus>
              <c:numRef>
                <c:f>'PC #'!$F$4:$F$8</c:f>
                <c:numCache>
                  <c:formatCode>General</c:formatCode>
                  <c:ptCount val="5"/>
                  <c:pt idx="1">
                    <c:v>#N/A</c:v>
                  </c:pt>
                  <c:pt idx="2">
                    <c:v>#N/A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#'!$E$4:$E$5</c:f>
              <c:numCache>
                <c:formatCode>0.00</c:formatCode>
                <c:ptCount val="2"/>
                <c:pt idx="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B1-4A70-B967-42302C22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58120"/>
        <c:axId val="102755376"/>
      </c:lineChart>
      <c:catAx>
        <c:axId val="1027581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2755376"/>
        <c:crosses val="autoZero"/>
        <c:auto val="1"/>
        <c:lblAlgn val="ctr"/>
        <c:lblOffset val="100"/>
        <c:noMultiLvlLbl val="0"/>
      </c:catAx>
      <c:valAx>
        <c:axId val="102755376"/>
        <c:scaling>
          <c:orientation val="minMax"/>
          <c:min val="-15.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758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6">
        <a:lumMod val="20000"/>
        <a:lumOff val="80000"/>
      </a:schemeClr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Probabilidad de Conformidad y no Conformidad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 #'!$B$3</c:f>
              <c:strCache>
                <c:ptCount val="1"/>
                <c:pt idx="0">
                  <c:v>TU (EMP + (mL))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#'!$B$4:$B$8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4D-430A-A051-3B66F6A66033}"/>
            </c:ext>
          </c:extLst>
        </c:ser>
        <c:ser>
          <c:idx val="1"/>
          <c:order val="1"/>
          <c:tx>
            <c:strRef>
              <c:f>'PC #'!$C$3</c:f>
              <c:strCache>
                <c:ptCount val="1"/>
                <c:pt idx="0">
                  <c:v>TL (EMP - (mL))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#'!$C$4:$C$8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4D-430A-A051-3B66F6A66033}"/>
            </c:ext>
          </c:extLst>
        </c:ser>
        <c:ser>
          <c:idx val="2"/>
          <c:order val="2"/>
          <c:tx>
            <c:strRef>
              <c:f>'PC #'!$D$3</c:f>
              <c:strCache>
                <c:ptCount val="1"/>
                <c:pt idx="0">
                  <c:v>Volumen nominal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#'!$D$4:$D$8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D-430A-A051-3B66F6A66033}"/>
            </c:ext>
          </c:extLst>
        </c:ser>
        <c:ser>
          <c:idx val="3"/>
          <c:order val="3"/>
          <c:tx>
            <c:strRef>
              <c:f>'PC #'!$E$3</c:f>
              <c:strCache>
                <c:ptCount val="1"/>
                <c:pt idx="0">
                  <c:v>Error indicación (mL)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'PC #'!$F$4:$F$8</c:f>
                <c:numCache>
                  <c:formatCode>General</c:formatCode>
                  <c:ptCount val="5"/>
                  <c:pt idx="1">
                    <c:v>#N/A</c:v>
                  </c:pt>
                  <c:pt idx="2">
                    <c:v>#N/A</c:v>
                  </c:pt>
                </c:numCache>
              </c:numRef>
            </c:plus>
            <c:minus>
              <c:numRef>
                <c:f>'PC #'!$F$4:$F$8</c:f>
                <c:numCache>
                  <c:formatCode>General</c:formatCode>
                  <c:ptCount val="5"/>
                  <c:pt idx="1">
                    <c:v>#N/A</c:v>
                  </c:pt>
                  <c:pt idx="2">
                    <c:v>#N/A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'PC #'!$A$4:$A$8</c:f>
              <c:strCache>
                <c:ptCount val="5"/>
                <c:pt idx="0">
                  <c:v>1</c:v>
                </c:pt>
                <c:pt idx="1">
                  <c:v>Antes de ajuste</c:v>
                </c:pt>
                <c:pt idx="2">
                  <c:v>Después de ajuste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'PC #'!$E$4:$E$8</c:f>
              <c:numCache>
                <c:formatCode>0.00</c:formatCode>
                <c:ptCount val="5"/>
                <c:pt idx="1">
                  <c:v>#N/A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D4D-430A-A051-3B66F6A6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54592"/>
        <c:axId val="102754984"/>
      </c:lineChart>
      <c:catAx>
        <c:axId val="10275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754984"/>
        <c:crosses val="autoZero"/>
        <c:auto val="1"/>
        <c:lblAlgn val="ctr"/>
        <c:lblOffset val="100"/>
        <c:noMultiLvlLbl val="0"/>
      </c:catAx>
      <c:valAx>
        <c:axId val="102754984"/>
        <c:scaling>
          <c:orientation val="minMax"/>
          <c:min val="-15.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754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6">
        <a:lumMod val="20000"/>
        <a:lumOff val="80000"/>
      </a:schemeClr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#'!$A$74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#'!$F$74:$F$76</c:f>
              <c:numCache>
                <c:formatCode>#,##0.000</c:formatCode>
                <c:ptCount val="3"/>
                <c:pt idx="0">
                  <c:v>499.78800000000001</c:v>
                </c:pt>
                <c:pt idx="1">
                  <c:v>752.28800000000001</c:v>
                </c:pt>
                <c:pt idx="2" formatCode="0.000">
                  <c:v>899.58299999999997</c:v>
                </c:pt>
              </c:numCache>
            </c:numRef>
          </c:xVal>
          <c:yVal>
            <c:numRef>
              <c:f>'DATOS #'!$H$74:$H$76</c:f>
              <c:numCache>
                <c:formatCode>0.000</c:formatCode>
                <c:ptCount val="3"/>
                <c:pt idx="0">
                  <c:v>1.6559999999999999</c:v>
                </c:pt>
                <c:pt idx="1">
                  <c:v>1.0900000000000001</c:v>
                </c:pt>
                <c:pt idx="2">
                  <c:v>0.85599999999999998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8736"/>
        <c:axId val="98960304"/>
      </c:scatterChart>
      <c:valAx>
        <c:axId val="9895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60304"/>
        <c:crosses val="autoZero"/>
        <c:crossBetween val="midCat"/>
      </c:valAx>
      <c:valAx>
        <c:axId val="989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5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#'!$A$79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#'!$F$79:$F$81</c:f>
              <c:numCache>
                <c:formatCode>General</c:formatCode>
                <c:ptCount val="3"/>
                <c:pt idx="0">
                  <c:v>18</c:v>
                </c:pt>
                <c:pt idx="1">
                  <c:v>21.1</c:v>
                </c:pt>
                <c:pt idx="2" formatCode="0.0">
                  <c:v>24</c:v>
                </c:pt>
              </c:numCache>
            </c:numRef>
          </c:xVal>
          <c:yVal>
            <c:numRef>
              <c:f>'DATOS #'!$H$79:$H$81</c:f>
              <c:numCache>
                <c:formatCode>0.0</c:formatCode>
                <c:ptCount val="3"/>
                <c:pt idx="0">
                  <c:v>0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9128"/>
        <c:axId val="98959912"/>
      </c:scatterChart>
      <c:valAx>
        <c:axId val="9895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59912"/>
        <c:crosses val="autoZero"/>
        <c:crossBetween val="midCat"/>
      </c:valAx>
      <c:valAx>
        <c:axId val="9895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59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#'!$A$82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#'!$F$82:$F$84</c:f>
              <c:numCache>
                <c:formatCode>General</c:formatCode>
                <c:ptCount val="3"/>
                <c:pt idx="0">
                  <c:v>33.6</c:v>
                </c:pt>
                <c:pt idx="1">
                  <c:v>55.8</c:v>
                </c:pt>
                <c:pt idx="2">
                  <c:v>78.400000000000006</c:v>
                </c:pt>
              </c:numCache>
            </c:numRef>
          </c:xVal>
          <c:yVal>
            <c:numRef>
              <c:f>'DATOS #'!$H$82:$H$84</c:f>
              <c:numCache>
                <c:formatCode>General</c:formatCode>
                <c:ptCount val="3"/>
                <c:pt idx="0">
                  <c:v>-3.6</c:v>
                </c:pt>
                <c:pt idx="1">
                  <c:v>-0.8</c:v>
                </c:pt>
                <c:pt idx="2">
                  <c:v>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6776"/>
        <c:axId val="98963048"/>
      </c:scatterChart>
      <c:valAx>
        <c:axId val="98956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63048"/>
        <c:crosses val="autoZero"/>
        <c:crossBetween val="midCat"/>
      </c:valAx>
      <c:valAx>
        <c:axId val="9896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56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#'!$A$85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#'!$F$85:$F$87</c:f>
              <c:numCache>
                <c:formatCode>0.000</c:formatCode>
                <c:ptCount val="3"/>
                <c:pt idx="0" formatCode="General">
                  <c:v>499.79599999999999</c:v>
                </c:pt>
                <c:pt idx="1">
                  <c:v>752.29499999999996</c:v>
                </c:pt>
                <c:pt idx="2">
                  <c:v>949.69299999999998</c:v>
                </c:pt>
              </c:numCache>
            </c:numRef>
          </c:xVal>
          <c:yVal>
            <c:numRef>
              <c:f>'DATOS #'!$H$85:$H$87</c:f>
              <c:numCache>
                <c:formatCode>0.00</c:formatCode>
                <c:ptCount val="3"/>
                <c:pt idx="0" formatCode="General">
                  <c:v>1.548</c:v>
                </c:pt>
                <c:pt idx="1">
                  <c:v>1.0489999999999999</c:v>
                </c:pt>
                <c:pt idx="2" formatCode="General">
                  <c:v>0.82299999999999995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63832"/>
        <c:axId val="100599288"/>
      </c:scatterChart>
      <c:valAx>
        <c:axId val="98963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9288"/>
        <c:crosses val="autoZero"/>
        <c:crossBetween val="midCat"/>
      </c:valAx>
      <c:valAx>
        <c:axId val="10059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963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#'!$A$90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#'!$F$90:$F$92</c:f>
              <c:numCache>
                <c:formatCode>0.0</c:formatCode>
                <c:ptCount val="3"/>
                <c:pt idx="0" formatCode="General">
                  <c:v>14.8</c:v>
                </c:pt>
                <c:pt idx="1">
                  <c:v>24.8</c:v>
                </c:pt>
                <c:pt idx="2">
                  <c:v>29.8</c:v>
                </c:pt>
              </c:numCache>
            </c:numRef>
          </c:xVal>
          <c:yVal>
            <c:numRef>
              <c:f>'DATOS #'!$H$90:$H$92</c:f>
              <c:numCache>
                <c:formatCode>0.0</c:formatCode>
                <c:ptCount val="3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8504"/>
        <c:axId val="100599680"/>
      </c:scatterChart>
      <c:valAx>
        <c:axId val="100598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9680"/>
        <c:crosses val="autoZero"/>
        <c:crossBetween val="midCat"/>
      </c:valAx>
      <c:valAx>
        <c:axId val="1005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8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%hr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#'!$A$93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#'!$F$93:$F$95</c:f>
              <c:numCache>
                <c:formatCode>General</c:formatCode>
                <c:ptCount val="3"/>
                <c:pt idx="0">
                  <c:v>33.4</c:v>
                </c:pt>
                <c:pt idx="1">
                  <c:v>51.1</c:v>
                </c:pt>
                <c:pt idx="2">
                  <c:v>76.8</c:v>
                </c:pt>
              </c:numCache>
            </c:numRef>
          </c:xVal>
          <c:yVal>
            <c:numRef>
              <c:f>'DATOS #'!$H$93:$H$95</c:f>
              <c:numCache>
                <c:formatCode>General</c:formatCode>
                <c:ptCount val="3"/>
                <c:pt idx="0">
                  <c:v>-3.4</c:v>
                </c:pt>
                <c:pt idx="1">
                  <c:v>-1.1000000000000001</c:v>
                </c:pt>
                <c:pt idx="2">
                  <c:v>3.2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5368"/>
        <c:axId val="100598112"/>
      </c:scatterChart>
      <c:valAx>
        <c:axId val="100595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8112"/>
        <c:crosses val="autoZero"/>
        <c:crossBetween val="midCat"/>
      </c:valAx>
      <c:valAx>
        <c:axId val="10059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5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#'!$A$96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#'!$F$96:$F$98</c:f>
              <c:numCache>
                <c:formatCode>General</c:formatCode>
                <c:ptCount val="3"/>
                <c:pt idx="0" formatCode="0.000">
                  <c:v>499.02600000000001</c:v>
                </c:pt>
                <c:pt idx="1">
                  <c:v>752.18100000000004</c:v>
                </c:pt>
                <c:pt idx="2" formatCode="0.000">
                  <c:v>900.66499999999996</c:v>
                </c:pt>
              </c:numCache>
            </c:numRef>
          </c:xVal>
          <c:yVal>
            <c:numRef>
              <c:f>'DATOS #'!$H$96:$H$98</c:f>
              <c:numCache>
                <c:formatCode>0.000</c:formatCode>
                <c:ptCount val="3"/>
                <c:pt idx="0" formatCode="General">
                  <c:v>1.573</c:v>
                </c:pt>
                <c:pt idx="1">
                  <c:v>1.0469999999999999</c:v>
                </c:pt>
                <c:pt idx="2" formatCode="General">
                  <c:v>0.73699999999999999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6544"/>
        <c:axId val="100592624"/>
      </c:scatterChart>
      <c:valAx>
        <c:axId val="10059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2624"/>
        <c:crosses val="autoZero"/>
        <c:crossBetween val="midCat"/>
      </c:valAx>
      <c:valAx>
        <c:axId val="1005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96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24.xml"/><Relationship Id="rId7" Type="http://schemas.openxmlformats.org/officeDocument/2006/relationships/chart" Target="../charts/chart26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microsoft.com/office/2007/relationships/hdphoto" Target="../media/hdphoto1.wdp"/><Relationship Id="rId5" Type="http://schemas.openxmlformats.org/officeDocument/2006/relationships/image" Target="../media/image2.png"/><Relationship Id="rId4" Type="http://schemas.openxmlformats.org/officeDocument/2006/relationships/chart" Target="../charts/chart25.xml"/><Relationship Id="rId9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4.png"/><Relationship Id="rId7" Type="http://schemas.openxmlformats.org/officeDocument/2006/relationships/chart" Target="../charts/chart28.xml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6" Type="http://schemas.microsoft.com/office/2007/relationships/hdphoto" Target="../media/hdphoto4.wdp"/><Relationship Id="rId5" Type="http://schemas.openxmlformats.org/officeDocument/2006/relationships/image" Target="../media/image5.png"/><Relationship Id="rId4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88447</xdr:colOff>
      <xdr:row>71</xdr:row>
      <xdr:rowOff>222250</xdr:rowOff>
    </xdr:from>
    <xdr:to>
      <xdr:col>15</xdr:col>
      <xdr:colOff>1016000</xdr:colOff>
      <xdr:row>75</xdr:row>
      <xdr:rowOff>63500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24947</xdr:colOff>
      <xdr:row>71</xdr:row>
      <xdr:rowOff>222250</xdr:rowOff>
    </xdr:from>
    <xdr:to>
      <xdr:col>17</xdr:col>
      <xdr:colOff>889000</xdr:colOff>
      <xdr:row>75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1090840</xdr:colOff>
      <xdr:row>71</xdr:row>
      <xdr:rowOff>238125</xdr:rowOff>
    </xdr:from>
    <xdr:to>
      <xdr:col>19</xdr:col>
      <xdr:colOff>904876</xdr:colOff>
      <xdr:row>74</xdr:row>
      <xdr:rowOff>374197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43089</xdr:colOff>
      <xdr:row>81</xdr:row>
      <xdr:rowOff>111124</xdr:rowOff>
    </xdr:from>
    <xdr:to>
      <xdr:col>15</xdr:col>
      <xdr:colOff>1016001</xdr:colOff>
      <xdr:row>84</xdr:row>
      <xdr:rowOff>208643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88448</xdr:colOff>
      <xdr:row>81</xdr:row>
      <xdr:rowOff>111124</xdr:rowOff>
    </xdr:from>
    <xdr:to>
      <xdr:col>17</xdr:col>
      <xdr:colOff>904876</xdr:colOff>
      <xdr:row>84</xdr:row>
      <xdr:rowOff>238125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1059090</xdr:colOff>
      <xdr:row>81</xdr:row>
      <xdr:rowOff>111125</xdr:rowOff>
    </xdr:from>
    <xdr:to>
      <xdr:col>19</xdr:col>
      <xdr:colOff>984250</xdr:colOff>
      <xdr:row>84</xdr:row>
      <xdr:rowOff>222250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90714</xdr:colOff>
      <xdr:row>92</xdr:row>
      <xdr:rowOff>190500</xdr:rowOff>
    </xdr:from>
    <xdr:to>
      <xdr:col>15</xdr:col>
      <xdr:colOff>1095375</xdr:colOff>
      <xdr:row>95</xdr:row>
      <xdr:rowOff>260804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70304</xdr:colOff>
      <xdr:row>92</xdr:row>
      <xdr:rowOff>190499</xdr:rowOff>
    </xdr:from>
    <xdr:to>
      <xdr:col>17</xdr:col>
      <xdr:colOff>1063625</xdr:colOff>
      <xdr:row>95</xdr:row>
      <xdr:rowOff>249464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117929</xdr:colOff>
      <xdr:row>92</xdr:row>
      <xdr:rowOff>127000</xdr:rowOff>
    </xdr:from>
    <xdr:to>
      <xdr:col>19</xdr:col>
      <xdr:colOff>984250</xdr:colOff>
      <xdr:row>95</xdr:row>
      <xdr:rowOff>269875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61233</xdr:colOff>
      <xdr:row>103</xdr:row>
      <xdr:rowOff>126999</xdr:rowOff>
    </xdr:from>
    <xdr:to>
      <xdr:col>15</xdr:col>
      <xdr:colOff>1047751</xdr:colOff>
      <xdr:row>106</xdr:row>
      <xdr:rowOff>242660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13608</xdr:colOff>
      <xdr:row>103</xdr:row>
      <xdr:rowOff>111125</xdr:rowOff>
    </xdr:from>
    <xdr:to>
      <xdr:col>17</xdr:col>
      <xdr:colOff>904875</xdr:colOff>
      <xdr:row>106</xdr:row>
      <xdr:rowOff>242661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1047750</xdr:colOff>
      <xdr:row>103</xdr:row>
      <xdr:rowOff>127000</xdr:rowOff>
    </xdr:from>
    <xdr:to>
      <xdr:col>19</xdr:col>
      <xdr:colOff>904875</xdr:colOff>
      <xdr:row>106</xdr:row>
      <xdr:rowOff>276679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83911</xdr:colOff>
      <xdr:row>114</xdr:row>
      <xdr:rowOff>269874</xdr:rowOff>
    </xdr:from>
    <xdr:to>
      <xdr:col>16</xdr:col>
      <xdr:colOff>0</xdr:colOff>
      <xdr:row>118</xdr:row>
      <xdr:rowOff>11339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117929</xdr:colOff>
      <xdr:row>114</xdr:row>
      <xdr:rowOff>269874</xdr:rowOff>
    </xdr:from>
    <xdr:to>
      <xdr:col>17</xdr:col>
      <xdr:colOff>1079500</xdr:colOff>
      <xdr:row>118</xdr:row>
      <xdr:rowOff>13607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72573</xdr:colOff>
      <xdr:row>114</xdr:row>
      <xdr:rowOff>285750</xdr:rowOff>
    </xdr:from>
    <xdr:to>
      <xdr:col>19</xdr:col>
      <xdr:colOff>952501</xdr:colOff>
      <xdr:row>118</xdr:row>
      <xdr:rowOff>47626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39878</xdr:colOff>
      <xdr:row>43</xdr:row>
      <xdr:rowOff>11905</xdr:rowOff>
    </xdr:from>
    <xdr:to>
      <xdr:col>20</xdr:col>
      <xdr:colOff>1555749</xdr:colOff>
      <xdr:row>48</xdr:row>
      <xdr:rowOff>31749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118875</xdr:colOff>
      <xdr:row>36</xdr:row>
      <xdr:rowOff>486269</xdr:rowOff>
    </xdr:from>
    <xdr:to>
      <xdr:col>20</xdr:col>
      <xdr:colOff>1635124</xdr:colOff>
      <xdr:row>41</xdr:row>
      <xdr:rowOff>539750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</xdr:col>
      <xdr:colOff>869157</xdr:colOff>
      <xdr:row>178</xdr:row>
      <xdr:rowOff>154782</xdr:rowOff>
    </xdr:from>
    <xdr:to>
      <xdr:col>25</xdr:col>
      <xdr:colOff>1020157</xdr:colOff>
      <xdr:row>184</xdr:row>
      <xdr:rowOff>140797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</xdr:col>
      <xdr:colOff>23813</xdr:colOff>
      <xdr:row>0</xdr:row>
      <xdr:rowOff>71438</xdr:rowOff>
    </xdr:from>
    <xdr:to>
      <xdr:col>2</xdr:col>
      <xdr:colOff>845339</xdr:colOff>
      <xdr:row>0</xdr:row>
      <xdr:rowOff>945497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309688" y="71438"/>
          <a:ext cx="1869276" cy="874059"/>
        </a:xfrm>
        <a:prstGeom prst="rect">
          <a:avLst/>
        </a:prstGeom>
      </xdr:spPr>
    </xdr:pic>
    <xdr:clientData/>
  </xdr:twoCellAnchor>
  <xdr:twoCellAnchor>
    <xdr:from>
      <xdr:col>21</xdr:col>
      <xdr:colOff>854869</xdr:colOff>
      <xdr:row>188</xdr:row>
      <xdr:rowOff>87313</xdr:rowOff>
    </xdr:from>
    <xdr:to>
      <xdr:col>25</xdr:col>
      <xdr:colOff>1055876</xdr:colOff>
      <xdr:row>194</xdr:row>
      <xdr:rowOff>73327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18</xdr:col>
      <xdr:colOff>39687</xdr:colOff>
      <xdr:row>48</xdr:row>
      <xdr:rowOff>496094</xdr:rowOff>
    </xdr:from>
    <xdr:to>
      <xdr:col>20</xdr:col>
      <xdr:colOff>1555750</xdr:colOff>
      <xdr:row>54</xdr:row>
      <xdr:rowOff>31750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27782</xdr:colOff>
      <xdr:row>54</xdr:row>
      <xdr:rowOff>599281</xdr:rowOff>
    </xdr:from>
    <xdr:to>
      <xdr:col>20</xdr:col>
      <xdr:colOff>1571625</xdr:colOff>
      <xdr:row>60</xdr:row>
      <xdr:rowOff>15875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628650</xdr:colOff>
      <xdr:row>194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/>
      </xdr:nvSpPr>
      <xdr:spPr>
        <a:xfrm>
          <a:off x="15506700" y="4829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</xdr:col>
      <xdr:colOff>628650</xdr:colOff>
      <xdr:row>100</xdr:row>
      <xdr:rowOff>290512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/>
      </xdr:nvSpPr>
      <xdr:spPr>
        <a:xfrm>
          <a:off x="50958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100</xdr:row>
      <xdr:rowOff>290512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59436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100</xdr:row>
      <xdr:rowOff>290512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/>
      </xdr:nvSpPr>
      <xdr:spPr>
        <a:xfrm>
          <a:off x="67151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100</xdr:row>
      <xdr:rowOff>290512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74866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100</xdr:row>
      <xdr:rowOff>290512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83343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100</xdr:row>
      <xdr:rowOff>290512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100</xdr:row>
      <xdr:rowOff>290512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100</xdr:row>
      <xdr:rowOff>290512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100</xdr:row>
      <xdr:rowOff>290512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100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100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101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11649075" y="21274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47625</xdr:colOff>
      <xdr:row>77</xdr:row>
      <xdr:rowOff>214312</xdr:rowOff>
    </xdr:from>
    <xdr:to>
      <xdr:col>7</xdr:col>
      <xdr:colOff>180975</xdr:colOff>
      <xdr:row>78</xdr:row>
      <xdr:rowOff>500063</xdr:rowOff>
    </xdr:to>
    <xdr:sp macro="" textlink="">
      <xdr:nvSpPr>
        <xdr:cNvPr id="44" name="Rectángulo redondeado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/>
      </xdr:nvSpPr>
      <xdr:spPr>
        <a:xfrm>
          <a:off x="47625" y="32099250"/>
          <a:ext cx="11884819" cy="928688"/>
        </a:xfrm>
        <a:prstGeom prst="roundRect">
          <a:avLst/>
        </a:prstGeom>
        <a:solidFill>
          <a:schemeClr val="accent2"/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19</xdr:col>
      <xdr:colOff>268433</xdr:colOff>
      <xdr:row>7</xdr:row>
      <xdr:rowOff>17316</xdr:rowOff>
    </xdr:from>
    <xdr:to>
      <xdr:col>23</xdr:col>
      <xdr:colOff>268432</xdr:colOff>
      <xdr:row>11</xdr:row>
      <xdr:rowOff>346363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186171</xdr:colOff>
      <xdr:row>12</xdr:row>
      <xdr:rowOff>17318</xdr:rowOff>
    </xdr:from>
    <xdr:to>
      <xdr:col>23</xdr:col>
      <xdr:colOff>238127</xdr:colOff>
      <xdr:row>16</xdr:row>
      <xdr:rowOff>371258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51688</xdr:colOff>
      <xdr:row>5</xdr:row>
      <xdr:rowOff>21852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xmlns="" id="{00000000-0008-0000-0200-00003B000000}"/>
                </a:ext>
              </a:extLst>
            </xdr:cNvPr>
            <xdr:cNvSpPr txBox="1"/>
          </xdr:nvSpPr>
          <xdr:spPr>
            <a:xfrm>
              <a:off x="15067570" y="192685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100-00003B000000}"/>
                </a:ext>
              </a:extLst>
            </xdr:cNvPr>
            <xdr:cNvSpPr txBox="1"/>
          </xdr:nvSpPr>
          <xdr:spPr>
            <a:xfrm>
              <a:off x="15067570" y="192685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/>
                  <a:ea typeface="Cambria Math" panose="02040503050406030204" pitchFamily="18" charset="0"/>
                </a:rPr>
                <a:t>〖</a:t>
              </a:r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(𝜹</a:t>
              </a:r>
              <a:r>
                <a:rPr lang="es-CO" sz="1400" b="1" i="0">
                  <a:latin typeface="Cambria Math"/>
                  <a:ea typeface="Cambria Math" panose="02040503050406030204" pitchFamily="18" charset="0"/>
                </a:rPr>
                <a:t>〗_(</a:t>
              </a:r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𝒅𝒓𝒊𝒇𝒕 </a:t>
              </a:r>
              <a:r>
                <a:rPr lang="es-CO" sz="1400" b="1" i="0">
                  <a:latin typeface="Cambria Math"/>
                  <a:ea typeface="Cambria Math" panose="02040503050406030204" pitchFamily="18" charset="0"/>
                </a:rPr>
                <a:t>)</a:t>
              </a:r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0</xdr:col>
      <xdr:colOff>400050</xdr:colOff>
      <xdr:row>71</xdr:row>
      <xdr:rowOff>200025</xdr:rowOff>
    </xdr:from>
    <xdr:ext cx="492507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200-000002000000}"/>
                </a:ext>
              </a:extLst>
            </xdr:cNvPr>
            <xdr:cNvSpPr txBox="1"/>
          </xdr:nvSpPr>
          <xdr:spPr>
            <a:xfrm>
              <a:off x="400050" y="23021925"/>
              <a:ext cx="49250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MX" sz="2800" b="1" i="1">
                            <a:latin typeface="Cambria Math" panose="02040503050406030204" pitchFamily="18" charset="0"/>
                          </a:rPr>
                          <m:t>𝑨</m:t>
                        </m:r>
                      </m:sub>
                    </m:sSub>
                  </m:oMath>
                </m:oMathPara>
              </a14:m>
              <a:endParaRPr lang="es-CO" sz="2800" b="1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400050" y="23021925"/>
              <a:ext cx="49250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MX" sz="2800" b="1" i="0">
                  <a:latin typeface="Cambria Math" panose="02040503050406030204" pitchFamily="18" charset="0"/>
                </a:rPr>
                <a:t>𝑨</a:t>
              </a:r>
              <a:endParaRPr lang="es-CO" sz="2800" b="1"/>
            </a:p>
          </xdr:txBody>
        </xdr:sp>
      </mc:Fallback>
    </mc:AlternateContent>
    <xdr:clientData/>
  </xdr:oneCellAnchor>
  <xdr:oneCellAnchor>
    <xdr:from>
      <xdr:col>0</xdr:col>
      <xdr:colOff>2014538</xdr:colOff>
      <xdr:row>77</xdr:row>
      <xdr:rowOff>261932</xdr:rowOff>
    </xdr:from>
    <xdr:ext cx="7762875" cy="8060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id="{00000000-0008-0000-0200-000016000000}"/>
                </a:ext>
              </a:extLst>
            </xdr:cNvPr>
            <xdr:cNvSpPr txBox="1"/>
          </xdr:nvSpPr>
          <xdr:spPr>
            <a:xfrm>
              <a:off x="2014538" y="32146870"/>
              <a:ext cx="7762875" cy="8060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s-MX" sz="24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sub>
                        </m:sSub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</m:sub>
                        </m:sSub>
                      </m:e>
                    </m:d>
                    <m:r>
                      <a:rPr lang="es-MX" sz="24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s-MX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sSub>
                          <m:sSub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𝜌</m:t>
                            </m:r>
                          </m:e>
                          <m:sub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𝑊</m:t>
                            </m:r>
                          </m:sub>
                        </m:sSub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𝜌</m:t>
                            </m:r>
                          </m:e>
                          <m:sub>
                            <m:r>
                              <a:rPr lang="es-MX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</m:den>
                    </m:f>
                    <m:r>
                      <a:rPr lang="es-MX" sz="2400" b="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1−</m:t>
                        </m:r>
                        <m:f>
                          <m:fPr>
                            <m:ctrlPr>
                              <a:rPr lang="es-MX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s-MX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s-MX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</a:rPr>
                                  <m:t>𝐵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es-MX" sz="2400" b="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begChr m:val="["/>
                        <m:endChr m:val="]"/>
                        <m:ctrlPr>
                          <a:rPr lang="es-MX" sz="2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24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  <m:d>
                          <m:dPr>
                            <m:ctrlP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s-MX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s-MX" sz="2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es-CO" sz="2400"/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2014538" y="32146870"/>
              <a:ext cx="7762875" cy="8060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2400" b="0" i="0">
                  <a:latin typeface="Cambria Math" panose="02040503050406030204" pitchFamily="18" charset="0"/>
                </a:rPr>
                <a:t>𝑉</a:t>
              </a:r>
              <a:r>
                <a:rPr lang="es-CO" sz="2400" b="0" i="0">
                  <a:latin typeface="Cambria Math" panose="02040503050406030204" pitchFamily="18" charset="0"/>
                </a:rPr>
                <a:t>_</a:t>
              </a:r>
              <a:r>
                <a:rPr lang="es-MX" sz="2400" b="0" i="0">
                  <a:latin typeface="Cambria Math" panose="02040503050406030204" pitchFamily="18" charset="0"/>
                </a:rPr>
                <a:t>0=(𝐼_𝐿−𝐼_𝐸 )∗1/(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MX" sz="2400" b="0" i="0">
                  <a:latin typeface="Cambria Math" panose="02040503050406030204" pitchFamily="18" charset="0"/>
                </a:rPr>
                <a:t>𝑊−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MX" sz="2400" b="0" i="0">
                  <a:latin typeface="Cambria Math" panose="02040503050406030204" pitchFamily="18" charset="0"/>
                </a:rPr>
                <a:t>𝐴 )∗(1−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MX" sz="2400" b="0" i="0">
                  <a:latin typeface="Cambria Math" panose="02040503050406030204" pitchFamily="18" charset="0"/>
                </a:rPr>
                <a:t>𝐴/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MX" sz="2400" b="0" i="0">
                  <a:latin typeface="Cambria Math" panose="02040503050406030204" pitchFamily="18" charset="0"/>
                </a:rPr>
                <a:t>𝐵 )∗[1−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𝛾(𝑡−𝑡_0 )]</a:t>
              </a:r>
              <a:endParaRPr lang="es-CO" sz="2400"/>
            </a:p>
          </xdr:txBody>
        </xdr:sp>
      </mc:Fallback>
    </mc:AlternateContent>
    <xdr:clientData/>
  </xdr:oneCellAnchor>
  <xdr:oneCellAnchor>
    <xdr:from>
      <xdr:col>0</xdr:col>
      <xdr:colOff>1000128</xdr:colOff>
      <xdr:row>90</xdr:row>
      <xdr:rowOff>47615</xdr:rowOff>
    </xdr:from>
    <xdr:ext cx="388824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id="{00000000-0008-0000-0200-000017000000}"/>
                </a:ext>
              </a:extLst>
            </xdr:cNvPr>
            <xdr:cNvSpPr txBox="1"/>
          </xdr:nvSpPr>
          <xdr:spPr>
            <a:xfrm>
              <a:off x="1000128" y="39659709"/>
              <a:ext cx="38882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28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MX" sz="2800" b="0" i="1">
                            <a:latin typeface="Cambria Math" panose="02040503050406030204" pitchFamily="18" charset="0"/>
                          </a:rPr>
                          <m:t>𝐸</m:t>
                        </m:r>
                      </m:sub>
                    </m:sSub>
                  </m:oMath>
                </m:oMathPara>
              </a14:m>
              <a:endParaRPr lang="es-CO" sz="2800"/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1000128" y="39659709"/>
              <a:ext cx="388824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800" b="0" i="0">
                  <a:latin typeface="Cambria Math" panose="02040503050406030204" pitchFamily="18" charset="0"/>
                </a:rPr>
                <a:t>𝐼</a:t>
              </a:r>
              <a:r>
                <a:rPr lang="es-CO" sz="2800" b="0" i="0">
                  <a:latin typeface="Cambria Math" panose="02040503050406030204" pitchFamily="18" charset="0"/>
                </a:rPr>
                <a:t>_</a:t>
              </a:r>
              <a:r>
                <a:rPr lang="es-MX" sz="2800" b="0" i="0">
                  <a:latin typeface="Cambria Math" panose="02040503050406030204" pitchFamily="18" charset="0"/>
                </a:rPr>
                <a:t>𝐸</a:t>
              </a:r>
              <a:endParaRPr lang="es-CO" sz="2800"/>
            </a:p>
          </xdr:txBody>
        </xdr:sp>
      </mc:Fallback>
    </mc:AlternateContent>
    <xdr:clientData/>
  </xdr:oneCellAnchor>
  <xdr:oneCellAnchor>
    <xdr:from>
      <xdr:col>0</xdr:col>
      <xdr:colOff>1005869</xdr:colOff>
      <xdr:row>91</xdr:row>
      <xdr:rowOff>161498</xdr:rowOff>
    </xdr:from>
    <xdr:ext cx="1074974" cy="2666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>
              <a:extLst>
                <a:ext uri="{FF2B5EF4-FFF2-40B4-BE49-F238E27FC236}">
                  <a16:creationId xmlns:a16="http://schemas.microsoft.com/office/drawing/2014/main" xmlns="" id="{00000000-0008-0000-0200-00003C000000}"/>
                </a:ext>
              </a:extLst>
            </xdr:cNvPr>
            <xdr:cNvSpPr txBox="1"/>
          </xdr:nvSpPr>
          <xdr:spPr>
            <a:xfrm>
              <a:off x="1005869" y="40309373"/>
              <a:ext cx="1074974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𝑐𝑜𝑟𝑟𝑒𝑔𝑖𝑑𝑎𝑠</m:t>
                        </m:r>
                      </m:sub>
                    </m:sSub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60" name="CuadroTexto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 txBox="1"/>
          </xdr:nvSpPr>
          <xdr:spPr>
            <a:xfrm>
              <a:off x="1005869" y="40309373"/>
              <a:ext cx="1074974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b="0" i="0">
                  <a:latin typeface="Cambria Math" panose="02040503050406030204" pitchFamily="18" charset="0"/>
                </a:rPr>
                <a:t>𝐼</a:t>
              </a:r>
              <a:r>
                <a:rPr lang="es-CO" sz="1600" b="0" i="0">
                  <a:latin typeface="Cambria Math" panose="02040503050406030204" pitchFamily="18" charset="0"/>
                </a:rPr>
                <a:t>_(</a:t>
              </a:r>
              <a:r>
                <a:rPr lang="es-MX" sz="1600" b="0" i="0">
                  <a:latin typeface="Cambria Math" panose="02040503050406030204" pitchFamily="18" charset="0"/>
                </a:rPr>
                <a:t>𝐸 𝑐𝑜𝑟𝑟𝑒𝑔𝑖𝑑𝑎𝑠</a:t>
              </a:r>
              <a:r>
                <a:rPr lang="es-CO" sz="1600" b="0" i="0">
                  <a:latin typeface="Cambria Math" panose="02040503050406030204" pitchFamily="18" charset="0"/>
                </a:rPr>
                <a:t>)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1249458</xdr:colOff>
      <xdr:row>84</xdr:row>
      <xdr:rowOff>58831</xdr:rowOff>
    </xdr:from>
    <xdr:ext cx="361509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>
              <a:extLst>
                <a:ext uri="{FF2B5EF4-FFF2-40B4-BE49-F238E27FC236}">
                  <a16:creationId xmlns:a16="http://schemas.microsoft.com/office/drawing/2014/main" xmlns="" id="{00000000-0008-0000-0200-00003D000000}"/>
                </a:ext>
              </a:extLst>
            </xdr:cNvPr>
            <xdr:cNvSpPr txBox="1"/>
          </xdr:nvSpPr>
          <xdr:spPr>
            <a:xfrm>
              <a:off x="1249458" y="36456237"/>
              <a:ext cx="36150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28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MX" sz="2800" b="0" i="1">
                            <a:latin typeface="Cambria Math" panose="02040503050406030204" pitchFamily="18" charset="0"/>
                          </a:rPr>
                          <m:t>𝐿</m:t>
                        </m:r>
                      </m:sub>
                    </m:sSub>
                  </m:oMath>
                </m:oMathPara>
              </a14:m>
              <a:endParaRPr lang="es-CO" sz="2800"/>
            </a:p>
          </xdr:txBody>
        </xdr:sp>
      </mc:Choice>
      <mc:Fallback xmlns="">
        <xdr:sp macro="" textlink="">
          <xdr:nvSpPr>
            <xdr:cNvPr id="61" name="CuadroTexto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 txBox="1"/>
          </xdr:nvSpPr>
          <xdr:spPr>
            <a:xfrm>
              <a:off x="1249458" y="36456237"/>
              <a:ext cx="36150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800" b="0" i="0">
                  <a:latin typeface="Cambria Math" panose="02040503050406030204" pitchFamily="18" charset="0"/>
                </a:rPr>
                <a:t>𝐼</a:t>
              </a:r>
              <a:r>
                <a:rPr lang="es-CO" sz="2800" b="0" i="0">
                  <a:latin typeface="Cambria Math" panose="02040503050406030204" pitchFamily="18" charset="0"/>
                </a:rPr>
                <a:t>_</a:t>
              </a:r>
              <a:r>
                <a:rPr lang="es-MX" sz="2800" b="0" i="0">
                  <a:latin typeface="Cambria Math" panose="02040503050406030204" pitchFamily="18" charset="0"/>
                </a:rPr>
                <a:t>𝐿</a:t>
              </a:r>
              <a:endParaRPr lang="es-CO" sz="2800"/>
            </a:p>
          </xdr:txBody>
        </xdr:sp>
      </mc:Fallback>
    </mc:AlternateContent>
    <xdr:clientData/>
  </xdr:oneCellAnchor>
  <xdr:oneCellAnchor>
    <xdr:from>
      <xdr:col>0</xdr:col>
      <xdr:colOff>1194269</xdr:colOff>
      <xdr:row>85</xdr:row>
      <xdr:rowOff>118082</xdr:rowOff>
    </xdr:from>
    <xdr:ext cx="1059393" cy="2666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xmlns="" id="{00000000-0008-0000-0200-00003E000000}"/>
                </a:ext>
              </a:extLst>
            </xdr:cNvPr>
            <xdr:cNvSpPr txBox="1"/>
          </xdr:nvSpPr>
          <xdr:spPr>
            <a:xfrm>
              <a:off x="1194269" y="37051270"/>
              <a:ext cx="1059393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𝑐𝑜𝑟𝑟𝑒𝑔𝑖𝑑𝑎𝑠</m:t>
                        </m:r>
                      </m:sub>
                    </m:sSub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 txBox="1"/>
          </xdr:nvSpPr>
          <xdr:spPr>
            <a:xfrm>
              <a:off x="1194269" y="37051270"/>
              <a:ext cx="1059393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b="0" i="0">
                  <a:latin typeface="Cambria Math" panose="02040503050406030204" pitchFamily="18" charset="0"/>
                </a:rPr>
                <a:t>𝐼</a:t>
              </a:r>
              <a:r>
                <a:rPr lang="es-CO" sz="1600" b="0" i="0">
                  <a:latin typeface="Cambria Math" panose="02040503050406030204" pitchFamily="18" charset="0"/>
                </a:rPr>
                <a:t>_(</a:t>
              </a:r>
              <a:r>
                <a:rPr lang="es-MX" sz="1600" b="0" i="0">
                  <a:latin typeface="Cambria Math" panose="02040503050406030204" pitchFamily="18" charset="0"/>
                </a:rPr>
                <a:t>𝐿 𝑐𝑜𝑟𝑟𝑒𝑔𝑖𝑑𝑎𝑠</a:t>
              </a:r>
              <a:r>
                <a:rPr lang="es-CO" sz="1600" b="0" i="0">
                  <a:latin typeface="Cambria Math" panose="02040503050406030204" pitchFamily="18" charset="0"/>
                </a:rPr>
                <a:t>)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1178020</xdr:colOff>
      <xdr:row>86</xdr:row>
      <xdr:rowOff>34322</xdr:rowOff>
    </xdr:from>
    <xdr:ext cx="231602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CuadroTexto 62">
              <a:extLst>
                <a:ext uri="{FF2B5EF4-FFF2-40B4-BE49-F238E27FC236}">
                  <a16:creationId xmlns:a16="http://schemas.microsoft.com/office/drawing/2014/main" xmlns="" id="{00000000-0008-0000-0200-00003F000000}"/>
                </a:ext>
              </a:extLst>
            </xdr:cNvPr>
            <xdr:cNvSpPr txBox="1"/>
          </xdr:nvSpPr>
          <xdr:spPr>
            <a:xfrm>
              <a:off x="1178020" y="37503291"/>
              <a:ext cx="23160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800" b="0" i="1">
                        <a:latin typeface="Cambria Math" panose="02040503050406030204" pitchFamily="18" charset="0"/>
                      </a:rPr>
                      <m:t>𝑡</m:t>
                    </m:r>
                  </m:oMath>
                </m:oMathPara>
              </a14:m>
              <a:endParaRPr lang="es-CO" sz="2800"/>
            </a:p>
          </xdr:txBody>
        </xdr:sp>
      </mc:Choice>
      <mc:Fallback xmlns="">
        <xdr:sp macro="" textlink="">
          <xdr:nvSpPr>
            <xdr:cNvPr id="63" name="CuadroTexto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SpPr txBox="1"/>
          </xdr:nvSpPr>
          <xdr:spPr>
            <a:xfrm>
              <a:off x="1178020" y="37503291"/>
              <a:ext cx="23160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800" b="0" i="0">
                  <a:latin typeface="Cambria Math" panose="02040503050406030204" pitchFamily="18" charset="0"/>
                </a:rPr>
                <a:t>𝑡</a:t>
              </a:r>
              <a:endParaRPr lang="es-CO" sz="2800"/>
            </a:p>
          </xdr:txBody>
        </xdr:sp>
      </mc:Fallback>
    </mc:AlternateContent>
    <xdr:clientData/>
  </xdr:oneCellAnchor>
  <xdr:oneCellAnchor>
    <xdr:from>
      <xdr:col>0</xdr:col>
      <xdr:colOff>1185860</xdr:colOff>
      <xdr:row>87</xdr:row>
      <xdr:rowOff>137700</xdr:rowOff>
    </xdr:from>
    <xdr:ext cx="985590" cy="2666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>
              <a:extLst>
                <a:ext uri="{FF2B5EF4-FFF2-40B4-BE49-F238E27FC236}">
                  <a16:creationId xmlns:a16="http://schemas.microsoft.com/office/drawing/2014/main" xmlns="" id="{00000000-0008-0000-0200-000040000000}"/>
                </a:ext>
              </a:extLst>
            </xdr:cNvPr>
            <xdr:cNvSpPr txBox="1"/>
          </xdr:nvSpPr>
          <xdr:spPr>
            <a:xfrm>
              <a:off x="1185860" y="38142450"/>
              <a:ext cx="985590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𝑐𝑜𝑟𝑟𝑒𝑔𝑖𝑑𝑎𝑠</m:t>
                        </m:r>
                      </m:sub>
                    </m:sSub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64" name="CuadroTexto 63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SpPr txBox="1"/>
          </xdr:nvSpPr>
          <xdr:spPr>
            <a:xfrm>
              <a:off x="1185860" y="38142450"/>
              <a:ext cx="985590" cy="2666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b="0" i="0">
                  <a:latin typeface="Cambria Math" panose="02040503050406030204" pitchFamily="18" charset="0"/>
                </a:rPr>
                <a:t>𝑡</a:t>
              </a:r>
              <a:r>
                <a:rPr lang="es-CO" sz="1600" b="0" i="0">
                  <a:latin typeface="Cambria Math" panose="02040503050406030204" pitchFamily="18" charset="0"/>
                </a:rPr>
                <a:t>_(</a:t>
              </a:r>
              <a:r>
                <a:rPr lang="es-MX" sz="1600" b="0" i="0">
                  <a:latin typeface="Cambria Math" panose="02040503050406030204" pitchFamily="18" charset="0"/>
                </a:rPr>
                <a:t> 𝑐𝑜𝑟𝑟𝑒𝑔𝑖𝑑𝑎𝑠</a:t>
              </a:r>
              <a:r>
                <a:rPr lang="es-CO" sz="1600" b="0" i="0">
                  <a:latin typeface="Cambria Math" panose="02040503050406030204" pitchFamily="18" charset="0"/>
                </a:rPr>
                <a:t>)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1054894</xdr:colOff>
      <xdr:row>92</xdr:row>
      <xdr:rowOff>92869</xdr:rowOff>
    </xdr:from>
    <xdr:ext cx="219547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xmlns="" id="{00000000-0008-0000-0200-000041000000}"/>
                </a:ext>
              </a:extLst>
            </xdr:cNvPr>
            <xdr:cNvSpPr txBox="1"/>
          </xdr:nvSpPr>
          <xdr:spPr>
            <a:xfrm>
              <a:off x="1054894" y="40776525"/>
              <a:ext cx="21954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id="{00000000-0008-0000-0200-000041000000}"/>
                </a:ext>
              </a:extLst>
            </xdr:cNvPr>
            <xdr:cNvSpPr txBox="1"/>
          </xdr:nvSpPr>
          <xdr:spPr>
            <a:xfrm>
              <a:off x="1054894" y="40776525"/>
              <a:ext cx="21954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b="0" i="0">
                  <a:latin typeface="Cambria Math" panose="02040503050406030204" pitchFamily="18" charset="0"/>
                </a:rPr>
                <a:t>𝑡</a:t>
              </a:r>
              <a:r>
                <a:rPr lang="es-CO" sz="1600" b="0" i="0">
                  <a:latin typeface="Cambria Math" panose="02040503050406030204" pitchFamily="18" charset="0"/>
                </a:rPr>
                <a:t>_</a:t>
              </a:r>
              <a:r>
                <a:rPr lang="es-MX" sz="1600" b="0" i="0">
                  <a:latin typeface="Cambria Math" panose="02040503050406030204" pitchFamily="18" charset="0"/>
                </a:rPr>
                <a:t>0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0</xdr:col>
      <xdr:colOff>257175</xdr:colOff>
      <xdr:row>75</xdr:row>
      <xdr:rowOff>304800</xdr:rowOff>
    </xdr:from>
    <xdr:ext cx="576825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xmlns="" id="{00000000-0008-0000-0200-000042000000}"/>
                </a:ext>
              </a:extLst>
            </xdr:cNvPr>
            <xdr:cNvSpPr txBox="1"/>
          </xdr:nvSpPr>
          <xdr:spPr>
            <a:xfrm>
              <a:off x="257175" y="25184100"/>
              <a:ext cx="57682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s-MX" sz="2800" b="1" i="1">
                            <a:latin typeface="Cambria Math" panose="02040503050406030204" pitchFamily="18" charset="0"/>
                          </a:rPr>
                          <m:t>𝑾</m:t>
                        </m:r>
                      </m:sub>
                    </m:sSub>
                  </m:oMath>
                </m:oMathPara>
              </a14:m>
              <a:endParaRPr lang="es-CO" sz="2800" b="1"/>
            </a:p>
          </xdr:txBody>
        </xdr:sp>
      </mc:Choice>
      <mc:Fallback xmlns="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id="{00000000-0008-0000-0200-000042000000}"/>
                </a:ext>
              </a:extLst>
            </xdr:cNvPr>
            <xdr:cNvSpPr txBox="1"/>
          </xdr:nvSpPr>
          <xdr:spPr>
            <a:xfrm>
              <a:off x="257175" y="25184100"/>
              <a:ext cx="57682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s-MX" sz="2800" b="1" i="0">
                  <a:latin typeface="Cambria Math" panose="02040503050406030204" pitchFamily="18" charset="0"/>
                </a:rPr>
                <a:t>𝑾</a:t>
              </a:r>
              <a:endParaRPr lang="es-CO" sz="2800" b="1"/>
            </a:p>
          </xdr:txBody>
        </xdr:sp>
      </mc:Fallback>
    </mc:AlternateContent>
    <xdr:clientData/>
  </xdr:oneCellAnchor>
  <xdr:oneCellAnchor>
    <xdr:from>
      <xdr:col>0</xdr:col>
      <xdr:colOff>381000</xdr:colOff>
      <xdr:row>93</xdr:row>
      <xdr:rowOff>47625</xdr:rowOff>
    </xdr:from>
    <xdr:ext cx="65" cy="438325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/>
      </xdr:nvSpPr>
      <xdr:spPr>
        <a:xfrm>
          <a:off x="381000" y="32642175"/>
          <a:ext cx="65" cy="438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2800"/>
        </a:p>
      </xdr:txBody>
    </xdr:sp>
    <xdr:clientData/>
  </xdr:oneCellAnchor>
  <xdr:oneCellAnchor>
    <xdr:from>
      <xdr:col>0</xdr:col>
      <xdr:colOff>919582</xdr:colOff>
      <xdr:row>93</xdr:row>
      <xdr:rowOff>60932</xdr:rowOff>
    </xdr:from>
    <xdr:ext cx="896656" cy="281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xmlns="" id="{00000000-0008-0000-0200-000044000000}"/>
                </a:ext>
              </a:extLst>
            </xdr:cNvPr>
            <xdr:cNvSpPr txBox="1"/>
          </xdr:nvSpPr>
          <xdr:spPr>
            <a:xfrm>
              <a:off x="919582" y="40470745"/>
              <a:ext cx="896656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MX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sub>
                        </m:sSub>
                        <m:r>
                          <a:rPr lang="es-MX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MX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800"/>
            </a:p>
          </xdr:txBody>
        </xdr:sp>
      </mc:Choice>
      <mc:Fallback xmlns="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SpPr txBox="1"/>
          </xdr:nvSpPr>
          <xdr:spPr>
            <a:xfrm>
              <a:off x="919582" y="40470745"/>
              <a:ext cx="896656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800" b="0" i="0">
                  <a:latin typeface="Cambria Math" panose="02040503050406030204" pitchFamily="18" charset="0"/>
                </a:rPr>
                <a:t>(</a:t>
              </a:r>
              <a:r>
                <a:rPr lang="es-MX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MX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𝐿−𝐼_𝐸 )</a:t>
              </a:r>
              <a:endParaRPr lang="es-CO" sz="1800"/>
            </a:p>
          </xdr:txBody>
        </xdr:sp>
      </mc:Fallback>
    </mc:AlternateContent>
    <xdr:clientData/>
  </xdr:oneCellAnchor>
  <xdr:oneCellAnchor>
    <xdr:from>
      <xdr:col>0</xdr:col>
      <xdr:colOff>1028700</xdr:colOff>
      <xdr:row>94</xdr:row>
      <xdr:rowOff>76200</xdr:rowOff>
    </xdr:from>
    <xdr:ext cx="694100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xmlns="" id="{00000000-0008-0000-0200-000045000000}"/>
                </a:ext>
              </a:extLst>
            </xdr:cNvPr>
            <xdr:cNvSpPr txBox="1"/>
          </xdr:nvSpPr>
          <xdr:spPr>
            <a:xfrm>
              <a:off x="1028700" y="38478759"/>
              <a:ext cx="69410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d>
                      <m:dPr>
                        <m:ctrlPr>
                          <a:rPr lang="es-MX" sz="11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𝑊</m:t>
                                </m:r>
                              </m:sub>
                            </m:sSub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s-CO" sz="11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SpPr txBox="1"/>
          </xdr:nvSpPr>
          <xdr:spPr>
            <a:xfrm>
              <a:off x="1028700" y="38478759"/>
              <a:ext cx="69410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(1/(𝜌_𝑊−𝜌_𝐴 ))</a:t>
              </a:r>
              <a:endParaRPr lang="es-CO" sz="11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1039905</xdr:colOff>
      <xdr:row>95</xdr:row>
      <xdr:rowOff>177052</xdr:rowOff>
    </xdr:from>
    <xdr:ext cx="592663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>
              <a:extLst>
                <a:ext uri="{FF2B5EF4-FFF2-40B4-BE49-F238E27FC236}">
                  <a16:creationId xmlns:a16="http://schemas.microsoft.com/office/drawing/2014/main" xmlns="" id="{00000000-0008-0000-0200-000046000000}"/>
                </a:ext>
              </a:extLst>
            </xdr:cNvPr>
            <xdr:cNvSpPr txBox="1"/>
          </xdr:nvSpPr>
          <xdr:spPr>
            <a:xfrm>
              <a:off x="1039905" y="39106287"/>
              <a:ext cx="592663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d>
                      <m:dPr>
                        <m:ctrlPr>
                          <a:rPr lang="es-MX" sz="11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MX" sz="11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1−</m:t>
                        </m:r>
                        <m:f>
                          <m:f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𝜌</m:t>
                                </m:r>
                              </m:e>
                              <m:sub>
                                <m:r>
                                  <a:rPr lang="es-MX" sz="11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s-CO" sz="11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0" name="CuadroTexto 69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 txBox="1"/>
          </xdr:nvSpPr>
          <xdr:spPr>
            <a:xfrm>
              <a:off x="1039905" y="39106287"/>
              <a:ext cx="592663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(1−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𝜌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_𝐴/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𝜌</a:t>
              </a:r>
              <a:r>
                <a:rPr lang="es-MX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_𝐵 )</a:t>
              </a:r>
              <a:endParaRPr lang="es-CO" sz="11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675154</xdr:colOff>
      <xdr:row>96</xdr:row>
      <xdr:rowOff>282949</xdr:rowOff>
    </xdr:from>
    <xdr:ext cx="1408271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>
              <a:extLst>
                <a:ext uri="{FF2B5EF4-FFF2-40B4-BE49-F238E27FC236}">
                  <a16:creationId xmlns:a16="http://schemas.microsoft.com/office/drawing/2014/main" xmlns="" id="{00000000-0008-0000-0200-000047000000}"/>
                </a:ext>
              </a:extLst>
            </xdr:cNvPr>
            <xdr:cNvSpPr txBox="1"/>
          </xdr:nvSpPr>
          <xdr:spPr>
            <a:xfrm>
              <a:off x="675154" y="39850920"/>
              <a:ext cx="1408271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d>
                      <m:dPr>
                        <m:begChr m:val="["/>
                        <m:endChr m:val="]"/>
                        <m:ctrlPr>
                          <a:rPr lang="es-MX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1−</m:t>
                            </m:r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∗(</m:t>
                            </m:r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es-MX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</m:e>
                              <m:sub>
                                <m:r>
                                  <a:rPr lang="es-MX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es-CO" sz="14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1" name="CuadroTexto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SpPr txBox="1"/>
          </xdr:nvSpPr>
          <xdr:spPr>
            <a:xfrm>
              <a:off x="675154" y="39850920"/>
              <a:ext cx="1408271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MX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s-MX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(1−𝛾∗(𝑡−𝑡_0 )]</a:t>
              </a:r>
              <a:endParaRPr lang="es-CO" sz="14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1423707</xdr:colOff>
      <xdr:row>97</xdr:row>
      <xdr:rowOff>96931</xdr:rowOff>
    </xdr:from>
    <xdr:ext cx="196656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>
              <a:extLst>
                <a:ext uri="{FF2B5EF4-FFF2-40B4-BE49-F238E27FC236}">
                  <a16:creationId xmlns:a16="http://schemas.microsoft.com/office/drawing/2014/main" xmlns="" id="{00000000-0008-0000-0200-000048000000}"/>
                </a:ext>
              </a:extLst>
            </xdr:cNvPr>
            <xdr:cNvSpPr txBox="1"/>
          </xdr:nvSpPr>
          <xdr:spPr>
            <a:xfrm>
              <a:off x="1423707" y="40415696"/>
              <a:ext cx="196656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s-MX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s-CO" sz="14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2" name="CuadroTexto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1423707" y="40415696"/>
              <a:ext cx="196656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MX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s-CO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MX" sz="14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𝑡</a:t>
              </a:r>
              <a:endParaRPr lang="es-CO" sz="1400" b="0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16</xdr:col>
      <xdr:colOff>327025</xdr:colOff>
      <xdr:row>108</xdr:row>
      <xdr:rowOff>349250</xdr:rowOff>
    </xdr:from>
    <xdr:to>
      <xdr:col>28</xdr:col>
      <xdr:colOff>281781</xdr:colOff>
      <xdr:row>123</xdr:row>
      <xdr:rowOff>339725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317500</xdr:colOff>
      <xdr:row>133</xdr:row>
      <xdr:rowOff>69849</xdr:rowOff>
    </xdr:from>
    <xdr:to>
      <xdr:col>28</xdr:col>
      <xdr:colOff>257968</xdr:colOff>
      <xdr:row>146</xdr:row>
      <xdr:rowOff>68261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16</xdr:col>
      <xdr:colOff>364088</xdr:colOff>
      <xdr:row>152</xdr:row>
      <xdr:rowOff>247164</xdr:rowOff>
    </xdr:from>
    <xdr:ext cx="354328" cy="2839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>
              <a:extLst>
                <a:ext uri="{FF2B5EF4-FFF2-40B4-BE49-F238E27FC236}">
                  <a16:creationId xmlns:a16="http://schemas.microsoft.com/office/drawing/2014/main" xmlns="" id="{00000000-0008-0000-0200-00004B000000}"/>
                </a:ext>
              </a:extLst>
            </xdr:cNvPr>
            <xdr:cNvSpPr txBox="1"/>
          </xdr:nvSpPr>
          <xdr:spPr>
            <a:xfrm>
              <a:off x="21338527" y="64793618"/>
              <a:ext cx="354328" cy="283924"/>
            </a:xfrm>
            <a:prstGeom prst="re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skw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𝜇</m:t>
                            </m:r>
                          </m:e>
                          <m:sub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  <m:sup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sSub>
                          <m:sSubPr>
                            <m:ctrlPr>
                              <a:rPr lang="es-CO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s-CO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5" name="CuadroTexto 74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21338527" y="64793618"/>
              <a:ext cx="354328" cy="283924"/>
            </a:xfrm>
            <a:prstGeom prst="re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(</a:t>
              </a:r>
              <a:r>
                <a:rPr lang="es-CO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es-CO" sz="1100" b="0" i="0">
                  <a:latin typeface="Cambria Math" panose="02040503050406030204" pitchFamily="18" charset="0"/>
                </a:rPr>
                <a:t>𝑖^4)⁄𝑣_𝑖 </a:t>
              </a:r>
              <a:endParaRPr lang="es-CO" sz="1100"/>
            </a:p>
          </xdr:txBody>
        </xdr:sp>
      </mc:Fallback>
    </mc:AlternateContent>
    <xdr:clientData/>
  </xdr:oneCellAnchor>
  <xdr:twoCellAnchor editAs="oneCell">
    <xdr:from>
      <xdr:col>1</xdr:col>
      <xdr:colOff>398319</xdr:colOff>
      <xdr:row>148</xdr:row>
      <xdr:rowOff>8659</xdr:rowOff>
    </xdr:from>
    <xdr:to>
      <xdr:col>6</xdr:col>
      <xdr:colOff>1232138</xdr:colOff>
      <xdr:row>149</xdr:row>
      <xdr:rowOff>441611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brightnessContrast contras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255819" y="62613886"/>
          <a:ext cx="7845136" cy="93518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18</xdr:col>
      <xdr:colOff>222250</xdr:colOff>
      <xdr:row>152</xdr:row>
      <xdr:rowOff>0</xdr:rowOff>
    </xdr:from>
    <xdr:to>
      <xdr:col>28</xdr:col>
      <xdr:colOff>539750</xdr:colOff>
      <xdr:row>171</xdr:row>
      <xdr:rowOff>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2140324</xdr:colOff>
      <xdr:row>0</xdr:row>
      <xdr:rowOff>33617</xdr:rowOff>
    </xdr:from>
    <xdr:to>
      <xdr:col>1</xdr:col>
      <xdr:colOff>546982</xdr:colOff>
      <xdr:row>0</xdr:row>
      <xdr:rowOff>907676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40324" y="33617"/>
          <a:ext cx="1869276" cy="874059"/>
        </a:xfrm>
        <a:prstGeom prst="rect">
          <a:avLst/>
        </a:prstGeom>
      </xdr:spPr>
    </xdr:pic>
    <xdr:clientData/>
  </xdr:twoCellAnchor>
  <xdr:twoCellAnchor>
    <xdr:from>
      <xdr:col>7</xdr:col>
      <xdr:colOff>273844</xdr:colOff>
      <xdr:row>90</xdr:row>
      <xdr:rowOff>273843</xdr:rowOff>
    </xdr:from>
    <xdr:to>
      <xdr:col>13</xdr:col>
      <xdr:colOff>0</xdr:colOff>
      <xdr:row>99</xdr:row>
      <xdr:rowOff>297655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107951</xdr:colOff>
      <xdr:row>16</xdr:row>
      <xdr:rowOff>3175</xdr:rowOff>
    </xdr:from>
    <xdr:to>
      <xdr:col>7</xdr:col>
      <xdr:colOff>244475</xdr:colOff>
      <xdr:row>18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051676" y="5870575"/>
          <a:ext cx="1517649" cy="1168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612775</xdr:colOff>
      <xdr:row>15</xdr:row>
      <xdr:rowOff>52613</xdr:rowOff>
    </xdr:from>
    <xdr:to>
      <xdr:col>10</xdr:col>
      <xdr:colOff>367483</xdr:colOff>
      <xdr:row>16</xdr:row>
      <xdr:rowOff>260238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4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937625" y="5729513"/>
          <a:ext cx="3612333" cy="5124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647700</xdr:colOff>
      <xdr:row>19</xdr:row>
      <xdr:rowOff>117475</xdr:rowOff>
    </xdr:from>
    <xdr:to>
      <xdr:col>10</xdr:col>
      <xdr:colOff>422275</xdr:colOff>
      <xdr:row>19</xdr:row>
      <xdr:rowOff>704804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-4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972550" y="6575425"/>
          <a:ext cx="3632200" cy="3777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9</xdr:col>
      <xdr:colOff>307972</xdr:colOff>
      <xdr:row>2</xdr:row>
      <xdr:rowOff>12698</xdr:rowOff>
    </xdr:from>
    <xdr:to>
      <xdr:col>18</xdr:col>
      <xdr:colOff>503463</xdr:colOff>
      <xdr:row>14</xdr:row>
      <xdr:rowOff>122464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870856</xdr:colOff>
      <xdr:row>0</xdr:row>
      <xdr:rowOff>136071</xdr:rowOff>
    </xdr:from>
    <xdr:to>
      <xdr:col>2</xdr:col>
      <xdr:colOff>202799</xdr:colOff>
      <xdr:row>0</xdr:row>
      <xdr:rowOff>1010130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0856" y="136071"/>
          <a:ext cx="1876479" cy="87405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ivinson Cordoba Sánchez" id="{7A36F297-5517-4ECF-9835-93F43A2EE292}" userId="Stivinson Cordoba Sánchez" providerId="None"/>
  <person displayName="Stivinson Cordoba Sánchez" id="{166AD9C1-76D9-4462-91D7-E1521724D875}" userId="S::c.scordoba@sic.gov.co::50917fe7-4542-47d2-9223-845d562ffceb" providerId="AD"/>
</personList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36" dT="2022-02-07T01:40:22.05" personId="{166AD9C1-76D9-4462-91D7-E1521724D875}" id="{ADE7D877-6EF7-413F-B576-F6411DF3A310}">
    <text>el termonetro no cuenta con certificado de calibracion anterion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58" dT="2022-02-15T22:27:54.60" personId="{7A36F297-5517-4ECF-9835-93F43A2EE292}" id="{E0498DF3-A3B2-414D-9386-98152C7579E7}">
    <text>7.1.1-10 EURAMET cg-18</text>
  </threadedComment>
  <threadedComment ref="A163" dT="2022-02-15T22:27:26.96" personId="{7A36F297-5517-4ECF-9835-93F43A2EE292}" id="{7300B130-0DE4-45FB-B8F3-2B4FE4D1D704}">
    <text>7.1.1-10 EURAMET cg-18</text>
  </threadedComment>
  <threadedComment ref="C180" dT="2022-02-15T22:16:16.87" personId="{7A36F297-5517-4ECF-9835-93F43A2EE292}" id="{BE5C4CC6-C1B0-4547-B304-0D884C649371}">
    <text>GMP 3
Good Measurement Practice
for
Method of Reading a Meniscus Using Water or Other Wetting Liquid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BY247"/>
  <sheetViews>
    <sheetView showGridLines="0" view="pageBreakPreview" topLeftCell="F4" zoomScale="80" zoomScaleNormal="50" workbookViewId="0">
      <selection activeCell="O6" sqref="O6"/>
    </sheetView>
  </sheetViews>
  <sheetFormatPr baseColWidth="10" defaultColWidth="15.7109375" defaultRowHeight="35.1" customHeight="1" x14ac:dyDescent="0.2"/>
  <cols>
    <col min="1" max="1" width="23.42578125" style="15" bestFit="1" customWidth="1"/>
    <col min="2" max="3" width="15.7109375" style="15"/>
    <col min="4" max="4" width="23.7109375" style="15" bestFit="1" customWidth="1"/>
    <col min="5" max="6" width="19.140625" style="15" customWidth="1"/>
    <col min="7" max="7" width="23.140625" style="15" customWidth="1"/>
    <col min="8" max="8" width="40.5703125" style="15" bestFit="1" customWidth="1"/>
    <col min="9" max="9" width="20.42578125" style="15" customWidth="1"/>
    <col min="10" max="10" width="23.42578125" style="15" customWidth="1"/>
    <col min="11" max="11" width="19.7109375" style="15" customWidth="1"/>
    <col min="12" max="12" width="18.5703125" style="15" customWidth="1"/>
    <col min="13" max="13" width="20.140625" style="15" customWidth="1"/>
    <col min="14" max="14" width="23.42578125" style="15" bestFit="1" customWidth="1"/>
    <col min="15" max="15" width="19.85546875" style="15" customWidth="1"/>
    <col min="16" max="16" width="16.5703125" style="15" customWidth="1"/>
    <col min="17" max="17" width="17.7109375" style="15" customWidth="1"/>
    <col min="18" max="18" width="18.7109375" style="15" customWidth="1"/>
    <col min="19" max="19" width="16.5703125" style="15" customWidth="1"/>
    <col min="20" max="20" width="17.140625" style="426" customWidth="1"/>
    <col min="21" max="21" width="27" style="426" customWidth="1"/>
    <col min="22" max="22" width="15.5703125" style="426" customWidth="1"/>
    <col min="23" max="23" width="18.7109375" style="426" bestFit="1" customWidth="1"/>
    <col min="24" max="24" width="15.85546875" style="426" customWidth="1"/>
    <col min="25" max="25" width="18.28515625" style="426" customWidth="1"/>
    <col min="26" max="28" width="16" style="426" customWidth="1"/>
    <col min="29" max="33" width="16" style="15" customWidth="1"/>
    <col min="34" max="40" width="20.7109375" style="15" customWidth="1"/>
    <col min="41" max="42" width="15.7109375" style="15"/>
    <col min="43" max="43" width="15.7109375" style="588"/>
    <col min="44" max="45" width="15.7109375" style="15"/>
    <col min="46" max="56" width="16" style="15" customWidth="1"/>
    <col min="57" max="58" width="16" style="15" bestFit="1" customWidth="1"/>
    <col min="59" max="16384" width="15.7109375" style="15"/>
  </cols>
  <sheetData>
    <row r="1" spans="1:77" ht="80.099999999999994" customHeight="1" thickBot="1" x14ac:dyDescent="0.25">
      <c r="A1" s="1166"/>
      <c r="B1" s="1167"/>
      <c r="C1" s="1167"/>
      <c r="D1" s="1168"/>
      <c r="E1" s="1144" t="s">
        <v>0</v>
      </c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6"/>
      <c r="W1" s="586"/>
      <c r="X1" s="586"/>
      <c r="Y1" s="586"/>
      <c r="Z1" s="586"/>
      <c r="AA1" s="586"/>
      <c r="AB1" s="586"/>
      <c r="AC1" s="586"/>
      <c r="AD1" s="586"/>
      <c r="AI1" s="586"/>
      <c r="AJ1" s="586"/>
      <c r="AK1" s="586"/>
      <c r="AL1" s="586"/>
      <c r="AM1" s="586"/>
      <c r="AN1" s="586"/>
      <c r="AO1" s="586"/>
      <c r="AP1" s="586"/>
      <c r="AQ1" s="587"/>
      <c r="AR1" s="586"/>
      <c r="AS1" s="586"/>
      <c r="AT1" s="586"/>
      <c r="AU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  <c r="BM1" s="586"/>
    </row>
    <row r="2" spans="1:77" ht="35.1" customHeight="1" x14ac:dyDescent="0.25">
      <c r="T2" s="15"/>
      <c r="U2" s="15"/>
      <c r="V2" s="15"/>
      <c r="W2" s="15"/>
      <c r="X2" s="15"/>
      <c r="Y2" s="15"/>
      <c r="Z2" s="15"/>
      <c r="AA2" s="15"/>
      <c r="AB2" s="15"/>
    </row>
    <row r="3" spans="1:77" ht="35.1" customHeight="1" x14ac:dyDescent="0.25">
      <c r="U3" s="15"/>
      <c r="V3" s="15"/>
      <c r="W3" s="15"/>
      <c r="X3" s="15"/>
      <c r="Y3" s="15"/>
      <c r="Z3" s="15"/>
      <c r="AA3" s="15"/>
      <c r="AB3" s="15"/>
      <c r="AH3" s="426"/>
      <c r="AI3" s="426"/>
      <c r="AJ3" s="426"/>
      <c r="AK3" s="426"/>
      <c r="AL3" s="426"/>
      <c r="AM3" s="426"/>
      <c r="AN3" s="426"/>
      <c r="AO3" s="426"/>
      <c r="AP3" s="426"/>
    </row>
    <row r="4" spans="1:77" ht="30" customHeight="1" thickBot="1" x14ac:dyDescent="0.3">
      <c r="U4" s="15"/>
      <c r="V4" s="15"/>
      <c r="W4" s="15"/>
      <c r="X4" s="15"/>
      <c r="Y4" s="15"/>
      <c r="Z4" s="15"/>
      <c r="AA4" s="15"/>
      <c r="AB4" s="15"/>
    </row>
    <row r="5" spans="1:77" ht="69.95" customHeight="1" thickBot="1" x14ac:dyDescent="0.25">
      <c r="D5" s="1102" t="s">
        <v>1</v>
      </c>
      <c r="E5" s="1103"/>
      <c r="F5" s="1103"/>
      <c r="G5" s="1103"/>
      <c r="H5" s="1103"/>
      <c r="I5" s="1103"/>
      <c r="J5" s="1103"/>
      <c r="K5" s="1103"/>
      <c r="L5" s="1103"/>
      <c r="M5" s="1103"/>
      <c r="N5" s="1104"/>
      <c r="U5" s="15"/>
      <c r="V5" s="15"/>
      <c r="W5" s="15"/>
      <c r="X5" s="15"/>
      <c r="Y5" s="15"/>
      <c r="Z5" s="15"/>
      <c r="AA5" s="15"/>
      <c r="AB5" s="15"/>
      <c r="AD5" s="589"/>
    </row>
    <row r="6" spans="1:77" ht="69.95" customHeight="1" thickBot="1" x14ac:dyDescent="0.3">
      <c r="D6" s="590" t="s">
        <v>2</v>
      </c>
      <c r="E6" s="591" t="s">
        <v>3</v>
      </c>
      <c r="F6" s="592" t="s">
        <v>4</v>
      </c>
      <c r="G6" s="592" t="s">
        <v>666</v>
      </c>
      <c r="H6" s="592"/>
      <c r="I6" s="592" t="s">
        <v>667</v>
      </c>
      <c r="J6" s="592" t="s">
        <v>6</v>
      </c>
      <c r="K6" s="593" t="s">
        <v>7</v>
      </c>
      <c r="L6" s="593" t="s">
        <v>8</v>
      </c>
      <c r="M6" s="594" t="s">
        <v>9</v>
      </c>
      <c r="N6" s="594" t="s">
        <v>668</v>
      </c>
      <c r="BY6" s="595"/>
    </row>
    <row r="7" spans="1:77" ht="30" customHeight="1" thickBot="1" x14ac:dyDescent="0.25">
      <c r="D7" s="596"/>
      <c r="E7" s="597"/>
      <c r="F7" s="597"/>
      <c r="G7" s="597"/>
      <c r="H7" s="598"/>
      <c r="I7" s="597"/>
      <c r="J7" s="597"/>
      <c r="K7" s="597"/>
      <c r="L7" s="597"/>
      <c r="M7" s="599"/>
      <c r="N7" s="600"/>
      <c r="P7" s="1155" t="s">
        <v>10</v>
      </c>
      <c r="Q7" s="1156"/>
      <c r="R7" s="1156"/>
      <c r="S7" s="1156"/>
      <c r="T7" s="1156"/>
      <c r="U7" s="1157"/>
    </row>
    <row r="8" spans="1:77" ht="52.5" customHeight="1" thickBot="1" x14ac:dyDescent="0.25">
      <c r="D8" s="601">
        <v>1</v>
      </c>
      <c r="E8" s="351" t="s">
        <v>11</v>
      </c>
      <c r="F8" s="602"/>
      <c r="G8" s="350" t="s">
        <v>12</v>
      </c>
      <c r="H8" s="603"/>
      <c r="I8" s="602"/>
      <c r="J8" s="604"/>
      <c r="K8" s="604"/>
      <c r="L8" s="604"/>
      <c r="M8" s="605"/>
      <c r="N8" s="604"/>
      <c r="P8" s="606" t="s">
        <v>2</v>
      </c>
      <c r="Q8" s="1149" t="s">
        <v>13</v>
      </c>
      <c r="R8" s="1150"/>
      <c r="S8" s="1150"/>
      <c r="T8" s="1150"/>
      <c r="U8" s="1151"/>
      <c r="V8" s="15"/>
      <c r="W8" s="15"/>
      <c r="X8" s="15"/>
      <c r="Y8" s="15"/>
      <c r="Z8" s="15"/>
      <c r="AA8" s="15"/>
      <c r="AB8" s="15"/>
      <c r="AQ8" s="15"/>
    </row>
    <row r="9" spans="1:77" ht="30" customHeight="1" thickBot="1" x14ac:dyDescent="0.25">
      <c r="D9" s="607"/>
      <c r="E9" s="608"/>
      <c r="F9" s="609"/>
      <c r="G9" s="608"/>
      <c r="H9" s="610"/>
      <c r="I9" s="609"/>
      <c r="J9" s="608"/>
      <c r="K9" s="608"/>
      <c r="L9" s="608"/>
      <c r="M9" s="608"/>
      <c r="N9" s="611"/>
      <c r="P9" s="612"/>
      <c r="Q9" s="1158"/>
      <c r="R9" s="1159"/>
      <c r="S9" s="1152"/>
      <c r="T9" s="1153"/>
      <c r="U9" s="1154"/>
      <c r="V9" s="15"/>
      <c r="W9" s="15"/>
      <c r="X9" s="15"/>
      <c r="Y9" s="15"/>
      <c r="Z9" s="15"/>
      <c r="AA9" s="15"/>
      <c r="AB9" s="15"/>
      <c r="AQ9" s="15"/>
    </row>
    <row r="10" spans="1:77" ht="30" customHeight="1" thickBot="1" x14ac:dyDescent="0.25">
      <c r="D10" s="613"/>
      <c r="E10" s="613"/>
      <c r="F10" s="614"/>
      <c r="G10" s="613"/>
      <c r="H10" s="614"/>
      <c r="I10" s="613"/>
      <c r="J10" s="613"/>
      <c r="K10" s="613"/>
      <c r="L10" s="613"/>
      <c r="P10" s="615" t="s">
        <v>14</v>
      </c>
      <c r="Q10" s="616" t="s">
        <v>15</v>
      </c>
      <c r="R10" s="616"/>
      <c r="S10" s="616" t="s">
        <v>16</v>
      </c>
      <c r="T10" s="617"/>
      <c r="U10" s="618" t="s">
        <v>17</v>
      </c>
      <c r="V10" s="15"/>
      <c r="W10" s="15"/>
      <c r="X10" s="15"/>
      <c r="Y10" s="15"/>
      <c r="Z10" s="15"/>
      <c r="AA10" s="15"/>
      <c r="AB10" s="15"/>
      <c r="AQ10" s="15"/>
    </row>
    <row r="11" spans="1:77" ht="30" customHeight="1" x14ac:dyDescent="0.2">
      <c r="B11" s="1160" t="s">
        <v>18</v>
      </c>
      <c r="C11" s="1161"/>
      <c r="D11" s="1161"/>
      <c r="E11" s="1161"/>
      <c r="F11" s="1161"/>
      <c r="G11" s="1161"/>
      <c r="H11" s="1161"/>
      <c r="I11" s="1161"/>
      <c r="J11" s="1161"/>
      <c r="K11" s="1161"/>
      <c r="L11" s="1161"/>
      <c r="M11" s="1161"/>
      <c r="N11" s="1162"/>
      <c r="P11" s="601" t="s">
        <v>19</v>
      </c>
      <c r="Q11" s="619" t="s">
        <v>20</v>
      </c>
      <c r="R11" s="617"/>
      <c r="S11" s="616" t="s">
        <v>21</v>
      </c>
      <c r="T11" s="617"/>
      <c r="U11" s="618" t="s">
        <v>17</v>
      </c>
      <c r="V11" s="15"/>
      <c r="W11" s="15"/>
      <c r="X11" s="15"/>
      <c r="Y11" s="15"/>
      <c r="Z11" s="15"/>
      <c r="AA11" s="15"/>
      <c r="AB11" s="15"/>
      <c r="AQ11" s="15"/>
    </row>
    <row r="12" spans="1:77" ht="30" customHeight="1" thickBot="1" x14ac:dyDescent="0.25">
      <c r="B12" s="1163"/>
      <c r="C12" s="1164"/>
      <c r="D12" s="1164"/>
      <c r="E12" s="1164"/>
      <c r="F12" s="1164"/>
      <c r="G12" s="1164"/>
      <c r="H12" s="1164"/>
      <c r="I12" s="1164"/>
      <c r="J12" s="1164"/>
      <c r="K12" s="1164"/>
      <c r="L12" s="1164"/>
      <c r="M12" s="1164"/>
      <c r="N12" s="1165"/>
      <c r="P12" s="620" t="s">
        <v>22</v>
      </c>
      <c r="Q12" s="621" t="s">
        <v>23</v>
      </c>
      <c r="R12" s="622"/>
      <c r="S12" s="623" t="s">
        <v>16</v>
      </c>
      <c r="T12" s="622"/>
      <c r="U12" s="624" t="s">
        <v>17</v>
      </c>
      <c r="V12" s="15"/>
      <c r="W12" s="15"/>
      <c r="X12" s="15"/>
      <c r="Y12" s="15"/>
      <c r="Z12" s="15"/>
      <c r="AA12" s="15"/>
      <c r="AB12" s="15"/>
      <c r="AQ12" s="15"/>
    </row>
    <row r="13" spans="1:77" ht="97.5" customHeight="1" thickBot="1" x14ac:dyDescent="0.25">
      <c r="B13" s="625" t="s">
        <v>2</v>
      </c>
      <c r="C13" s="626" t="s">
        <v>24</v>
      </c>
      <c r="D13" s="626" t="s">
        <v>25</v>
      </c>
      <c r="E13" s="626" t="s">
        <v>26</v>
      </c>
      <c r="F13" s="626" t="s">
        <v>27</v>
      </c>
      <c r="G13" s="626" t="s">
        <v>28</v>
      </c>
      <c r="H13" s="627" t="s">
        <v>29</v>
      </c>
      <c r="I13" s="626" t="s">
        <v>30</v>
      </c>
      <c r="J13" s="627" t="s">
        <v>31</v>
      </c>
      <c r="K13" s="626" t="s">
        <v>32</v>
      </c>
      <c r="L13" s="626" t="s">
        <v>33</v>
      </c>
      <c r="M13" s="626" t="s">
        <v>34</v>
      </c>
      <c r="N13" s="626" t="s">
        <v>35</v>
      </c>
      <c r="O13" s="426"/>
      <c r="P13" s="426"/>
      <c r="Q13" s="426"/>
      <c r="R13" s="426"/>
      <c r="S13" s="426"/>
      <c r="W13" s="15"/>
      <c r="X13" s="15"/>
      <c r="Y13" s="15"/>
    </row>
    <row r="14" spans="1:77" ht="30" customHeight="1" thickBot="1" x14ac:dyDescent="0.25">
      <c r="B14" s="596"/>
      <c r="C14" s="628"/>
      <c r="D14" s="628"/>
      <c r="E14" s="628"/>
      <c r="F14" s="628" t="s">
        <v>36</v>
      </c>
      <c r="G14" s="629"/>
      <c r="H14" s="630"/>
      <c r="I14" s="628"/>
      <c r="J14" s="631"/>
      <c r="K14" s="628"/>
      <c r="L14" s="628"/>
      <c r="M14" s="628"/>
      <c r="N14" s="632"/>
      <c r="O14" s="426"/>
      <c r="P14" s="426"/>
      <c r="Q14" s="426"/>
      <c r="R14" s="426"/>
      <c r="S14" s="589"/>
      <c r="T14" s="1113"/>
      <c r="U14" s="1113"/>
      <c r="V14" s="1113"/>
      <c r="W14" s="15"/>
      <c r="X14" s="15"/>
      <c r="Y14" s="15"/>
    </row>
    <row r="15" spans="1:77" ht="30" customHeight="1" thickBot="1" x14ac:dyDescent="0.25">
      <c r="B15" s="601">
        <v>1</v>
      </c>
      <c r="C15" s="604"/>
      <c r="D15" s="633"/>
      <c r="E15" s="634"/>
      <c r="F15" s="556"/>
      <c r="G15" s="327"/>
      <c r="H15" s="351" t="e">
        <f>VLOOKUP(H14,'DATOS #'!AC134:AF139,4,FALSE)</f>
        <v>#N/A</v>
      </c>
      <c r="I15" s="351" t="e">
        <f>H15</f>
        <v>#N/A</v>
      </c>
      <c r="J15" s="635" t="e">
        <f>VLOOKUP(J14,'DATOS #'!AH134:AI137,2,FALSE)</f>
        <v>#N/A</v>
      </c>
      <c r="K15" s="636" t="e">
        <f>AVERAGE(K17:K19)</f>
        <v>#DIV/0!</v>
      </c>
      <c r="L15" s="637">
        <v>5.0000000000000001E-3</v>
      </c>
      <c r="M15" s="635">
        <v>9.9000000000000001E-6</v>
      </c>
      <c r="N15" s="638">
        <f>N8</f>
        <v>0</v>
      </c>
      <c r="P15" s="426"/>
      <c r="Q15" s="426"/>
      <c r="R15" s="426"/>
      <c r="T15" s="15"/>
      <c r="Y15" s="15"/>
    </row>
    <row r="16" spans="1:77" ht="30" customHeight="1" thickBot="1" x14ac:dyDescent="0.25">
      <c r="B16" s="607"/>
      <c r="C16" s="608"/>
      <c r="D16" s="608"/>
      <c r="E16" s="608"/>
      <c r="F16" s="608"/>
      <c r="G16" s="608"/>
      <c r="H16" s="608"/>
      <c r="I16" s="608"/>
      <c r="J16" s="639"/>
      <c r="K16" s="640" t="s">
        <v>37</v>
      </c>
      <c r="L16" s="641"/>
      <c r="M16" s="608"/>
      <c r="N16" s="642"/>
      <c r="O16" s="426"/>
      <c r="P16" s="426"/>
      <c r="Q16" s="426"/>
      <c r="R16" s="426"/>
      <c r="T16" s="15"/>
      <c r="Y16" s="15"/>
    </row>
    <row r="17" spans="1:58" ht="30" customHeight="1" x14ac:dyDescent="0.2">
      <c r="D17" s="613"/>
      <c r="E17" s="613"/>
      <c r="F17" s="614"/>
      <c r="G17" s="613"/>
      <c r="H17" s="614"/>
      <c r="I17" s="613"/>
      <c r="J17" s="613"/>
      <c r="K17" s="643"/>
      <c r="L17" s="613"/>
      <c r="O17" s="426"/>
      <c r="P17" s="426"/>
      <c r="Q17" s="426"/>
      <c r="R17" s="426"/>
      <c r="T17" s="15"/>
    </row>
    <row r="18" spans="1:58" ht="30" customHeight="1" x14ac:dyDescent="0.2">
      <c r="D18" s="613"/>
      <c r="E18" s="613"/>
      <c r="F18" s="614"/>
      <c r="G18" s="613"/>
      <c r="H18" s="614"/>
      <c r="I18" s="613"/>
      <c r="J18" s="613"/>
      <c r="K18" s="644"/>
      <c r="L18" s="613"/>
      <c r="O18" s="426"/>
      <c r="P18" s="426"/>
      <c r="Q18" s="426"/>
      <c r="R18" s="426"/>
      <c r="T18" s="15"/>
    </row>
    <row r="19" spans="1:58" ht="30" customHeight="1" thickBot="1" x14ac:dyDescent="0.25">
      <c r="A19" s="613"/>
      <c r="B19" s="613"/>
      <c r="C19" s="613"/>
      <c r="D19" s="613"/>
      <c r="E19" s="613"/>
      <c r="F19" s="613"/>
      <c r="G19" s="613"/>
      <c r="H19" s="613"/>
      <c r="I19" s="613"/>
      <c r="J19" s="613"/>
      <c r="K19" s="645"/>
      <c r="L19" s="426"/>
      <c r="M19" s="426"/>
      <c r="N19" s="426"/>
      <c r="O19" s="426"/>
      <c r="P19" s="426"/>
      <c r="Q19" s="426"/>
      <c r="R19" s="426"/>
      <c r="T19" s="15"/>
    </row>
    <row r="20" spans="1:58" ht="30" customHeight="1" thickBot="1" x14ac:dyDescent="0.25">
      <c r="K20" s="588"/>
      <c r="L20" s="426"/>
      <c r="M20" s="426"/>
      <c r="N20" s="426"/>
      <c r="O20" s="426"/>
      <c r="P20" s="426"/>
      <c r="Q20" s="426"/>
      <c r="R20" s="426"/>
      <c r="T20" s="15"/>
    </row>
    <row r="21" spans="1:58" ht="30" customHeight="1" thickBot="1" x14ac:dyDescent="0.25">
      <c r="A21" s="646"/>
      <c r="B21" s="1114" t="s">
        <v>38</v>
      </c>
      <c r="C21" s="1115"/>
      <c r="D21" s="1115"/>
      <c r="E21" s="1115"/>
      <c r="F21" s="1115"/>
      <c r="G21" s="1115"/>
      <c r="H21" s="1115"/>
      <c r="I21" s="1115"/>
      <c r="J21" s="1115"/>
      <c r="K21" s="1115"/>
      <c r="L21" s="1115"/>
      <c r="M21" s="1115"/>
      <c r="N21" s="1115"/>
      <c r="O21" s="1116"/>
      <c r="P21" s="586"/>
      <c r="Q21" s="426"/>
      <c r="R21" s="426"/>
      <c r="T21" s="15"/>
    </row>
    <row r="22" spans="1:58" ht="30" customHeight="1" thickBot="1" x14ac:dyDescent="0.25">
      <c r="A22" s="646"/>
      <c r="K22" s="588"/>
      <c r="O22" s="426"/>
      <c r="P22" s="426"/>
      <c r="Q22" s="426"/>
      <c r="R22" s="426"/>
      <c r="T22" s="15"/>
    </row>
    <row r="23" spans="1:58" ht="80.25" customHeight="1" thickBot="1" x14ac:dyDescent="0.25">
      <c r="A23" s="646"/>
      <c r="B23" s="647" t="s">
        <v>39</v>
      </c>
      <c r="C23" s="648" t="s">
        <v>24</v>
      </c>
      <c r="D23" s="648" t="s">
        <v>25</v>
      </c>
      <c r="E23" s="648" t="s">
        <v>26</v>
      </c>
      <c r="F23" s="648" t="s">
        <v>40</v>
      </c>
      <c r="G23" s="648" t="s">
        <v>41</v>
      </c>
      <c r="H23" s="648" t="s">
        <v>42</v>
      </c>
      <c r="I23" s="648" t="s">
        <v>43</v>
      </c>
      <c r="J23" s="648" t="s">
        <v>44</v>
      </c>
      <c r="K23" s="649" t="s">
        <v>32</v>
      </c>
      <c r="L23" s="650" t="s">
        <v>45</v>
      </c>
      <c r="M23" s="651" t="s">
        <v>46</v>
      </c>
      <c r="R23" s="426"/>
      <c r="T23" s="15"/>
    </row>
    <row r="24" spans="1:58" ht="30" customHeight="1" thickBot="1" x14ac:dyDescent="0.25">
      <c r="A24" s="646"/>
      <c r="B24" s="652"/>
      <c r="C24" s="653"/>
      <c r="D24" s="653"/>
      <c r="E24" s="653"/>
      <c r="F24" s="653"/>
      <c r="G24" s="653"/>
      <c r="H24" s="653"/>
      <c r="I24" s="653"/>
      <c r="J24" s="653"/>
      <c r="K24" s="654"/>
      <c r="L24" s="653"/>
      <c r="M24" s="655"/>
      <c r="Q24" s="1169" t="s">
        <v>47</v>
      </c>
      <c r="R24" s="1170"/>
      <c r="S24" s="1170"/>
      <c r="T24" s="1170"/>
      <c r="U24" s="1170"/>
      <c r="V24" s="1170"/>
      <c r="W24" s="1171"/>
    </row>
    <row r="25" spans="1:58" ht="30" customHeight="1" thickBot="1" x14ac:dyDescent="0.25">
      <c r="A25" s="646"/>
      <c r="B25" s="656" t="s">
        <v>48</v>
      </c>
      <c r="C25" s="347" t="s">
        <v>49</v>
      </c>
      <c r="D25" s="347" t="s">
        <v>50</v>
      </c>
      <c r="E25" s="347" t="s">
        <v>51</v>
      </c>
      <c r="F25" s="372">
        <v>15.56</v>
      </c>
      <c r="G25" s="521">
        <v>5</v>
      </c>
      <c r="H25" s="348">
        <v>4.0967700000000002</v>
      </c>
      <c r="I25" s="348">
        <f>H25</f>
        <v>4.0967700000000002</v>
      </c>
      <c r="J25" s="347">
        <v>4.7700000000000001E-5</v>
      </c>
      <c r="K25" s="372">
        <f>(5.49+5.5+5.51)/3</f>
        <v>5.5</v>
      </c>
      <c r="L25" s="657">
        <v>5.0000000000000001E-3</v>
      </c>
      <c r="M25" s="658">
        <v>9.9000000000000001E-6</v>
      </c>
      <c r="Q25" s="1172"/>
      <c r="R25" s="1173"/>
      <c r="S25" s="1173"/>
      <c r="T25" s="1173"/>
      <c r="U25" s="1173"/>
      <c r="V25" s="1173"/>
      <c r="W25" s="1174"/>
      <c r="X25" s="15"/>
      <c r="Y25" s="613"/>
      <c r="Z25" s="613"/>
      <c r="AA25" s="613"/>
      <c r="AB25" s="613"/>
      <c r="AC25" s="613"/>
    </row>
    <row r="26" spans="1:58" ht="30" customHeight="1" thickBot="1" x14ac:dyDescent="0.25">
      <c r="A26" s="646"/>
      <c r="B26" s="659" t="s">
        <v>52</v>
      </c>
      <c r="C26" s="352" t="s">
        <v>49</v>
      </c>
      <c r="D26" s="660" t="s">
        <v>53</v>
      </c>
      <c r="E26" s="352" t="s">
        <v>54</v>
      </c>
      <c r="F26" s="661">
        <v>15.56</v>
      </c>
      <c r="G26" s="662">
        <v>5</v>
      </c>
      <c r="H26" s="353">
        <v>8.1935000000000002</v>
      </c>
      <c r="I26" s="352">
        <f>H26</f>
        <v>8.1935000000000002</v>
      </c>
      <c r="J26" s="352">
        <v>4.7700000000000001E-5</v>
      </c>
      <c r="K26" s="661">
        <f>(7.29+7.26+7.25)/3</f>
        <v>7.2666666666666666</v>
      </c>
      <c r="L26" s="301">
        <v>5.0000000000000001E-3</v>
      </c>
      <c r="M26" s="663">
        <f>M25</f>
        <v>9.9000000000000001E-6</v>
      </c>
      <c r="Q26" s="664"/>
      <c r="R26" s="665" t="s">
        <v>55</v>
      </c>
      <c r="S26" s="665" t="s">
        <v>56</v>
      </c>
      <c r="T26" s="665" t="s">
        <v>57</v>
      </c>
      <c r="U26" s="665" t="s">
        <v>58</v>
      </c>
      <c r="V26" s="665" t="s">
        <v>59</v>
      </c>
      <c r="W26" s="666" t="s">
        <v>60</v>
      </c>
      <c r="X26" s="15"/>
      <c r="Y26" s="613"/>
      <c r="Z26" s="613"/>
      <c r="AA26" s="613"/>
      <c r="AB26" s="613"/>
      <c r="AC26" s="613"/>
    </row>
    <row r="27" spans="1:58" ht="38.1" customHeight="1" thickBot="1" x14ac:dyDescent="0.25">
      <c r="A27" s="646"/>
      <c r="K27" s="588"/>
      <c r="O27" s="426"/>
      <c r="P27" s="426"/>
      <c r="Q27" s="419" t="s">
        <v>61</v>
      </c>
      <c r="R27" s="667" t="e">
        <f>#REF!</f>
        <v>#REF!</v>
      </c>
      <c r="S27" s="667" t="e">
        <f>#REF!</f>
        <v>#REF!</v>
      </c>
      <c r="T27" s="667" t="e">
        <f>#REF!</f>
        <v>#REF!</v>
      </c>
      <c r="U27" s="667" t="e">
        <f>#REF!</f>
        <v>#REF!</v>
      </c>
      <c r="V27" s="667" t="e">
        <f>#REF!</f>
        <v>#REF!</v>
      </c>
      <c r="W27" s="668" t="e">
        <f>#REF!</f>
        <v>#REF!</v>
      </c>
      <c r="X27" s="15"/>
      <c r="AB27" s="613"/>
      <c r="AC27" s="613"/>
    </row>
    <row r="28" spans="1:58" ht="50.45" customHeight="1" thickBot="1" x14ac:dyDescent="0.25">
      <c r="A28" s="646"/>
      <c r="B28" s="1114" t="s">
        <v>62</v>
      </c>
      <c r="C28" s="1133"/>
      <c r="D28" s="1133"/>
      <c r="E28" s="1133"/>
      <c r="F28" s="1133"/>
      <c r="G28" s="1133"/>
      <c r="H28" s="1133"/>
      <c r="I28" s="1133"/>
      <c r="J28" s="1133"/>
      <c r="K28" s="1133"/>
      <c r="L28" s="1133"/>
      <c r="M28" s="1133"/>
      <c r="N28" s="1133"/>
      <c r="O28" s="1134"/>
      <c r="Q28" s="420" t="s">
        <v>63</v>
      </c>
      <c r="R28" s="669" t="e">
        <f>#REF!</f>
        <v>#REF!</v>
      </c>
      <c r="S28" s="669" t="e">
        <f>#REF!</f>
        <v>#REF!</v>
      </c>
      <c r="T28" s="670" t="e">
        <f>#REF!</f>
        <v>#REF!</v>
      </c>
      <c r="U28" s="670" t="e">
        <f>#REF!</f>
        <v>#REF!</v>
      </c>
      <c r="V28" s="670" t="e">
        <f>#REF!</f>
        <v>#REF!</v>
      </c>
      <c r="W28" s="671" t="e">
        <f>#REF!</f>
        <v>#REF!</v>
      </c>
      <c r="X28" s="15"/>
      <c r="AB28" s="613"/>
      <c r="AC28" s="613"/>
    </row>
    <row r="29" spans="1:58" ht="60" customHeight="1" thickBot="1" x14ac:dyDescent="0.25">
      <c r="A29" s="646"/>
      <c r="B29" s="1107" t="s">
        <v>64</v>
      </c>
      <c r="C29" s="578" t="s">
        <v>39</v>
      </c>
      <c r="D29" s="282" t="s">
        <v>24</v>
      </c>
      <c r="E29" s="282" t="s">
        <v>65</v>
      </c>
      <c r="F29" s="282" t="s">
        <v>66</v>
      </c>
      <c r="G29" s="282" t="s">
        <v>67</v>
      </c>
      <c r="H29" s="282" t="s">
        <v>68</v>
      </c>
      <c r="I29" s="282" t="s">
        <v>69</v>
      </c>
      <c r="J29" s="282" t="s">
        <v>70</v>
      </c>
      <c r="K29" s="672" t="s">
        <v>5</v>
      </c>
      <c r="L29" s="282" t="s">
        <v>71</v>
      </c>
      <c r="M29" s="282" t="s">
        <v>72</v>
      </c>
      <c r="N29" s="282" t="s">
        <v>73</v>
      </c>
      <c r="O29" s="673" t="s">
        <v>74</v>
      </c>
      <c r="R29" s="426"/>
      <c r="S29" s="64"/>
      <c r="T29" s="64"/>
      <c r="U29" s="64"/>
      <c r="X29" s="15"/>
      <c r="AB29" s="613"/>
      <c r="AC29" s="613"/>
    </row>
    <row r="30" spans="1:58" ht="30" customHeight="1" thickBot="1" x14ac:dyDescent="0.25">
      <c r="A30" s="646"/>
      <c r="B30" s="1108"/>
      <c r="C30" s="674"/>
      <c r="D30" s="675"/>
      <c r="E30" s="676"/>
      <c r="F30" s="676"/>
      <c r="G30" s="676"/>
      <c r="H30" s="676"/>
      <c r="I30" s="676"/>
      <c r="J30" s="676"/>
      <c r="K30" s="677"/>
      <c r="L30" s="675"/>
      <c r="M30" s="675"/>
      <c r="N30" s="675"/>
      <c r="O30" s="678"/>
      <c r="Q30" s="426"/>
      <c r="R30" s="426"/>
      <c r="S30" s="1148"/>
      <c r="T30" s="1113"/>
      <c r="U30" s="66"/>
      <c r="V30" s="1147"/>
      <c r="X30" s="15"/>
    </row>
    <row r="31" spans="1:58" ht="30" customHeight="1" x14ac:dyDescent="0.2">
      <c r="A31" s="646"/>
      <c r="B31" s="1109"/>
      <c r="C31" s="679" t="str">
        <f>B25</f>
        <v>V-005</v>
      </c>
      <c r="D31" s="347" t="str">
        <f>C25</f>
        <v>Serhapin test Measure</v>
      </c>
      <c r="E31" s="347" t="str">
        <f>E25</f>
        <v xml:space="preserve">16-5935702    C-I V-005         </v>
      </c>
      <c r="F31" s="499">
        <v>18926.8</v>
      </c>
      <c r="G31" s="348">
        <f>H25</f>
        <v>4.0967700000000002</v>
      </c>
      <c r="H31" s="680">
        <v>0.25500000000101863</v>
      </c>
      <c r="I31" s="499">
        <v>2.1</v>
      </c>
      <c r="J31" s="680">
        <v>2.12</v>
      </c>
      <c r="K31" s="502">
        <v>44997</v>
      </c>
      <c r="L31" s="681" t="s">
        <v>75</v>
      </c>
      <c r="M31" s="682">
        <f>F31/1000</f>
        <v>18.9268</v>
      </c>
      <c r="N31" s="938">
        <v>18.9255</v>
      </c>
      <c r="O31" s="939">
        <f>(M31-N31)*1000</f>
        <v>1.300000000000523</v>
      </c>
      <c r="Q31" s="426"/>
      <c r="R31" s="426"/>
      <c r="S31" s="1148"/>
      <c r="T31" s="1113"/>
      <c r="U31" s="71"/>
      <c r="V31" s="1147"/>
      <c r="BF31" s="683"/>
    </row>
    <row r="32" spans="1:58" ht="30" customHeight="1" thickBot="1" x14ac:dyDescent="0.25">
      <c r="A32" s="646"/>
      <c r="B32" s="1109"/>
      <c r="C32" s="684" t="str">
        <f>B26</f>
        <v>V-001</v>
      </c>
      <c r="D32" s="352" t="str">
        <f>C26</f>
        <v>Serhapin test Measure</v>
      </c>
      <c r="E32" s="352" t="str">
        <f>E26</f>
        <v>14-92812 C-I V-001</v>
      </c>
      <c r="F32" s="685">
        <v>18932</v>
      </c>
      <c r="G32" s="353">
        <f>H26</f>
        <v>8.1935000000000002</v>
      </c>
      <c r="H32" s="501">
        <v>-4.944999999999709</v>
      </c>
      <c r="I32" s="501">
        <v>2.7</v>
      </c>
      <c r="J32" s="685">
        <v>2.0169999999999999</v>
      </c>
      <c r="K32" s="504">
        <v>44888</v>
      </c>
      <c r="L32" s="686" t="s">
        <v>76</v>
      </c>
      <c r="M32" s="687">
        <f>F32/1000</f>
        <v>18.931999999999999</v>
      </c>
      <c r="N32" s="927">
        <v>18.933039999999998</v>
      </c>
      <c r="O32" s="940">
        <f>ABS((M32-N32)*1000)</f>
        <v>1.0399999999997078</v>
      </c>
      <c r="Q32" s="426"/>
      <c r="R32" s="426"/>
      <c r="S32" s="1113"/>
      <c r="T32" s="1113"/>
      <c r="U32" s="1113"/>
      <c r="V32" s="1113"/>
    </row>
    <row r="33" spans="1:29" ht="30" customHeight="1" x14ac:dyDescent="0.2">
      <c r="A33" s="646"/>
      <c r="B33" s="688"/>
      <c r="C33" s="426"/>
      <c r="E33" s="426"/>
      <c r="F33" s="426"/>
      <c r="G33" s="426"/>
      <c r="H33" s="689"/>
      <c r="I33" s="426"/>
      <c r="J33" s="426"/>
      <c r="K33" s="690"/>
      <c r="Q33" s="426"/>
      <c r="R33" s="426"/>
      <c r="S33" s="426"/>
      <c r="T33" s="691"/>
    </row>
    <row r="34" spans="1:29" ht="30" customHeight="1" thickBot="1" x14ac:dyDescent="0.25">
      <c r="A34" s="646"/>
      <c r="K34" s="588"/>
      <c r="Q34" s="426"/>
      <c r="R34" s="426"/>
      <c r="S34" s="426"/>
    </row>
    <row r="35" spans="1:29" ht="30" customHeight="1" thickBot="1" x14ac:dyDescent="0.25">
      <c r="A35" s="646"/>
      <c r="B35" s="1114" t="s">
        <v>77</v>
      </c>
      <c r="C35" s="1115"/>
      <c r="D35" s="1115"/>
      <c r="E35" s="1115"/>
      <c r="F35" s="1115"/>
      <c r="G35" s="1115"/>
      <c r="H35" s="1115"/>
      <c r="I35" s="1115"/>
      <c r="J35" s="1115"/>
      <c r="K35" s="1115"/>
      <c r="L35" s="1115"/>
      <c r="M35" s="1115"/>
      <c r="N35" s="1115"/>
      <c r="O35" s="1115"/>
      <c r="P35" s="1115"/>
      <c r="Q35" s="1115"/>
      <c r="R35" s="1116"/>
      <c r="X35" s="14"/>
    </row>
    <row r="36" spans="1:29" ht="60" customHeight="1" thickBot="1" x14ac:dyDescent="0.25">
      <c r="A36" s="646"/>
      <c r="C36" s="426"/>
      <c r="D36" s="692" t="s">
        <v>24</v>
      </c>
      <c r="E36" s="693" t="s">
        <v>65</v>
      </c>
      <c r="F36" s="693" t="s">
        <v>78</v>
      </c>
      <c r="G36" s="693" t="s">
        <v>67</v>
      </c>
      <c r="H36" s="693" t="s">
        <v>68</v>
      </c>
      <c r="I36" s="693" t="s">
        <v>69</v>
      </c>
      <c r="J36" s="693" t="s">
        <v>70</v>
      </c>
      <c r="K36" s="694" t="s">
        <v>5</v>
      </c>
      <c r="L36" s="693" t="s">
        <v>71</v>
      </c>
      <c r="M36" s="693" t="s">
        <v>79</v>
      </c>
      <c r="N36" s="693" t="s">
        <v>80</v>
      </c>
      <c r="O36" s="693" t="s">
        <v>81</v>
      </c>
      <c r="P36" s="693" t="s">
        <v>82</v>
      </c>
      <c r="Q36" s="693" t="s">
        <v>83</v>
      </c>
      <c r="R36" s="695" t="s">
        <v>84</v>
      </c>
      <c r="U36" s="15"/>
      <c r="X36" s="14"/>
    </row>
    <row r="37" spans="1:29" ht="45" customHeight="1" thickBot="1" x14ac:dyDescent="0.25">
      <c r="A37" s="646"/>
      <c r="D37" s="426"/>
      <c r="E37" s="426"/>
      <c r="F37" s="426"/>
      <c r="G37" s="426"/>
      <c r="H37" s="426"/>
      <c r="I37" s="426"/>
      <c r="J37" s="426"/>
      <c r="K37" s="696"/>
      <c r="X37" s="14"/>
    </row>
    <row r="38" spans="1:29" ht="45.75" customHeight="1" x14ac:dyDescent="0.2">
      <c r="A38" s="646"/>
      <c r="B38" s="1110" t="s">
        <v>85</v>
      </c>
      <c r="C38" s="347" t="s">
        <v>86</v>
      </c>
      <c r="D38" s="1096" t="s">
        <v>87</v>
      </c>
      <c r="E38" s="507" t="s">
        <v>88</v>
      </c>
      <c r="F38" s="941">
        <v>14.003</v>
      </c>
      <c r="G38" s="348">
        <v>1E-3</v>
      </c>
      <c r="H38" s="942">
        <v>-0.02</v>
      </c>
      <c r="I38" s="938">
        <v>4.3999999999999997E-2</v>
      </c>
      <c r="J38" s="943">
        <v>1.96</v>
      </c>
      <c r="K38" s="944">
        <v>45000</v>
      </c>
      <c r="L38" s="1099" t="s">
        <v>89</v>
      </c>
      <c r="M38" s="698">
        <f>SLOPE(H38:H42,F38:F42)</f>
        <v>-1.4024671063630936E-3</v>
      </c>
      <c r="N38" s="698">
        <f>INTERCEPT(H38:H42,F38:F42)</f>
        <v>2.3181847310890791E-4</v>
      </c>
      <c r="O38" s="347">
        <v>14</v>
      </c>
      <c r="P38" s="699">
        <f>F38</f>
        <v>14.003</v>
      </c>
      <c r="Q38" s="699">
        <v>14.031000000000001</v>
      </c>
      <c r="R38" s="496">
        <f>ABS(P38-Q38)</f>
        <v>2.8000000000000469E-2</v>
      </c>
      <c r="X38" s="14"/>
    </row>
    <row r="39" spans="1:29" ht="45.75" thickBot="1" x14ac:dyDescent="0.25">
      <c r="A39" s="646"/>
      <c r="B39" s="1111"/>
      <c r="C39" s="350" t="s">
        <v>90</v>
      </c>
      <c r="D39" s="1097"/>
      <c r="E39" s="508" t="s">
        <v>88</v>
      </c>
      <c r="F39" s="932">
        <v>16.012</v>
      </c>
      <c r="G39" s="351">
        <v>1E-3</v>
      </c>
      <c r="H39" s="924">
        <v>-2.1999999999999999E-2</v>
      </c>
      <c r="I39" s="923">
        <v>4.3999999999999997E-2</v>
      </c>
      <c r="J39" s="945">
        <v>1.96</v>
      </c>
      <c r="K39" s="946">
        <v>45000</v>
      </c>
      <c r="L39" s="1100"/>
      <c r="M39" s="701">
        <f>SLOPE(H38:H42,F38:F42)</f>
        <v>-1.4024671063630936E-3</v>
      </c>
      <c r="N39" s="701">
        <f>INTERCEPT(H38:H42,F38:F42)</f>
        <v>2.3181847310890791E-4</v>
      </c>
      <c r="O39" s="350">
        <v>16</v>
      </c>
      <c r="P39" s="505">
        <f>F39</f>
        <v>16.012</v>
      </c>
      <c r="Q39" s="505">
        <v>16.033000000000001</v>
      </c>
      <c r="R39" s="497">
        <f>ABS(P39-Q39)</f>
        <v>2.1000000000000796E-2</v>
      </c>
      <c r="X39" s="14"/>
    </row>
    <row r="40" spans="1:29" ht="45.75" thickBot="1" x14ac:dyDescent="0.25">
      <c r="A40" s="702" t="s">
        <v>91</v>
      </c>
      <c r="B40" s="1111"/>
      <c r="C40" s="350" t="s">
        <v>92</v>
      </c>
      <c r="D40" s="1097"/>
      <c r="E40" s="508" t="s">
        <v>88</v>
      </c>
      <c r="F40" s="932">
        <v>17.021999999999998</v>
      </c>
      <c r="G40" s="351">
        <v>1E-3</v>
      </c>
      <c r="H40" s="924">
        <v>-2.3E-2</v>
      </c>
      <c r="I40" s="923">
        <v>4.3999999999999997E-2</v>
      </c>
      <c r="J40" s="945">
        <v>1.96</v>
      </c>
      <c r="K40" s="946">
        <v>45000</v>
      </c>
      <c r="L40" s="1100"/>
      <c r="M40" s="703">
        <f>SLOPE(H38:H42,F38:F42)</f>
        <v>-1.4024671063630936E-3</v>
      </c>
      <c r="N40" s="703">
        <f>INTERCEPT(H38:H42,F38:F42)</f>
        <v>2.3181847310890791E-4</v>
      </c>
      <c r="O40" s="351">
        <v>17</v>
      </c>
      <c r="P40" s="505">
        <f>F40</f>
        <v>17.021999999999998</v>
      </c>
      <c r="Q40" s="505">
        <v>17.032</v>
      </c>
      <c r="R40" s="497">
        <f>ABS(P40-Q40)</f>
        <v>1.0000000000001563E-2</v>
      </c>
    </row>
    <row r="41" spans="1:29" ht="45" x14ac:dyDescent="0.2">
      <c r="A41" s="646"/>
      <c r="B41" s="1111"/>
      <c r="C41" s="350" t="s">
        <v>93</v>
      </c>
      <c r="D41" s="1097"/>
      <c r="E41" s="508" t="s">
        <v>94</v>
      </c>
      <c r="F41" s="922">
        <v>18.026</v>
      </c>
      <c r="G41" s="351">
        <v>1E-3</v>
      </c>
      <c r="H41" s="923">
        <v>-2.5000000000000001E-2</v>
      </c>
      <c r="I41" s="923">
        <v>4.3999999999999997E-2</v>
      </c>
      <c r="J41" s="945">
        <v>1.96</v>
      </c>
      <c r="K41" s="946">
        <v>45000</v>
      </c>
      <c r="L41" s="1100"/>
      <c r="M41" s="701">
        <f>SLOPE(H38:H42,F38:F42)</f>
        <v>-1.4024671063630936E-3</v>
      </c>
      <c r="N41" s="701">
        <f>INTERCEPT(H38:H42,F38:F42)</f>
        <v>2.3181847310890791E-4</v>
      </c>
      <c r="O41" s="351">
        <v>18</v>
      </c>
      <c r="P41" s="505">
        <f>F41</f>
        <v>18.026</v>
      </c>
      <c r="Q41" s="494">
        <v>18.027999999999999</v>
      </c>
      <c r="R41" s="497">
        <f>ABS(P41-Q41)</f>
        <v>1.9999999999988916E-3</v>
      </c>
      <c r="X41" s="14"/>
      <c r="AB41" s="613"/>
      <c r="AC41" s="613"/>
    </row>
    <row r="42" spans="1:29" ht="45.75" thickBot="1" x14ac:dyDescent="0.25">
      <c r="A42" s="646"/>
      <c r="B42" s="1112"/>
      <c r="C42" s="352" t="s">
        <v>95</v>
      </c>
      <c r="D42" s="1098"/>
      <c r="E42" s="509" t="s">
        <v>88</v>
      </c>
      <c r="F42" s="935">
        <v>22.04</v>
      </c>
      <c r="G42" s="353">
        <v>1E-3</v>
      </c>
      <c r="H42" s="927">
        <v>-3.1E-2</v>
      </c>
      <c r="I42" s="927">
        <v>4.3999999999999997E-2</v>
      </c>
      <c r="J42" s="947">
        <v>1.96</v>
      </c>
      <c r="K42" s="948">
        <v>45000</v>
      </c>
      <c r="L42" s="1101"/>
      <c r="M42" s="705">
        <f>SLOPE(H38:H42,F38:F42)</f>
        <v>-1.4024671063630936E-3</v>
      </c>
      <c r="N42" s="705">
        <f>INTERCEPT(H38:H42,F38:F42)</f>
        <v>2.3181847310890791E-4</v>
      </c>
      <c r="O42" s="353">
        <v>22</v>
      </c>
      <c r="P42" s="506">
        <f>F42</f>
        <v>22.04</v>
      </c>
      <c r="Q42" s="495">
        <v>22.030999999999999</v>
      </c>
      <c r="R42" s="498">
        <f>ABS(P42-Q42)</f>
        <v>9.0000000000003411E-3</v>
      </c>
      <c r="T42" s="17"/>
      <c r="U42" s="17"/>
      <c r="V42" s="17"/>
      <c r="X42" s="14"/>
      <c r="AB42" s="613"/>
      <c r="AC42" s="613"/>
    </row>
    <row r="43" spans="1:29" ht="42" customHeight="1" thickBot="1" x14ac:dyDescent="0.25">
      <c r="A43" s="646"/>
      <c r="B43" s="674"/>
      <c r="C43" s="426"/>
      <c r="E43" s="706"/>
      <c r="F43" s="104"/>
      <c r="G43" s="426"/>
      <c r="H43" s="426"/>
      <c r="I43" s="426"/>
      <c r="J43" s="426"/>
      <c r="K43" s="696"/>
      <c r="L43" s="426"/>
      <c r="M43" s="426"/>
      <c r="N43" s="426"/>
      <c r="R43" s="707"/>
      <c r="S43" s="64"/>
      <c r="T43" s="64"/>
      <c r="U43" s="64"/>
      <c r="W43" s="15"/>
      <c r="X43" s="14"/>
      <c r="AB43" s="613"/>
      <c r="AC43" s="613"/>
    </row>
    <row r="44" spans="1:29" ht="45" x14ac:dyDescent="0.2">
      <c r="A44" s="646"/>
      <c r="B44" s="1048" t="s">
        <v>85</v>
      </c>
      <c r="C44" s="708" t="s">
        <v>96</v>
      </c>
      <c r="D44" s="1126" t="s">
        <v>97</v>
      </c>
      <c r="E44" s="709" t="s">
        <v>98</v>
      </c>
      <c r="F44" s="710">
        <v>13.94</v>
      </c>
      <c r="G44" s="348">
        <v>0.01</v>
      </c>
      <c r="H44" s="493">
        <v>0.03</v>
      </c>
      <c r="I44" s="493">
        <v>0.05</v>
      </c>
      <c r="J44" s="697">
        <v>1.96</v>
      </c>
      <c r="K44" s="502">
        <v>44671</v>
      </c>
      <c r="L44" s="1129" t="s">
        <v>99</v>
      </c>
      <c r="M44" s="698">
        <f>SLOPE(H44:H48,F44:F48)</f>
        <v>-2.4283654611540013E-3</v>
      </c>
      <c r="N44" s="367">
        <f>INTERCEPT(H44:H48,F44:F48)</f>
        <v>6.017099459840039E-2</v>
      </c>
      <c r="O44" s="347">
        <v>14</v>
      </c>
      <c r="P44" s="699">
        <f>F44</f>
        <v>13.94</v>
      </c>
      <c r="Q44" s="493">
        <v>13.97</v>
      </c>
      <c r="R44" s="496">
        <f>ABS(P44-Q44)</f>
        <v>3.0000000000001137E-2</v>
      </c>
      <c r="W44" s="15"/>
      <c r="X44" s="14"/>
      <c r="AB44" s="613"/>
      <c r="AC44" s="613"/>
    </row>
    <row r="45" spans="1:29" ht="45.75" thickBot="1" x14ac:dyDescent="0.25">
      <c r="A45" s="646"/>
      <c r="B45" s="1049"/>
      <c r="C45" s="711" t="s">
        <v>100</v>
      </c>
      <c r="D45" s="1127"/>
      <c r="E45" s="712" t="s">
        <v>98</v>
      </c>
      <c r="F45" s="713">
        <v>15.94</v>
      </c>
      <c r="G45" s="351">
        <v>0.01</v>
      </c>
      <c r="H45" s="494">
        <v>0.02</v>
      </c>
      <c r="I45" s="494">
        <v>0.05</v>
      </c>
      <c r="J45" s="700">
        <v>1.96</v>
      </c>
      <c r="K45" s="503">
        <v>44671</v>
      </c>
      <c r="L45" s="1130"/>
      <c r="M45" s="701">
        <f>SLOPE(H44:H48,F44:F48)</f>
        <v>-2.4283654611540013E-3</v>
      </c>
      <c r="N45" s="360">
        <f>INTERCEPT(H44:H48,F44:F48)</f>
        <v>6.017099459840039E-2</v>
      </c>
      <c r="O45" s="350">
        <v>16</v>
      </c>
      <c r="P45" s="505">
        <f>F45</f>
        <v>15.94</v>
      </c>
      <c r="Q45" s="494">
        <v>15.97</v>
      </c>
      <c r="R45" s="497">
        <f>ABS(P45-Q45)</f>
        <v>3.0000000000001137E-2</v>
      </c>
      <c r="W45" s="15"/>
      <c r="X45" s="14"/>
      <c r="AB45" s="613"/>
      <c r="AC45" s="613"/>
    </row>
    <row r="46" spans="1:29" ht="45.75" thickBot="1" x14ac:dyDescent="0.25">
      <c r="A46" s="714" t="s">
        <v>101</v>
      </c>
      <c r="B46" s="1049"/>
      <c r="C46" s="711" t="s">
        <v>102</v>
      </c>
      <c r="D46" s="1127"/>
      <c r="E46" s="712" t="s">
        <v>98</v>
      </c>
      <c r="F46" s="713">
        <v>16.98</v>
      </c>
      <c r="G46" s="351">
        <v>0.01</v>
      </c>
      <c r="H46" s="494">
        <v>0.02</v>
      </c>
      <c r="I46" s="494">
        <v>0.05</v>
      </c>
      <c r="J46" s="700">
        <v>1.96</v>
      </c>
      <c r="K46" s="503">
        <v>44671</v>
      </c>
      <c r="L46" s="1130"/>
      <c r="M46" s="703">
        <f>SLOPE(H44:H48,F44:F48)</f>
        <v>-2.4283654611540013E-3</v>
      </c>
      <c r="N46" s="361">
        <f>INTERCEPT(H44:H48,F44:F48)</f>
        <v>6.017099459840039E-2</v>
      </c>
      <c r="O46" s="351">
        <v>17</v>
      </c>
      <c r="P46" s="505">
        <f>F46</f>
        <v>16.98</v>
      </c>
      <c r="Q46" s="494">
        <v>16.97</v>
      </c>
      <c r="R46" s="497">
        <f>ABS(P46-Q46)</f>
        <v>1.0000000000001563E-2</v>
      </c>
      <c r="W46" s="15"/>
      <c r="AB46" s="613"/>
      <c r="AC46" s="613"/>
    </row>
    <row r="47" spans="1:29" ht="45" x14ac:dyDescent="0.2">
      <c r="A47" s="646"/>
      <c r="B47" s="1049"/>
      <c r="C47" s="711" t="s">
        <v>103</v>
      </c>
      <c r="D47" s="1127"/>
      <c r="E47" s="712" t="s">
        <v>98</v>
      </c>
      <c r="F47" s="713">
        <v>17.98</v>
      </c>
      <c r="G47" s="351">
        <v>0.01</v>
      </c>
      <c r="H47" s="494">
        <v>0.01</v>
      </c>
      <c r="I47" s="494">
        <v>0.05</v>
      </c>
      <c r="J47" s="700">
        <v>1.96</v>
      </c>
      <c r="K47" s="503">
        <v>44671</v>
      </c>
      <c r="L47" s="1130"/>
      <c r="M47" s="701">
        <f>SLOPE(H44:H48,F44:F48)</f>
        <v>-2.4283654611540013E-3</v>
      </c>
      <c r="N47" s="360">
        <f>INTERCEPT(H44:H48,F44:F48)</f>
        <v>6.017099459840039E-2</v>
      </c>
      <c r="O47" s="351">
        <v>18</v>
      </c>
      <c r="P47" s="505">
        <f>F47</f>
        <v>17.98</v>
      </c>
      <c r="Q47" s="494">
        <v>17.98</v>
      </c>
      <c r="R47" s="497">
        <f>ABS(P47-Q47)</f>
        <v>0</v>
      </c>
      <c r="W47" s="15"/>
      <c r="X47" s="14"/>
      <c r="AB47" s="613"/>
      <c r="AC47" s="613"/>
    </row>
    <row r="48" spans="1:29" ht="45.75" thickBot="1" x14ac:dyDescent="0.25">
      <c r="A48" s="646"/>
      <c r="B48" s="1050"/>
      <c r="C48" s="715" t="s">
        <v>104</v>
      </c>
      <c r="D48" s="1128"/>
      <c r="E48" s="716" t="s">
        <v>98</v>
      </c>
      <c r="F48" s="717">
        <v>21.99</v>
      </c>
      <c r="G48" s="353">
        <v>0.01</v>
      </c>
      <c r="H48" s="495">
        <v>0.01</v>
      </c>
      <c r="I48" s="495">
        <v>0.05</v>
      </c>
      <c r="J48" s="704">
        <v>1.96</v>
      </c>
      <c r="K48" s="504">
        <v>44671</v>
      </c>
      <c r="L48" s="1131"/>
      <c r="M48" s="705">
        <f>SLOPE(H44:H48,F44:F48)</f>
        <v>-2.4283654611540013E-3</v>
      </c>
      <c r="N48" s="365">
        <f>INTERCEPT(H44:H48,F44:F48)</f>
        <v>6.017099459840039E-2</v>
      </c>
      <c r="O48" s="353">
        <v>22</v>
      </c>
      <c r="P48" s="506">
        <f>F48</f>
        <v>21.99</v>
      </c>
      <c r="Q48" s="495">
        <v>21.98</v>
      </c>
      <c r="R48" s="498">
        <f>ABS(P48-Q48)</f>
        <v>9.9999999999980105E-3</v>
      </c>
      <c r="W48" s="613"/>
      <c r="X48" s="14"/>
      <c r="Y48" s="15"/>
      <c r="Z48" s="15"/>
      <c r="AB48" s="613"/>
      <c r="AC48" s="613"/>
    </row>
    <row r="49" spans="1:29" ht="41.25" customHeight="1" thickBot="1" x14ac:dyDescent="0.25">
      <c r="A49" s="646"/>
      <c r="B49" s="674"/>
      <c r="C49" s="426"/>
      <c r="E49" s="706"/>
      <c r="F49" s="104"/>
      <c r="G49" s="426"/>
      <c r="H49" s="426"/>
      <c r="I49" s="426"/>
      <c r="J49" s="426"/>
      <c r="K49" s="696"/>
      <c r="L49" s="426"/>
      <c r="M49" s="426"/>
      <c r="N49" s="426"/>
      <c r="R49" s="707"/>
      <c r="W49" s="613"/>
      <c r="X49" s="14"/>
      <c r="Y49" s="15"/>
      <c r="Z49" s="15"/>
      <c r="AB49" s="613"/>
      <c r="AC49" s="613"/>
    </row>
    <row r="50" spans="1:29" ht="45" x14ac:dyDescent="0.2">
      <c r="A50" s="646"/>
      <c r="B50" s="1048" t="s">
        <v>85</v>
      </c>
      <c r="C50" s="347" t="s">
        <v>105</v>
      </c>
      <c r="D50" s="1126" t="s">
        <v>97</v>
      </c>
      <c r="E50" s="507" t="s">
        <v>106</v>
      </c>
      <c r="F50" s="718">
        <v>13.92</v>
      </c>
      <c r="G50" s="348">
        <v>0.01</v>
      </c>
      <c r="H50" s="493">
        <v>0.04</v>
      </c>
      <c r="I50" s="493">
        <v>0.05</v>
      </c>
      <c r="J50" s="697">
        <v>1.96</v>
      </c>
      <c r="K50" s="502">
        <v>44671</v>
      </c>
      <c r="L50" s="1129" t="s">
        <v>107</v>
      </c>
      <c r="M50" s="698">
        <f>SLOPE(H50:H54,F50:F54)</f>
        <v>0</v>
      </c>
      <c r="N50" s="367">
        <f>INTERCEPT(H50:H54,F50:F54)</f>
        <v>0.04</v>
      </c>
      <c r="O50" s="347">
        <v>14</v>
      </c>
      <c r="P50" s="699">
        <f>F50</f>
        <v>13.92</v>
      </c>
      <c r="Q50" s="493">
        <v>13.94</v>
      </c>
      <c r="R50" s="496">
        <f>ABS(P50-Q50)</f>
        <v>1.9999999999999574E-2</v>
      </c>
      <c r="W50" s="613"/>
      <c r="X50" s="14"/>
      <c r="Y50" s="15"/>
      <c r="Z50" s="15"/>
      <c r="AB50" s="613"/>
      <c r="AC50" s="613"/>
    </row>
    <row r="51" spans="1:29" ht="45.75" thickBot="1" x14ac:dyDescent="0.25">
      <c r="A51" s="646"/>
      <c r="B51" s="1049"/>
      <c r="C51" s="350" t="s">
        <v>108</v>
      </c>
      <c r="D51" s="1127"/>
      <c r="E51" s="508" t="s">
        <v>106</v>
      </c>
      <c r="F51" s="719">
        <v>15.92</v>
      </c>
      <c r="G51" s="351">
        <v>0.01</v>
      </c>
      <c r="H51" s="494">
        <v>0.04</v>
      </c>
      <c r="I51" s="494">
        <v>0.05</v>
      </c>
      <c r="J51" s="700">
        <v>1.96</v>
      </c>
      <c r="K51" s="503">
        <v>44671</v>
      </c>
      <c r="L51" s="1130"/>
      <c r="M51" s="701">
        <f>SLOPE(H50:H54,F50:F54)</f>
        <v>0</v>
      </c>
      <c r="N51" s="360">
        <f>INTERCEPT(H50:H54,F50:F54)</f>
        <v>0.04</v>
      </c>
      <c r="O51" s="350">
        <v>16</v>
      </c>
      <c r="P51" s="505">
        <f>F51</f>
        <v>15.92</v>
      </c>
      <c r="Q51" s="494">
        <v>15.95</v>
      </c>
      <c r="R51" s="497">
        <f>ABS(P51-Q51)</f>
        <v>2.9999999999999361E-2</v>
      </c>
      <c r="W51" s="613"/>
      <c r="X51" s="14"/>
      <c r="Y51" s="15"/>
      <c r="Z51" s="15"/>
      <c r="AB51" s="613"/>
      <c r="AC51" s="613"/>
    </row>
    <row r="52" spans="1:29" ht="45.75" thickBot="1" x14ac:dyDescent="0.25">
      <c r="A52" s="702" t="s">
        <v>109</v>
      </c>
      <c r="B52" s="1049"/>
      <c r="C52" s="350" t="s">
        <v>110</v>
      </c>
      <c r="D52" s="1127"/>
      <c r="E52" s="508" t="s">
        <v>106</v>
      </c>
      <c r="F52" s="719">
        <v>16.96</v>
      </c>
      <c r="G52" s="351">
        <v>0.01</v>
      </c>
      <c r="H52" s="494">
        <v>0.04</v>
      </c>
      <c r="I52" s="494">
        <v>0.05</v>
      </c>
      <c r="J52" s="700">
        <v>1.96</v>
      </c>
      <c r="K52" s="503">
        <v>44671</v>
      </c>
      <c r="L52" s="1130"/>
      <c r="M52" s="703">
        <f>SLOPE(H50:H54,F50:F54)</f>
        <v>0</v>
      </c>
      <c r="N52" s="361">
        <f>INTERCEPT(H50:H54,F50:F54)</f>
        <v>0.04</v>
      </c>
      <c r="O52" s="351">
        <v>17</v>
      </c>
      <c r="P52" s="505">
        <f>F52</f>
        <v>16.96</v>
      </c>
      <c r="Q52" s="494">
        <v>16.95</v>
      </c>
      <c r="R52" s="497">
        <f>ABS(P52-Q52)</f>
        <v>1.0000000000001563E-2</v>
      </c>
      <c r="W52" s="613"/>
      <c r="X52" s="14"/>
      <c r="Y52" s="15"/>
      <c r="Z52" s="15"/>
      <c r="AB52" s="613"/>
      <c r="AC52" s="613"/>
    </row>
    <row r="53" spans="1:29" ht="45" x14ac:dyDescent="0.2">
      <c r="A53" s="646"/>
      <c r="B53" s="1049"/>
      <c r="C53" s="350" t="s">
        <v>111</v>
      </c>
      <c r="D53" s="1127"/>
      <c r="E53" s="508" t="s">
        <v>106</v>
      </c>
      <c r="F53" s="719">
        <v>17.96</v>
      </c>
      <c r="G53" s="351">
        <v>0.01</v>
      </c>
      <c r="H53" s="494">
        <v>0.04</v>
      </c>
      <c r="I53" s="494">
        <v>0.05</v>
      </c>
      <c r="J53" s="700">
        <v>1.96</v>
      </c>
      <c r="K53" s="503">
        <v>44671</v>
      </c>
      <c r="L53" s="1130"/>
      <c r="M53" s="701">
        <f>SLOPE(H50:H54,F50:F54)</f>
        <v>0</v>
      </c>
      <c r="N53" s="360">
        <f>INTERCEPT(H50:H54,F50:F54)</f>
        <v>0.04</v>
      </c>
      <c r="O53" s="351">
        <v>18</v>
      </c>
      <c r="P53" s="505">
        <f>F53</f>
        <v>17.96</v>
      </c>
      <c r="Q53" s="494">
        <v>17.96</v>
      </c>
      <c r="R53" s="497">
        <f>ABS(P53-Q53)</f>
        <v>0</v>
      </c>
      <c r="W53" s="613"/>
      <c r="X53" s="14"/>
      <c r="Y53" s="15"/>
      <c r="Z53" s="15"/>
      <c r="AB53" s="613"/>
      <c r="AC53" s="613"/>
    </row>
    <row r="54" spans="1:29" ht="45.75" thickBot="1" x14ac:dyDescent="0.25">
      <c r="A54" s="646"/>
      <c r="B54" s="1050"/>
      <c r="C54" s="352" t="s">
        <v>112</v>
      </c>
      <c r="D54" s="1128"/>
      <c r="E54" s="509" t="s">
        <v>106</v>
      </c>
      <c r="F54" s="720">
        <v>21.96</v>
      </c>
      <c r="G54" s="353">
        <v>0.01</v>
      </c>
      <c r="H54" s="495">
        <v>0.04</v>
      </c>
      <c r="I54" s="495">
        <v>0.05</v>
      </c>
      <c r="J54" s="704">
        <v>1.96</v>
      </c>
      <c r="K54" s="504">
        <v>44671</v>
      </c>
      <c r="L54" s="1131"/>
      <c r="M54" s="705">
        <f>SLOPE(H50:H54,F50:F54)</f>
        <v>0</v>
      </c>
      <c r="N54" s="365">
        <f>INTERCEPT(H50:H54,F50:F54)</f>
        <v>0.04</v>
      </c>
      <c r="O54" s="353">
        <v>22</v>
      </c>
      <c r="P54" s="506">
        <f>F54</f>
        <v>21.96</v>
      </c>
      <c r="Q54" s="495">
        <v>21.96</v>
      </c>
      <c r="R54" s="498">
        <f>ABS(P54-Q54)</f>
        <v>0</v>
      </c>
      <c r="W54" s="613"/>
      <c r="X54" s="14"/>
      <c r="Y54" s="15"/>
      <c r="Z54" s="15"/>
      <c r="AB54" s="613"/>
      <c r="AC54" s="613"/>
    </row>
    <row r="55" spans="1:29" ht="48" customHeight="1" thickBot="1" x14ac:dyDescent="0.25">
      <c r="A55" s="646"/>
      <c r="B55" s="674"/>
      <c r="C55" s="426"/>
      <c r="E55" s="706"/>
      <c r="F55" s="104"/>
      <c r="G55" s="426"/>
      <c r="H55" s="426"/>
      <c r="I55" s="426"/>
      <c r="J55" s="426"/>
      <c r="K55" s="696"/>
      <c r="L55" s="426"/>
      <c r="M55" s="426"/>
      <c r="N55" s="426"/>
      <c r="R55" s="707"/>
      <c r="W55" s="613"/>
      <c r="X55" s="14"/>
      <c r="Y55" s="15"/>
      <c r="Z55" s="15"/>
      <c r="AB55" s="613"/>
      <c r="AC55" s="613"/>
    </row>
    <row r="56" spans="1:29" ht="45" x14ac:dyDescent="0.2">
      <c r="A56" s="646"/>
      <c r="B56" s="1048" t="s">
        <v>85</v>
      </c>
      <c r="C56" s="347" t="s">
        <v>113</v>
      </c>
      <c r="D56" s="1126" t="s">
        <v>97</v>
      </c>
      <c r="E56" s="507" t="s">
        <v>114</v>
      </c>
      <c r="F56" s="718">
        <v>13.8</v>
      </c>
      <c r="G56" s="348">
        <v>0.01</v>
      </c>
      <c r="H56" s="493">
        <v>0.16</v>
      </c>
      <c r="I56" s="493">
        <v>0.05</v>
      </c>
      <c r="J56" s="697">
        <v>1.96</v>
      </c>
      <c r="K56" s="502">
        <v>44671</v>
      </c>
      <c r="L56" s="1129" t="s">
        <v>115</v>
      </c>
      <c r="M56" s="698">
        <f>SLOPE(H56:H60,F56:F60)</f>
        <v>-9.6257188437469919E-4</v>
      </c>
      <c r="N56" s="698">
        <f>INTERCEPT(H56:H60,F56:F60)</f>
        <v>0.16858703871154482</v>
      </c>
      <c r="O56" s="347">
        <v>14</v>
      </c>
      <c r="P56" s="699">
        <f>F56</f>
        <v>13.8</v>
      </c>
      <c r="Q56" s="699">
        <v>13.82</v>
      </c>
      <c r="R56" s="496">
        <f>ABS(P56-Q56)</f>
        <v>1.9999999999999574E-2</v>
      </c>
      <c r="W56" s="613"/>
      <c r="X56" s="14"/>
      <c r="Y56" s="15"/>
      <c r="Z56" s="15"/>
      <c r="AB56" s="613"/>
      <c r="AC56" s="613"/>
    </row>
    <row r="57" spans="1:29" ht="45.75" thickBot="1" x14ac:dyDescent="0.25">
      <c r="A57" s="646"/>
      <c r="B57" s="1049"/>
      <c r="C57" s="350" t="s">
        <v>116</v>
      </c>
      <c r="D57" s="1127"/>
      <c r="E57" s="508" t="s">
        <v>114</v>
      </c>
      <c r="F57" s="719">
        <v>15.81</v>
      </c>
      <c r="G57" s="351">
        <v>0.01</v>
      </c>
      <c r="H57" s="721">
        <v>0.15</v>
      </c>
      <c r="I57" s="494">
        <v>0.05</v>
      </c>
      <c r="J57" s="700">
        <v>1.96</v>
      </c>
      <c r="K57" s="503">
        <v>44671</v>
      </c>
      <c r="L57" s="1130"/>
      <c r="M57" s="701">
        <f>SLOPE(H56:H60,F56:F60)</f>
        <v>-9.6257188437469919E-4</v>
      </c>
      <c r="N57" s="701">
        <f>INTERCEPT(H56:H60,F56:F60)</f>
        <v>0.16858703871154482</v>
      </c>
      <c r="O57" s="350">
        <v>16</v>
      </c>
      <c r="P57" s="505">
        <f>F57</f>
        <v>15.81</v>
      </c>
      <c r="Q57" s="505">
        <v>15.82</v>
      </c>
      <c r="R57" s="497">
        <f>ABS(P57-Q57)</f>
        <v>9.9999999999997868E-3</v>
      </c>
      <c r="W57" s="613"/>
      <c r="X57" s="14"/>
      <c r="Y57" s="15"/>
      <c r="Z57" s="15"/>
      <c r="AB57" s="613"/>
      <c r="AC57" s="613"/>
    </row>
    <row r="58" spans="1:29" ht="45.75" thickBot="1" x14ac:dyDescent="0.25">
      <c r="A58" s="702" t="s">
        <v>117</v>
      </c>
      <c r="B58" s="1049"/>
      <c r="C58" s="350" t="s">
        <v>118</v>
      </c>
      <c r="D58" s="1127"/>
      <c r="E58" s="508" t="s">
        <v>114</v>
      </c>
      <c r="F58" s="719">
        <v>16.850000000000001</v>
      </c>
      <c r="G58" s="351">
        <v>0.01</v>
      </c>
      <c r="H58" s="721">
        <v>0.15</v>
      </c>
      <c r="I58" s="494">
        <v>0.05</v>
      </c>
      <c r="J58" s="700">
        <v>1.96</v>
      </c>
      <c r="K58" s="503">
        <v>44671</v>
      </c>
      <c r="L58" s="1130"/>
      <c r="M58" s="703">
        <f>SLOPE(H56:H60,F56:F60)</f>
        <v>-9.6257188437469919E-4</v>
      </c>
      <c r="N58" s="703">
        <f>INTERCEPT(H56:H60,F56:F60)</f>
        <v>0.16858703871154482</v>
      </c>
      <c r="O58" s="351">
        <v>17</v>
      </c>
      <c r="P58" s="505">
        <f>F58</f>
        <v>16.850000000000001</v>
      </c>
      <c r="Q58" s="505">
        <v>16.82</v>
      </c>
      <c r="R58" s="497">
        <f>ABS(P58-Q58)</f>
        <v>3.0000000000001137E-2</v>
      </c>
      <c r="W58" s="613"/>
      <c r="X58" s="14"/>
      <c r="Y58" s="15"/>
      <c r="Z58" s="15"/>
      <c r="AB58" s="613"/>
      <c r="AC58" s="613"/>
    </row>
    <row r="59" spans="1:29" ht="45" x14ac:dyDescent="0.2">
      <c r="A59" s="646"/>
      <c r="B59" s="1049"/>
      <c r="C59" s="350" t="s">
        <v>119</v>
      </c>
      <c r="D59" s="1127"/>
      <c r="E59" s="508" t="s">
        <v>114</v>
      </c>
      <c r="F59" s="719">
        <v>17.850000000000001</v>
      </c>
      <c r="G59" s="351">
        <v>0.01</v>
      </c>
      <c r="H59" s="494">
        <v>0.15</v>
      </c>
      <c r="I59" s="494">
        <v>0.05</v>
      </c>
      <c r="J59" s="700">
        <v>1.96</v>
      </c>
      <c r="K59" s="503">
        <v>44671</v>
      </c>
      <c r="L59" s="1130"/>
      <c r="M59" s="701">
        <f>SLOPE(H56:H60,F56:F60)</f>
        <v>-9.6257188437469919E-4</v>
      </c>
      <c r="N59" s="701">
        <f>INTERCEPT(H56:H60,F56:F60)</f>
        <v>0.16858703871154482</v>
      </c>
      <c r="O59" s="351">
        <v>18</v>
      </c>
      <c r="P59" s="505">
        <f>F59</f>
        <v>17.850000000000001</v>
      </c>
      <c r="Q59" s="494">
        <v>17.829999999999998</v>
      </c>
      <c r="R59" s="497">
        <f>ABS(P59-Q59)</f>
        <v>2.0000000000003126E-2</v>
      </c>
      <c r="W59" s="613"/>
      <c r="X59" s="14"/>
      <c r="Y59" s="15"/>
      <c r="Z59" s="15"/>
      <c r="AB59" s="613"/>
      <c r="AC59" s="613"/>
    </row>
    <row r="60" spans="1:29" ht="45.75" thickBot="1" x14ac:dyDescent="0.25">
      <c r="A60" s="646"/>
      <c r="B60" s="1050"/>
      <c r="C60" s="352" t="s">
        <v>120</v>
      </c>
      <c r="D60" s="1128"/>
      <c r="E60" s="509" t="s">
        <v>114</v>
      </c>
      <c r="F60" s="720">
        <v>21.85</v>
      </c>
      <c r="G60" s="353">
        <v>0.01</v>
      </c>
      <c r="H60" s="495">
        <v>0.15</v>
      </c>
      <c r="I60" s="495">
        <v>0.05</v>
      </c>
      <c r="J60" s="704">
        <v>1.96</v>
      </c>
      <c r="K60" s="504">
        <v>44671</v>
      </c>
      <c r="L60" s="1131"/>
      <c r="M60" s="705">
        <f>SLOPE(H56:H60,F56:F60)</f>
        <v>-9.6257188437469919E-4</v>
      </c>
      <c r="N60" s="705">
        <f>INTERCEPT(H56:H60,F56:F60)</f>
        <v>0.16858703871154482</v>
      </c>
      <c r="O60" s="353">
        <v>22</v>
      </c>
      <c r="P60" s="506">
        <f>F60</f>
        <v>21.85</v>
      </c>
      <c r="Q60" s="495">
        <v>21.83</v>
      </c>
      <c r="R60" s="498">
        <f>ABS(P60-Q60)</f>
        <v>2.0000000000003126E-2</v>
      </c>
      <c r="W60" s="613"/>
      <c r="X60" s="14"/>
      <c r="Y60" s="15"/>
      <c r="Z60" s="15"/>
      <c r="AB60" s="613"/>
      <c r="AC60" s="613"/>
    </row>
    <row r="61" spans="1:29" ht="28.5" customHeight="1" x14ac:dyDescent="0.2">
      <c r="A61" s="646"/>
      <c r="H61" s="722"/>
      <c r="Q61" s="613"/>
      <c r="R61" s="613"/>
      <c r="T61" s="17"/>
      <c r="W61" s="613"/>
      <c r="X61" s="14"/>
      <c r="Y61" s="15"/>
      <c r="Z61" s="15"/>
      <c r="AB61" s="613"/>
      <c r="AC61" s="613"/>
    </row>
    <row r="62" spans="1:29" ht="30" customHeight="1" thickBot="1" x14ac:dyDescent="0.25">
      <c r="A62" s="646"/>
      <c r="K62" s="588"/>
      <c r="Q62" s="613"/>
      <c r="R62" s="613"/>
      <c r="T62" s="15"/>
      <c r="U62" s="15"/>
      <c r="V62" s="15"/>
      <c r="W62" s="613"/>
      <c r="X62" s="14"/>
      <c r="Y62" s="15"/>
      <c r="Z62" s="15"/>
      <c r="AA62" s="613"/>
      <c r="AB62" s="613"/>
      <c r="AC62" s="613"/>
    </row>
    <row r="63" spans="1:29" ht="30" customHeight="1" x14ac:dyDescent="0.2">
      <c r="A63" s="646"/>
      <c r="C63" s="1132" t="s">
        <v>121</v>
      </c>
      <c r="D63" s="1133"/>
      <c r="E63" s="1133"/>
      <c r="F63" s="1133"/>
      <c r="G63" s="1133"/>
      <c r="H63" s="1133"/>
      <c r="I63" s="1133"/>
      <c r="J63" s="1133"/>
      <c r="K63" s="1133"/>
      <c r="L63" s="1133"/>
      <c r="M63" s="1133"/>
      <c r="N63" s="1133"/>
      <c r="O63" s="1133"/>
      <c r="P63" s="1133"/>
      <c r="Q63" s="1133"/>
      <c r="R63" s="1134"/>
      <c r="S63" s="613"/>
      <c r="T63" s="613"/>
      <c r="U63" s="613"/>
      <c r="V63" s="613"/>
      <c r="W63" s="613"/>
      <c r="X63" s="14"/>
      <c r="Y63" s="613"/>
      <c r="Z63" s="613"/>
      <c r="AA63" s="613"/>
      <c r="AB63" s="613"/>
      <c r="AC63" s="613"/>
    </row>
    <row r="64" spans="1:29" ht="30" customHeight="1" thickBot="1" x14ac:dyDescent="0.25">
      <c r="A64" s="646"/>
      <c r="C64" s="1135"/>
      <c r="D64" s="1136"/>
      <c r="E64" s="1136"/>
      <c r="F64" s="1136"/>
      <c r="G64" s="1136"/>
      <c r="H64" s="1136"/>
      <c r="I64" s="1136"/>
      <c r="J64" s="1136"/>
      <c r="K64" s="1136"/>
      <c r="L64" s="1136"/>
      <c r="M64" s="1136"/>
      <c r="N64" s="1136"/>
      <c r="O64" s="1136"/>
      <c r="P64" s="1136"/>
      <c r="Q64" s="1136"/>
      <c r="R64" s="1137"/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3"/>
    </row>
    <row r="65" spans="1:29" ht="30" customHeight="1" thickBot="1" x14ac:dyDescent="0.25">
      <c r="A65" s="646"/>
      <c r="C65" s="1114" t="s">
        <v>122</v>
      </c>
      <c r="D65" s="1115"/>
      <c r="E65" s="1115"/>
      <c r="F65" s="1115"/>
      <c r="G65" s="1115"/>
      <c r="H65" s="1115"/>
      <c r="I65" s="1115"/>
      <c r="J65" s="1115"/>
      <c r="K65" s="1115"/>
      <c r="L65" s="1115"/>
      <c r="M65" s="1115"/>
      <c r="N65" s="1115"/>
      <c r="O65" s="1115"/>
      <c r="P65" s="1115"/>
      <c r="Q65" s="1115"/>
      <c r="R65" s="1116"/>
      <c r="S65" s="613"/>
      <c r="T65" s="613"/>
      <c r="U65" s="613"/>
      <c r="V65" s="613"/>
      <c r="W65" s="613"/>
      <c r="X65" s="14"/>
      <c r="Y65" s="613"/>
      <c r="Z65" s="613"/>
      <c r="AA65" s="613"/>
      <c r="AB65" s="613"/>
      <c r="AC65" s="613"/>
    </row>
    <row r="66" spans="1:29" ht="54" customHeight="1" thickBot="1" x14ac:dyDescent="0.25">
      <c r="A66" s="646"/>
      <c r="C66" s="426"/>
      <c r="D66" s="723" t="s">
        <v>24</v>
      </c>
      <c r="E66" s="724" t="s">
        <v>65</v>
      </c>
      <c r="F66" s="723" t="s">
        <v>78</v>
      </c>
      <c r="G66" s="723" t="s">
        <v>67</v>
      </c>
      <c r="H66" s="723" t="s">
        <v>68</v>
      </c>
      <c r="I66" s="723" t="s">
        <v>69</v>
      </c>
      <c r="J66" s="723" t="s">
        <v>70</v>
      </c>
      <c r="K66" s="725" t="s">
        <v>5</v>
      </c>
      <c r="L66" s="726" t="s">
        <v>71</v>
      </c>
      <c r="O66" s="1118" t="s">
        <v>123</v>
      </c>
      <c r="P66" s="1120" t="s">
        <v>69</v>
      </c>
      <c r="Q66" s="1121"/>
      <c r="R66" s="1122"/>
      <c r="S66" s="613"/>
      <c r="T66" s="613"/>
      <c r="U66" s="613"/>
      <c r="V66" s="613"/>
      <c r="W66" s="613"/>
      <c r="X66" s="14"/>
      <c r="Y66" s="613"/>
      <c r="Z66" s="613"/>
      <c r="AA66" s="613"/>
      <c r="AB66" s="613"/>
      <c r="AC66" s="613"/>
    </row>
    <row r="67" spans="1:29" ht="30" customHeight="1" thickBot="1" x14ac:dyDescent="0.25">
      <c r="A67" s="727"/>
      <c r="B67" s="728"/>
      <c r="C67" s="729"/>
      <c r="D67" s="728"/>
      <c r="E67" s="730"/>
      <c r="F67" s="731"/>
      <c r="G67" s="731"/>
      <c r="H67" s="731"/>
      <c r="I67" s="731"/>
      <c r="J67" s="731"/>
      <c r="K67" s="732"/>
      <c r="L67" s="733"/>
      <c r="O67" s="1119"/>
      <c r="P67" s="1123"/>
      <c r="Q67" s="1124"/>
      <c r="R67" s="1125"/>
      <c r="S67" s="613"/>
      <c r="T67" s="613"/>
      <c r="U67" s="613"/>
      <c r="V67" s="613"/>
      <c r="W67" s="613"/>
      <c r="X67" s="14"/>
      <c r="Y67" s="613"/>
      <c r="Z67" s="613"/>
      <c r="AA67" s="613"/>
      <c r="AB67" s="613"/>
      <c r="AC67" s="613"/>
    </row>
    <row r="68" spans="1:29" ht="30" customHeight="1" thickBot="1" x14ac:dyDescent="0.25">
      <c r="A68" s="734" t="s">
        <v>124</v>
      </c>
      <c r="B68" s="735"/>
      <c r="C68" s="916" t="s">
        <v>125</v>
      </c>
      <c r="D68" s="1185" t="s">
        <v>126</v>
      </c>
      <c r="E68" s="1188" t="s">
        <v>127</v>
      </c>
      <c r="F68" s="949">
        <v>17.100000000000001</v>
      </c>
      <c r="G68" s="938">
        <v>0.1</v>
      </c>
      <c r="H68" s="950">
        <v>-0.2</v>
      </c>
      <c r="I68" s="1012">
        <v>0.2</v>
      </c>
      <c r="J68" s="949">
        <v>1.96</v>
      </c>
      <c r="K68" s="952" t="s">
        <v>128</v>
      </c>
      <c r="L68" s="1066" t="s">
        <v>129</v>
      </c>
      <c r="M68" s="15" t="str">
        <f>F124</f>
        <v>INM 6638 INM 6667 INM 6588</v>
      </c>
      <c r="O68" s="652"/>
      <c r="P68" s="653"/>
      <c r="Q68" s="653"/>
      <c r="R68" s="653"/>
      <c r="S68" s="613"/>
      <c r="T68" s="613"/>
      <c r="U68" s="613"/>
      <c r="V68" s="613"/>
      <c r="W68" s="613"/>
      <c r="X68" s="14"/>
      <c r="Y68" s="613"/>
      <c r="Z68" s="613"/>
      <c r="AA68" s="613"/>
      <c r="AB68" s="613"/>
      <c r="AC68" s="613"/>
    </row>
    <row r="69" spans="1:29" ht="30" customHeight="1" x14ac:dyDescent="0.2">
      <c r="A69" s="736"/>
      <c r="B69" s="735"/>
      <c r="C69" s="917" t="s">
        <v>130</v>
      </c>
      <c r="D69" s="1186"/>
      <c r="E69" s="1189"/>
      <c r="F69" s="922">
        <v>20.100000000000001</v>
      </c>
      <c r="G69" s="1013">
        <v>0.1</v>
      </c>
      <c r="H69" s="1014">
        <v>-0.1</v>
      </c>
      <c r="I69" s="973">
        <v>0.2</v>
      </c>
      <c r="J69" s="922">
        <v>1.96</v>
      </c>
      <c r="K69" s="929" t="s">
        <v>128</v>
      </c>
      <c r="L69" s="1067"/>
      <c r="O69" s="1039" t="s">
        <v>131</v>
      </c>
      <c r="P69" s="510" t="s">
        <v>36</v>
      </c>
      <c r="Q69" s="511" t="s">
        <v>132</v>
      </c>
      <c r="R69" s="512" t="s">
        <v>133</v>
      </c>
      <c r="S69" s="613"/>
      <c r="T69" s="613"/>
      <c r="U69" s="613"/>
      <c r="V69" s="613"/>
      <c r="W69" s="613"/>
      <c r="X69" s="14"/>
      <c r="Y69" s="613"/>
      <c r="Z69" s="613"/>
      <c r="AA69" s="613"/>
      <c r="AB69" s="613"/>
      <c r="AC69" s="613"/>
    </row>
    <row r="70" spans="1:29" ht="30" customHeight="1" thickBot="1" x14ac:dyDescent="0.25">
      <c r="A70" s="737"/>
      <c r="B70" s="738"/>
      <c r="C70" s="917" t="s">
        <v>134</v>
      </c>
      <c r="D70" s="1186"/>
      <c r="E70" s="1189"/>
      <c r="F70" s="926">
        <v>23.1</v>
      </c>
      <c r="G70" s="1015">
        <v>0.1</v>
      </c>
      <c r="H70" s="1016">
        <v>-0.1</v>
      </c>
      <c r="I70" s="975">
        <v>0.2</v>
      </c>
      <c r="J70" s="1017">
        <v>1.96</v>
      </c>
      <c r="K70" s="1018" t="s">
        <v>128</v>
      </c>
      <c r="L70" s="1117"/>
      <c r="O70" s="1040"/>
      <c r="P70" s="513">
        <f>MAX(I68:I70)</f>
        <v>0.2</v>
      </c>
      <c r="Q70" s="513">
        <f>MAX(I71:I73)</f>
        <v>1.7</v>
      </c>
      <c r="R70" s="514">
        <f>MAX(I74:I76)</f>
        <v>7.0999999999999994E-2</v>
      </c>
      <c r="S70" s="613"/>
      <c r="T70" s="613"/>
      <c r="U70" s="613"/>
      <c r="V70" s="613"/>
      <c r="W70" s="613"/>
      <c r="X70" s="613"/>
      <c r="Y70" s="613"/>
      <c r="Z70" s="613"/>
      <c r="AA70" s="613"/>
      <c r="AB70" s="613"/>
      <c r="AC70" s="613"/>
    </row>
    <row r="71" spans="1:29" ht="30" customHeight="1" thickBot="1" x14ac:dyDescent="0.25">
      <c r="A71" s="1175" t="s">
        <v>135</v>
      </c>
      <c r="B71" s="1176"/>
      <c r="C71" s="917" t="s">
        <v>136</v>
      </c>
      <c r="D71" s="1186"/>
      <c r="E71" s="1189"/>
      <c r="F71" s="949">
        <v>33.299999999999997</v>
      </c>
      <c r="G71" s="938">
        <v>0.1</v>
      </c>
      <c r="H71" s="938">
        <v>-3.3</v>
      </c>
      <c r="I71" s="1027">
        <v>1.7</v>
      </c>
      <c r="J71" s="949">
        <v>1.96</v>
      </c>
      <c r="K71" s="1004" t="s">
        <v>137</v>
      </c>
      <c r="L71" s="1066" t="s">
        <v>138</v>
      </c>
      <c r="O71" s="1041"/>
      <c r="P71" s="515"/>
      <c r="Q71" s="516"/>
      <c r="R71" s="517"/>
      <c r="S71" s="613"/>
      <c r="T71" s="613"/>
      <c r="U71" s="613"/>
      <c r="V71" s="613"/>
      <c r="W71" s="613"/>
      <c r="X71" s="613"/>
      <c r="Y71" s="613"/>
      <c r="Z71" s="613"/>
      <c r="AA71" s="613"/>
      <c r="AB71" s="613"/>
      <c r="AC71" s="613"/>
    </row>
    <row r="72" spans="1:29" ht="30" customHeight="1" x14ac:dyDescent="0.2">
      <c r="A72" s="1051"/>
      <c r="B72" s="1052"/>
      <c r="C72" s="917" t="s">
        <v>139</v>
      </c>
      <c r="D72" s="1186"/>
      <c r="E72" s="1189"/>
      <c r="F72" s="1009">
        <v>55.6</v>
      </c>
      <c r="G72" s="1013">
        <v>0.1</v>
      </c>
      <c r="H72" s="953">
        <v>-0.6</v>
      </c>
      <c r="I72" s="973">
        <v>1.7</v>
      </c>
      <c r="J72" s="922">
        <v>1.96</v>
      </c>
      <c r="K72" s="1005" t="s">
        <v>137</v>
      </c>
      <c r="L72" s="1067"/>
      <c r="O72" s="739"/>
      <c r="Q72" s="613"/>
      <c r="R72" s="613"/>
      <c r="S72" s="613"/>
      <c r="T72" s="613"/>
      <c r="U72" s="613"/>
      <c r="V72" s="613"/>
      <c r="W72" s="613"/>
      <c r="X72" s="613"/>
      <c r="Y72" s="613"/>
      <c r="Z72" s="613"/>
      <c r="AA72" s="613"/>
      <c r="AB72" s="613"/>
      <c r="AC72" s="613"/>
    </row>
    <row r="73" spans="1:29" ht="30" customHeight="1" thickBot="1" x14ac:dyDescent="0.25">
      <c r="A73" s="1177"/>
      <c r="B73" s="1178"/>
      <c r="C73" s="917" t="s">
        <v>140</v>
      </c>
      <c r="D73" s="1186"/>
      <c r="E73" s="1189"/>
      <c r="F73" s="926">
        <v>78.8</v>
      </c>
      <c r="G73" s="1015">
        <v>0.1</v>
      </c>
      <c r="H73" s="955">
        <v>2.1</v>
      </c>
      <c r="I73" s="975">
        <v>1.7</v>
      </c>
      <c r="J73" s="930">
        <v>1.96</v>
      </c>
      <c r="K73" s="1007" t="s">
        <v>137</v>
      </c>
      <c r="L73" s="1068"/>
      <c r="O73" s="739"/>
      <c r="Q73" s="613"/>
      <c r="R73" s="613"/>
      <c r="S73" s="613"/>
      <c r="T73" s="613"/>
      <c r="U73" s="613"/>
      <c r="V73" s="613"/>
      <c r="W73" s="613"/>
      <c r="X73" s="613"/>
      <c r="Y73" s="613"/>
      <c r="Z73" s="613"/>
      <c r="AA73" s="613"/>
      <c r="AB73" s="613"/>
      <c r="AC73" s="613"/>
    </row>
    <row r="74" spans="1:29" ht="30" customHeight="1" x14ac:dyDescent="0.2">
      <c r="A74" s="1051" t="s">
        <v>141</v>
      </c>
      <c r="B74" s="1052"/>
      <c r="C74" s="917" t="s">
        <v>651</v>
      </c>
      <c r="D74" s="1186"/>
      <c r="E74" s="1189"/>
      <c r="F74" s="970">
        <v>499.78800000000001</v>
      </c>
      <c r="G74" s="938">
        <v>0.1</v>
      </c>
      <c r="H74" s="942">
        <v>1.6559999999999999</v>
      </c>
      <c r="I74" s="971">
        <v>6.6000000000000003E-2</v>
      </c>
      <c r="J74" s="949">
        <v>2.04</v>
      </c>
      <c r="K74" s="952" t="s">
        <v>142</v>
      </c>
      <c r="L74" s="1063" t="s">
        <v>143</v>
      </c>
      <c r="O74" s="739"/>
      <c r="Q74" s="613"/>
      <c r="R74" s="613"/>
      <c r="S74" s="613"/>
      <c r="T74" s="613"/>
      <c r="U74" s="613"/>
      <c r="V74" s="613"/>
      <c r="W74" s="613"/>
      <c r="X74" s="613"/>
      <c r="Y74" s="613"/>
      <c r="Z74" s="613"/>
      <c r="AA74" s="613"/>
      <c r="AB74" s="613"/>
      <c r="AC74" s="613"/>
    </row>
    <row r="75" spans="1:29" ht="30" customHeight="1" x14ac:dyDescent="0.2">
      <c r="A75" s="1051"/>
      <c r="B75" s="1052"/>
      <c r="C75" s="917" t="s">
        <v>652</v>
      </c>
      <c r="D75" s="1186"/>
      <c r="E75" s="1189"/>
      <c r="F75" s="972">
        <v>752.28800000000001</v>
      </c>
      <c r="G75" s="923">
        <v>0.1</v>
      </c>
      <c r="H75" s="924">
        <v>1.0900000000000001</v>
      </c>
      <c r="I75" s="973">
        <v>6.8000000000000005E-2</v>
      </c>
      <c r="J75" s="922">
        <v>2.04</v>
      </c>
      <c r="K75" s="929" t="s">
        <v>142</v>
      </c>
      <c r="L75" s="1064"/>
      <c r="O75" s="739"/>
      <c r="Q75" s="613"/>
      <c r="R75" s="613"/>
      <c r="S75" s="613"/>
      <c r="T75" s="613"/>
      <c r="U75" s="613"/>
      <c r="V75" s="613"/>
      <c r="W75" s="613"/>
      <c r="X75" s="613"/>
      <c r="Y75" s="613"/>
      <c r="Z75" s="613"/>
      <c r="AA75" s="613"/>
      <c r="AB75" s="613"/>
      <c r="AC75" s="613"/>
    </row>
    <row r="76" spans="1:29" ht="30" customHeight="1" thickBot="1" x14ac:dyDescent="0.25">
      <c r="A76" s="1051"/>
      <c r="B76" s="1052"/>
      <c r="C76" s="918" t="s">
        <v>653</v>
      </c>
      <c r="D76" s="1187"/>
      <c r="E76" s="1190"/>
      <c r="F76" s="935">
        <v>899.58299999999997</v>
      </c>
      <c r="G76" s="927">
        <v>0.1</v>
      </c>
      <c r="H76" s="974">
        <v>0.85599999999999998</v>
      </c>
      <c r="I76" s="975">
        <v>7.0999999999999994E-2</v>
      </c>
      <c r="J76" s="930">
        <v>2.04</v>
      </c>
      <c r="K76" s="931" t="s">
        <v>142</v>
      </c>
      <c r="L76" s="1065"/>
      <c r="O76" s="739"/>
      <c r="Q76" s="613"/>
      <c r="R76" s="613"/>
      <c r="S76" s="613"/>
      <c r="T76" s="613"/>
      <c r="U76" s="613"/>
      <c r="V76" s="613"/>
      <c r="W76" s="613"/>
      <c r="X76" s="613"/>
      <c r="Y76" s="613"/>
      <c r="Z76" s="613"/>
      <c r="AA76" s="613"/>
      <c r="AB76" s="613"/>
      <c r="AC76" s="613"/>
    </row>
    <row r="77" spans="1:29" ht="30" customHeight="1" x14ac:dyDescent="0.2">
      <c r="A77" s="674"/>
      <c r="B77" s="740"/>
      <c r="C77" s="741"/>
      <c r="D77" s="729"/>
      <c r="E77" s="742"/>
      <c r="F77" s="426"/>
      <c r="G77" s="426"/>
      <c r="H77" s="426"/>
      <c r="I77" s="426"/>
      <c r="J77" s="426"/>
      <c r="K77" s="696"/>
      <c r="L77" s="707"/>
      <c r="O77" s="739"/>
      <c r="Q77" s="613"/>
      <c r="R77" s="613"/>
      <c r="S77" s="613"/>
      <c r="T77" s="613"/>
      <c r="U77" s="613"/>
      <c r="V77" s="613"/>
      <c r="W77" s="613"/>
      <c r="X77" s="613"/>
      <c r="Y77" s="613"/>
      <c r="Z77" s="613"/>
      <c r="AA77" s="613"/>
      <c r="AB77" s="613"/>
      <c r="AC77" s="613"/>
    </row>
    <row r="78" spans="1:29" ht="30" customHeight="1" thickBot="1" x14ac:dyDescent="0.25">
      <c r="A78" s="743"/>
      <c r="B78" s="744"/>
      <c r="C78" s="741"/>
      <c r="D78" s="745"/>
      <c r="E78" s="746"/>
      <c r="F78" s="426"/>
      <c r="G78" s="426"/>
      <c r="H78" s="426"/>
      <c r="I78" s="426"/>
      <c r="J78" s="426"/>
      <c r="K78" s="696"/>
      <c r="L78" s="707"/>
      <c r="O78" s="739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</row>
    <row r="79" spans="1:29" ht="30" customHeight="1" x14ac:dyDescent="0.2">
      <c r="A79" s="1075" t="s">
        <v>124</v>
      </c>
      <c r="B79" s="1076"/>
      <c r="C79" s="916" t="s">
        <v>144</v>
      </c>
      <c r="D79" s="1138" t="s">
        <v>126</v>
      </c>
      <c r="E79" s="1179" t="s">
        <v>145</v>
      </c>
      <c r="F79" s="949">
        <v>18</v>
      </c>
      <c r="G79" s="938">
        <v>0.1</v>
      </c>
      <c r="H79" s="950">
        <v>0</v>
      </c>
      <c r="I79" s="951">
        <v>0.2</v>
      </c>
      <c r="J79" s="949">
        <v>1.96</v>
      </c>
      <c r="K79" s="952" t="s">
        <v>146</v>
      </c>
      <c r="L79" s="1071" t="s">
        <v>147</v>
      </c>
      <c r="M79" s="15" t="str">
        <f>F125</f>
        <v>INM 6603 INM 6596 INM 6591</v>
      </c>
      <c r="O79" s="1039" t="s">
        <v>148</v>
      </c>
      <c r="P79" s="510" t="s">
        <v>36</v>
      </c>
      <c r="Q79" s="511" t="s">
        <v>132</v>
      </c>
      <c r="R79" s="512" t="s">
        <v>133</v>
      </c>
      <c r="S79" s="613"/>
      <c r="T79" s="613"/>
      <c r="U79" s="613"/>
      <c r="V79" s="613"/>
      <c r="W79" s="613"/>
      <c r="X79" s="613"/>
      <c r="Y79" s="613"/>
      <c r="Z79" s="613"/>
      <c r="AA79" s="613"/>
      <c r="AB79" s="613"/>
      <c r="AC79" s="613"/>
    </row>
    <row r="80" spans="1:29" ht="30" customHeight="1" x14ac:dyDescent="0.2">
      <c r="A80" s="1077"/>
      <c r="B80" s="1078"/>
      <c r="C80" s="917" t="s">
        <v>149</v>
      </c>
      <c r="D80" s="1139"/>
      <c r="E80" s="1180"/>
      <c r="F80" s="922">
        <v>21.1</v>
      </c>
      <c r="G80" s="923">
        <v>0.1</v>
      </c>
      <c r="H80" s="953">
        <v>-0.1</v>
      </c>
      <c r="I80" s="954">
        <v>0.2</v>
      </c>
      <c r="J80" s="922">
        <v>1.96</v>
      </c>
      <c r="K80" s="929" t="s">
        <v>146</v>
      </c>
      <c r="L80" s="1037"/>
      <c r="O80" s="1040"/>
      <c r="P80" s="327">
        <f>MAX(I79:I81)</f>
        <v>0.2</v>
      </c>
      <c r="Q80" s="747">
        <f>MAX(I82:I84)</f>
        <v>1.7</v>
      </c>
      <c r="R80" s="748">
        <f>MAX(I85:I87)</f>
        <v>7.1999999999999995E-2</v>
      </c>
      <c r="S80" s="613"/>
      <c r="T80" s="613"/>
      <c r="U80" s="613"/>
      <c r="V80" s="613"/>
      <c r="W80" s="613"/>
      <c r="X80" s="613"/>
      <c r="Y80" s="613"/>
      <c r="Z80" s="613"/>
      <c r="AA80" s="613"/>
      <c r="AB80" s="613"/>
      <c r="AC80" s="613"/>
    </row>
    <row r="81" spans="1:29" ht="30" customHeight="1" thickBot="1" x14ac:dyDescent="0.25">
      <c r="A81" s="1077"/>
      <c r="B81" s="1078"/>
      <c r="C81" s="917" t="s">
        <v>150</v>
      </c>
      <c r="D81" s="1139"/>
      <c r="E81" s="1180"/>
      <c r="F81" s="926">
        <v>24</v>
      </c>
      <c r="G81" s="927">
        <v>0.1</v>
      </c>
      <c r="H81" s="955">
        <v>0</v>
      </c>
      <c r="I81" s="956">
        <v>0.2</v>
      </c>
      <c r="J81" s="930">
        <v>1.96</v>
      </c>
      <c r="K81" s="931" t="s">
        <v>146</v>
      </c>
      <c r="L81" s="1038"/>
      <c r="O81" s="1040"/>
      <c r="P81" s="749"/>
      <c r="Q81" s="750"/>
      <c r="R81" s="751"/>
      <c r="S81" s="613"/>
      <c r="T81" s="613"/>
      <c r="U81" s="613"/>
      <c r="V81" s="613"/>
      <c r="W81" s="613"/>
      <c r="X81" s="613"/>
      <c r="Y81" s="613"/>
      <c r="Z81" s="613"/>
      <c r="AA81" s="613"/>
      <c r="AB81" s="613"/>
      <c r="AC81" s="613"/>
    </row>
    <row r="82" spans="1:29" ht="30" customHeight="1" thickBot="1" x14ac:dyDescent="0.25">
      <c r="A82" s="1069" t="s">
        <v>135</v>
      </c>
      <c r="B82" s="1070"/>
      <c r="C82" s="917" t="s">
        <v>151</v>
      </c>
      <c r="D82" s="1139"/>
      <c r="E82" s="1180"/>
      <c r="F82" s="949">
        <v>33.6</v>
      </c>
      <c r="G82" s="938">
        <v>0.1</v>
      </c>
      <c r="H82" s="938">
        <v>-3.6</v>
      </c>
      <c r="I82" s="957">
        <v>1.7</v>
      </c>
      <c r="J82" s="949">
        <v>1.96</v>
      </c>
      <c r="K82" s="958" t="s">
        <v>152</v>
      </c>
      <c r="L82" s="1071" t="s">
        <v>153</v>
      </c>
      <c r="O82" s="752"/>
      <c r="P82" s="753"/>
      <c r="Q82" s="753"/>
      <c r="R82" s="754"/>
      <c r="S82" s="613"/>
      <c r="T82" s="613"/>
      <c r="U82" s="613"/>
      <c r="V82" s="613"/>
      <c r="W82" s="613"/>
      <c r="X82" s="613"/>
      <c r="Y82" s="613"/>
      <c r="Z82" s="613"/>
      <c r="AA82" s="613"/>
      <c r="AB82" s="613"/>
      <c r="AC82" s="613"/>
    </row>
    <row r="83" spans="1:29" ht="30" customHeight="1" x14ac:dyDescent="0.2">
      <c r="A83" s="1069"/>
      <c r="B83" s="1070"/>
      <c r="C83" s="917" t="s">
        <v>154</v>
      </c>
      <c r="D83" s="1139"/>
      <c r="E83" s="1180"/>
      <c r="F83" s="922">
        <v>55.8</v>
      </c>
      <c r="G83" s="923">
        <v>0.1</v>
      </c>
      <c r="H83" s="923">
        <v>-0.8</v>
      </c>
      <c r="I83" s="934">
        <v>1.7</v>
      </c>
      <c r="J83" s="922">
        <v>1.96</v>
      </c>
      <c r="K83" s="933" t="s">
        <v>152</v>
      </c>
      <c r="L83" s="1037"/>
      <c r="O83" s="739"/>
      <c r="Q83" s="613"/>
      <c r="R83" s="613"/>
      <c r="S83" s="613"/>
      <c r="T83" s="613"/>
      <c r="U83" s="613"/>
      <c r="V83" s="613"/>
      <c r="W83" s="613"/>
      <c r="X83" s="613"/>
      <c r="Y83" s="613"/>
      <c r="Z83" s="613"/>
      <c r="AA83" s="613"/>
      <c r="AB83" s="613"/>
      <c r="AC83" s="613"/>
    </row>
    <row r="84" spans="1:29" ht="30" customHeight="1" thickBot="1" x14ac:dyDescent="0.25">
      <c r="A84" s="1069"/>
      <c r="B84" s="1070"/>
      <c r="C84" s="917" t="s">
        <v>155</v>
      </c>
      <c r="D84" s="1139"/>
      <c r="E84" s="1180"/>
      <c r="F84" s="930">
        <v>78.400000000000006</v>
      </c>
      <c r="G84" s="927">
        <v>0.1</v>
      </c>
      <c r="H84" s="927">
        <v>2.5</v>
      </c>
      <c r="I84" s="936">
        <v>1.7</v>
      </c>
      <c r="J84" s="930">
        <v>1.96</v>
      </c>
      <c r="K84" s="937" t="s">
        <v>152</v>
      </c>
      <c r="L84" s="1038"/>
      <c r="O84" s="739"/>
      <c r="Q84" s="613"/>
      <c r="R84" s="613"/>
      <c r="S84" s="613"/>
      <c r="T84" s="613"/>
      <c r="U84" s="613"/>
      <c r="V84" s="613"/>
      <c r="W84" s="613"/>
      <c r="X84" s="613"/>
      <c r="Y84" s="613"/>
      <c r="Z84" s="613"/>
      <c r="AA84" s="613"/>
      <c r="AB84" s="613"/>
      <c r="AC84" s="613"/>
    </row>
    <row r="85" spans="1:29" ht="30" customHeight="1" x14ac:dyDescent="0.2">
      <c r="A85" s="1069" t="s">
        <v>141</v>
      </c>
      <c r="B85" s="1070"/>
      <c r="C85" s="917" t="s">
        <v>654</v>
      </c>
      <c r="D85" s="1139"/>
      <c r="E85" s="1180"/>
      <c r="F85" s="949">
        <v>499.79599999999999</v>
      </c>
      <c r="G85" s="938">
        <v>0.1</v>
      </c>
      <c r="H85" s="938">
        <v>1.548</v>
      </c>
      <c r="I85" s="957">
        <v>6.6000000000000003E-2</v>
      </c>
      <c r="J85" s="949">
        <v>2.04</v>
      </c>
      <c r="K85" s="958" t="s">
        <v>142</v>
      </c>
      <c r="L85" s="1059" t="s">
        <v>156</v>
      </c>
      <c r="O85" s="739"/>
      <c r="Q85" s="613"/>
      <c r="R85" s="613"/>
      <c r="S85" s="613"/>
      <c r="T85" s="613"/>
      <c r="U85" s="613"/>
      <c r="V85" s="613"/>
      <c r="W85" s="613"/>
      <c r="X85" s="613"/>
      <c r="Y85" s="613"/>
      <c r="Z85" s="613"/>
      <c r="AA85" s="613"/>
      <c r="AB85" s="613"/>
      <c r="AC85" s="613"/>
    </row>
    <row r="86" spans="1:29" ht="30" customHeight="1" x14ac:dyDescent="0.2">
      <c r="A86" s="1069"/>
      <c r="B86" s="1070"/>
      <c r="C86" s="917" t="s">
        <v>655</v>
      </c>
      <c r="D86" s="1139"/>
      <c r="E86" s="1180"/>
      <c r="F86" s="932">
        <v>752.29499999999996</v>
      </c>
      <c r="G86" s="923">
        <v>0.1</v>
      </c>
      <c r="H86" s="976">
        <v>1.0489999999999999</v>
      </c>
      <c r="I86" s="934">
        <v>6.8000000000000005E-2</v>
      </c>
      <c r="J86" s="922">
        <v>2.04</v>
      </c>
      <c r="K86" s="933" t="s">
        <v>142</v>
      </c>
      <c r="L86" s="1037" t="s">
        <v>157</v>
      </c>
      <c r="O86" s="739"/>
      <c r="Q86" s="613"/>
      <c r="R86" s="613"/>
      <c r="S86" s="613"/>
      <c r="T86" s="613"/>
      <c r="U86" s="613"/>
      <c r="V86" s="613"/>
      <c r="W86" s="613"/>
      <c r="X86" s="613"/>
      <c r="Y86" s="613"/>
      <c r="Z86" s="613"/>
      <c r="AA86" s="613"/>
      <c r="AB86" s="613"/>
      <c r="AC86" s="613"/>
    </row>
    <row r="87" spans="1:29" ht="30" customHeight="1" thickBot="1" x14ac:dyDescent="0.25">
      <c r="A87" s="1072"/>
      <c r="B87" s="1073"/>
      <c r="C87" s="918" t="s">
        <v>656</v>
      </c>
      <c r="D87" s="1140"/>
      <c r="E87" s="1181"/>
      <c r="F87" s="935">
        <v>949.69299999999998</v>
      </c>
      <c r="G87" s="927">
        <v>0.1</v>
      </c>
      <c r="H87" s="927">
        <v>0.82299999999999995</v>
      </c>
      <c r="I87" s="936">
        <v>7.1999999999999995E-2</v>
      </c>
      <c r="J87" s="930">
        <v>2.04</v>
      </c>
      <c r="K87" s="937" t="s">
        <v>142</v>
      </c>
      <c r="L87" s="1038"/>
      <c r="O87" s="739"/>
      <c r="Q87" s="613"/>
      <c r="R87" s="613"/>
      <c r="S87" s="613"/>
      <c r="T87" s="613"/>
      <c r="U87" s="613"/>
      <c r="V87" s="613"/>
      <c r="W87" s="613"/>
      <c r="X87" s="613"/>
      <c r="Y87" s="613"/>
      <c r="Z87" s="613"/>
      <c r="AA87" s="613"/>
      <c r="AB87" s="613"/>
      <c r="AC87" s="613"/>
    </row>
    <row r="88" spans="1:29" ht="30" customHeight="1" x14ac:dyDescent="0.2">
      <c r="B88" s="755"/>
      <c r="O88" s="739"/>
      <c r="Q88" s="613"/>
      <c r="R88" s="613"/>
      <c r="S88" s="613"/>
      <c r="T88" s="613"/>
      <c r="U88" s="613"/>
      <c r="V88" s="613"/>
      <c r="W88" s="613"/>
      <c r="X88" s="613"/>
      <c r="Y88" s="613"/>
      <c r="Z88" s="613"/>
      <c r="AA88" s="613"/>
      <c r="AB88" s="613"/>
      <c r="AC88" s="613"/>
    </row>
    <row r="89" spans="1:29" ht="30" customHeight="1" thickBot="1" x14ac:dyDescent="0.25">
      <c r="B89" s="755"/>
      <c r="C89" s="756"/>
      <c r="D89" s="741"/>
      <c r="E89" s="14"/>
      <c r="F89" s="426"/>
      <c r="G89" s="426"/>
      <c r="H89" s="426"/>
      <c r="I89" s="426"/>
      <c r="J89" s="426"/>
      <c r="K89" s="696"/>
      <c r="O89" s="739"/>
      <c r="Q89" s="613"/>
      <c r="R89" s="613"/>
      <c r="S89" s="613"/>
      <c r="T89" s="613"/>
      <c r="U89" s="613"/>
      <c r="V89" s="613"/>
      <c r="W89" s="613"/>
      <c r="X89" s="613"/>
      <c r="Y89" s="613"/>
      <c r="Z89" s="613"/>
      <c r="AA89" s="613"/>
      <c r="AB89" s="613"/>
      <c r="AC89" s="613"/>
    </row>
    <row r="90" spans="1:29" ht="30" customHeight="1" x14ac:dyDescent="0.2">
      <c r="A90" s="1075" t="s">
        <v>124</v>
      </c>
      <c r="B90" s="1076"/>
      <c r="C90" s="916" t="s">
        <v>158</v>
      </c>
      <c r="D90" s="1138" t="s">
        <v>126</v>
      </c>
      <c r="E90" s="1182" t="s">
        <v>159</v>
      </c>
      <c r="F90" s="977">
        <v>14.8</v>
      </c>
      <c r="G90" s="978">
        <v>0.1</v>
      </c>
      <c r="H90" s="979">
        <v>0</v>
      </c>
      <c r="I90" s="980">
        <v>0.2</v>
      </c>
      <c r="J90" s="977">
        <v>1.96</v>
      </c>
      <c r="K90" s="981" t="s">
        <v>160</v>
      </c>
      <c r="L90" s="1074" t="s">
        <v>161</v>
      </c>
      <c r="M90" s="15" t="str">
        <f>F126</f>
        <v>INM 5286 INM 5287 INM 5239</v>
      </c>
      <c r="O90" s="1039" t="s">
        <v>162</v>
      </c>
      <c r="P90" s="510" t="s">
        <v>36</v>
      </c>
      <c r="Q90" s="511" t="s">
        <v>132</v>
      </c>
      <c r="R90" s="512" t="s">
        <v>133</v>
      </c>
      <c r="S90" s="613"/>
      <c r="T90" s="613"/>
      <c r="U90" s="613"/>
      <c r="V90" s="613"/>
      <c r="W90" s="613"/>
      <c r="X90" s="613"/>
      <c r="Y90" s="613"/>
      <c r="Z90" s="613"/>
      <c r="AA90" s="613"/>
      <c r="AB90" s="613"/>
      <c r="AC90" s="613"/>
    </row>
    <row r="91" spans="1:29" ht="30" customHeight="1" x14ac:dyDescent="0.2">
      <c r="A91" s="1077"/>
      <c r="B91" s="1078"/>
      <c r="C91" s="917" t="s">
        <v>163</v>
      </c>
      <c r="D91" s="1139"/>
      <c r="E91" s="1183"/>
      <c r="F91" s="982">
        <v>24.8</v>
      </c>
      <c r="G91" s="983">
        <v>0.1</v>
      </c>
      <c r="H91" s="984">
        <v>0.1</v>
      </c>
      <c r="I91" s="985">
        <v>0.2</v>
      </c>
      <c r="J91" s="986">
        <v>1.96</v>
      </c>
      <c r="K91" s="987" t="s">
        <v>160</v>
      </c>
      <c r="L91" s="1061"/>
      <c r="O91" s="1040"/>
      <c r="P91" s="327">
        <f>MAX(I90:I92)</f>
        <v>0.2</v>
      </c>
      <c r="Q91" s="757">
        <f>MAX(I93:I95)</f>
        <v>1.7</v>
      </c>
      <c r="R91" s="758">
        <f>MAX(I96:I98)</f>
        <v>8.7999999999999995E-2</v>
      </c>
      <c r="S91" s="613"/>
      <c r="T91" s="613"/>
      <c r="U91" s="613"/>
      <c r="V91" s="613"/>
      <c r="W91" s="613"/>
      <c r="X91" s="613"/>
      <c r="Y91" s="613"/>
      <c r="Z91" s="613"/>
      <c r="AA91" s="613"/>
      <c r="AB91" s="613"/>
      <c r="AC91" s="613"/>
    </row>
    <row r="92" spans="1:29" ht="30" customHeight="1" thickBot="1" x14ac:dyDescent="0.25">
      <c r="A92" s="1077"/>
      <c r="B92" s="1078"/>
      <c r="C92" s="917" t="s">
        <v>164</v>
      </c>
      <c r="D92" s="1139"/>
      <c r="E92" s="1183"/>
      <c r="F92" s="982">
        <v>29.8</v>
      </c>
      <c r="G92" s="983">
        <v>0.1</v>
      </c>
      <c r="H92" s="984">
        <v>0.1</v>
      </c>
      <c r="I92" s="985">
        <v>0.2</v>
      </c>
      <c r="J92" s="986">
        <v>1.96</v>
      </c>
      <c r="K92" s="987" t="s">
        <v>160</v>
      </c>
      <c r="L92" s="1061"/>
      <c r="O92" s="1041"/>
      <c r="P92" s="515"/>
      <c r="Q92" s="516"/>
      <c r="R92" s="517"/>
      <c r="S92" s="613"/>
      <c r="T92" s="613"/>
      <c r="U92" s="613"/>
      <c r="V92" s="613"/>
      <c r="W92" s="613"/>
      <c r="X92" s="613"/>
      <c r="Y92" s="613"/>
      <c r="Z92" s="613"/>
      <c r="AA92" s="613"/>
      <c r="AB92" s="613"/>
      <c r="AC92" s="613"/>
    </row>
    <row r="93" spans="1:29" ht="30" customHeight="1" x14ac:dyDescent="0.2">
      <c r="A93" s="1069" t="s">
        <v>135</v>
      </c>
      <c r="B93" s="1070"/>
      <c r="C93" s="917" t="s">
        <v>165</v>
      </c>
      <c r="D93" s="1139"/>
      <c r="E93" s="1183"/>
      <c r="F93" s="986">
        <v>33.4</v>
      </c>
      <c r="G93" s="983">
        <v>0.1</v>
      </c>
      <c r="H93" s="983">
        <v>-3.4</v>
      </c>
      <c r="I93" s="988">
        <v>1.7</v>
      </c>
      <c r="J93" s="986">
        <v>1.96</v>
      </c>
      <c r="K93" s="987" t="s">
        <v>166</v>
      </c>
      <c r="L93" s="1079" t="s">
        <v>167</v>
      </c>
      <c r="O93" s="739"/>
      <c r="Q93" s="613"/>
      <c r="R93" s="613"/>
      <c r="S93" s="613"/>
      <c r="T93" s="613"/>
      <c r="U93" s="613"/>
      <c r="V93" s="613"/>
      <c r="W93" s="613"/>
      <c r="X93" s="613"/>
      <c r="Y93" s="613"/>
      <c r="Z93" s="613"/>
      <c r="AA93" s="613"/>
      <c r="AB93" s="613"/>
      <c r="AC93" s="613"/>
    </row>
    <row r="94" spans="1:29" ht="30" customHeight="1" x14ac:dyDescent="0.2">
      <c r="A94" s="1069"/>
      <c r="B94" s="1070"/>
      <c r="C94" s="917" t="s">
        <v>168</v>
      </c>
      <c r="D94" s="1139"/>
      <c r="E94" s="1183"/>
      <c r="F94" s="986">
        <v>51.1</v>
      </c>
      <c r="G94" s="983">
        <v>0.1</v>
      </c>
      <c r="H94" s="983">
        <v>-1.1000000000000001</v>
      </c>
      <c r="I94" s="988">
        <v>1.7</v>
      </c>
      <c r="J94" s="986">
        <v>1.96</v>
      </c>
      <c r="K94" s="987" t="s">
        <v>166</v>
      </c>
      <c r="L94" s="1061"/>
      <c r="O94" s="739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</row>
    <row r="95" spans="1:29" ht="30" customHeight="1" x14ac:dyDescent="0.2">
      <c r="A95" s="1069"/>
      <c r="B95" s="1070"/>
      <c r="C95" s="917" t="s">
        <v>169</v>
      </c>
      <c r="D95" s="1139"/>
      <c r="E95" s="1183"/>
      <c r="F95" s="986">
        <v>76.8</v>
      </c>
      <c r="G95" s="983">
        <v>0.1</v>
      </c>
      <c r="H95" s="983">
        <v>3.2</v>
      </c>
      <c r="I95" s="988">
        <v>1.7</v>
      </c>
      <c r="J95" s="986">
        <v>1.96</v>
      </c>
      <c r="K95" s="987" t="s">
        <v>166</v>
      </c>
      <c r="L95" s="1061"/>
      <c r="O95" s="739"/>
      <c r="Q95" s="613"/>
      <c r="R95" s="613"/>
      <c r="S95" s="613"/>
      <c r="T95" s="613"/>
      <c r="U95" s="613"/>
      <c r="V95" s="613"/>
      <c r="W95" s="613"/>
      <c r="X95" s="613"/>
      <c r="Y95" s="613"/>
      <c r="Z95" s="613"/>
      <c r="AA95" s="613"/>
      <c r="AB95" s="613"/>
      <c r="AC95" s="613"/>
    </row>
    <row r="96" spans="1:29" ht="30" customHeight="1" x14ac:dyDescent="0.2">
      <c r="A96" s="1069" t="s">
        <v>141</v>
      </c>
      <c r="B96" s="1070"/>
      <c r="C96" s="917" t="s">
        <v>657</v>
      </c>
      <c r="D96" s="1139"/>
      <c r="E96" s="1183"/>
      <c r="F96" s="989">
        <v>499.02600000000001</v>
      </c>
      <c r="G96" s="983">
        <v>0.1</v>
      </c>
      <c r="H96" s="983">
        <v>1.573</v>
      </c>
      <c r="I96" s="988">
        <v>7.6999999999999999E-2</v>
      </c>
      <c r="J96" s="986">
        <v>1.96</v>
      </c>
      <c r="K96" s="987" t="s">
        <v>170</v>
      </c>
      <c r="L96" s="1060" t="s">
        <v>171</v>
      </c>
      <c r="O96" s="739"/>
      <c r="Q96" s="613"/>
      <c r="R96" s="613"/>
      <c r="S96" s="613"/>
      <c r="T96" s="613"/>
      <c r="U96" s="613"/>
      <c r="V96" s="613"/>
      <c r="W96" s="613"/>
      <c r="X96" s="613"/>
      <c r="Y96" s="613"/>
      <c r="Z96" s="613"/>
      <c r="AA96" s="613"/>
      <c r="AB96" s="613"/>
      <c r="AC96" s="613"/>
    </row>
    <row r="97" spans="1:29" ht="30" customHeight="1" x14ac:dyDescent="0.2">
      <c r="A97" s="1069"/>
      <c r="B97" s="1070"/>
      <c r="C97" s="917" t="s">
        <v>658</v>
      </c>
      <c r="D97" s="1139"/>
      <c r="E97" s="1183"/>
      <c r="F97" s="986">
        <v>752.18100000000004</v>
      </c>
      <c r="G97" s="983">
        <v>0.1</v>
      </c>
      <c r="H97" s="990">
        <v>1.0469999999999999</v>
      </c>
      <c r="I97" s="991">
        <v>8.3000000000000004E-2</v>
      </c>
      <c r="J97" s="986">
        <v>1.96</v>
      </c>
      <c r="K97" s="987" t="s">
        <v>170</v>
      </c>
      <c r="L97" s="1061" t="s">
        <v>172</v>
      </c>
      <c r="O97" s="739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3"/>
    </row>
    <row r="98" spans="1:29" ht="30" customHeight="1" thickBot="1" x14ac:dyDescent="0.25">
      <c r="A98" s="1072"/>
      <c r="B98" s="1073"/>
      <c r="C98" s="918" t="s">
        <v>659</v>
      </c>
      <c r="D98" s="1140"/>
      <c r="E98" s="1184"/>
      <c r="F98" s="992">
        <v>900.66499999999996</v>
      </c>
      <c r="G98" s="993">
        <v>0.1</v>
      </c>
      <c r="H98" s="993">
        <v>0.73699999999999999</v>
      </c>
      <c r="I98" s="994">
        <v>8.7999999999999995E-2</v>
      </c>
      <c r="J98" s="995">
        <v>1.96</v>
      </c>
      <c r="K98" s="996" t="s">
        <v>170</v>
      </c>
      <c r="L98" s="1062" t="s">
        <v>173</v>
      </c>
      <c r="O98" s="739"/>
      <c r="Q98" s="613"/>
      <c r="R98" s="613"/>
      <c r="S98" s="613"/>
      <c r="T98" s="613"/>
      <c r="U98" s="613"/>
      <c r="V98" s="613"/>
      <c r="W98" s="613"/>
      <c r="X98" s="613"/>
      <c r="Y98" s="613"/>
      <c r="Z98" s="613"/>
      <c r="AA98" s="613"/>
      <c r="AB98" s="613"/>
      <c r="AC98" s="613"/>
    </row>
    <row r="99" spans="1:29" ht="30" customHeight="1" x14ac:dyDescent="0.2">
      <c r="B99" s="755"/>
      <c r="O99" s="739"/>
      <c r="Q99" s="613"/>
      <c r="R99" s="613"/>
      <c r="S99" s="613"/>
      <c r="T99" s="613"/>
      <c r="U99" s="613"/>
      <c r="V99" s="613"/>
      <c r="W99" s="613"/>
      <c r="X99" s="613"/>
      <c r="Y99" s="613"/>
      <c r="Z99" s="613"/>
      <c r="AA99" s="613"/>
      <c r="AB99" s="613"/>
      <c r="AC99" s="613"/>
    </row>
    <row r="100" spans="1:29" ht="30" customHeight="1" thickBot="1" x14ac:dyDescent="0.25">
      <c r="B100" s="755"/>
      <c r="C100" s="741"/>
      <c r="D100" s="756"/>
      <c r="E100" s="14"/>
      <c r="F100" s="426"/>
      <c r="G100" s="426"/>
      <c r="H100" s="426"/>
      <c r="I100" s="426"/>
      <c r="J100" s="426"/>
      <c r="K100" s="696"/>
      <c r="O100" s="739"/>
      <c r="Q100" s="613"/>
      <c r="R100" s="613"/>
      <c r="S100" s="613"/>
      <c r="T100" s="613"/>
      <c r="U100" s="613"/>
      <c r="V100" s="613"/>
      <c r="W100" s="613"/>
      <c r="X100" s="613"/>
      <c r="Y100" s="613"/>
      <c r="Z100" s="613"/>
      <c r="AA100" s="613"/>
      <c r="AB100" s="613"/>
      <c r="AC100" s="613"/>
    </row>
    <row r="101" spans="1:29" ht="30" customHeight="1" x14ac:dyDescent="0.2">
      <c r="A101" s="1053" t="s">
        <v>124</v>
      </c>
      <c r="B101" s="1054"/>
      <c r="C101" s="916" t="s">
        <v>174</v>
      </c>
      <c r="D101" s="1141" t="s">
        <v>126</v>
      </c>
      <c r="E101" s="1179" t="s">
        <v>175</v>
      </c>
      <c r="F101" s="959">
        <v>14.9</v>
      </c>
      <c r="G101" s="938">
        <v>0.1</v>
      </c>
      <c r="H101" s="938">
        <v>0.1</v>
      </c>
      <c r="I101" s="960">
        <v>0.2</v>
      </c>
      <c r="J101" s="961">
        <v>1.96</v>
      </c>
      <c r="K101" s="958" t="s">
        <v>176</v>
      </c>
      <c r="L101" s="1071" t="s">
        <v>177</v>
      </c>
      <c r="M101" s="15" t="str">
        <f>F127</f>
        <v>INM 6608 INM 6597 INM 6390</v>
      </c>
      <c r="O101" s="1039" t="s">
        <v>178</v>
      </c>
      <c r="P101" s="510" t="s">
        <v>36</v>
      </c>
      <c r="Q101" s="511" t="s">
        <v>132</v>
      </c>
      <c r="R101" s="512" t="s">
        <v>133</v>
      </c>
      <c r="S101" s="613"/>
      <c r="T101" s="613"/>
      <c r="U101" s="613"/>
      <c r="V101" s="613"/>
      <c r="W101" s="613"/>
      <c r="X101" s="613"/>
      <c r="Y101" s="613"/>
      <c r="Z101" s="613"/>
      <c r="AA101" s="613"/>
      <c r="AB101" s="613"/>
      <c r="AC101" s="613"/>
    </row>
    <row r="102" spans="1:29" ht="30" customHeight="1" x14ac:dyDescent="0.2">
      <c r="A102" s="1055"/>
      <c r="B102" s="1056"/>
      <c r="C102" s="917" t="s">
        <v>179</v>
      </c>
      <c r="D102" s="1142"/>
      <c r="E102" s="1180"/>
      <c r="F102" s="922">
        <v>25</v>
      </c>
      <c r="G102" s="923">
        <v>0.1</v>
      </c>
      <c r="H102" s="953">
        <v>0</v>
      </c>
      <c r="I102" s="925">
        <v>0.2</v>
      </c>
      <c r="J102" s="962">
        <v>1.96</v>
      </c>
      <c r="K102" s="933" t="s">
        <v>176</v>
      </c>
      <c r="L102" s="1037"/>
      <c r="O102" s="1040"/>
      <c r="P102" s="327">
        <f>MAX(I101:I103)</f>
        <v>0.2</v>
      </c>
      <c r="Q102" s="747">
        <f>MAX(I104:I106)</f>
        <v>1.7</v>
      </c>
      <c r="R102" s="759">
        <f>MAX(I107:I109)</f>
        <v>7.3999999999999996E-2</v>
      </c>
      <c r="S102" s="613"/>
      <c r="T102" s="613"/>
      <c r="U102" s="613"/>
      <c r="V102" s="613"/>
      <c r="W102" s="613"/>
      <c r="X102" s="613"/>
      <c r="Y102" s="613"/>
      <c r="Z102" s="613"/>
      <c r="AA102" s="613"/>
      <c r="AB102" s="613"/>
      <c r="AC102" s="613"/>
    </row>
    <row r="103" spans="1:29" ht="30" customHeight="1" thickBot="1" x14ac:dyDescent="0.25">
      <c r="A103" s="1057"/>
      <c r="B103" s="1058"/>
      <c r="C103" s="917" t="s">
        <v>180</v>
      </c>
      <c r="D103" s="1142"/>
      <c r="E103" s="1180"/>
      <c r="F103" s="930">
        <v>34.9</v>
      </c>
      <c r="G103" s="927">
        <v>0.1</v>
      </c>
      <c r="H103" s="927">
        <v>0.1</v>
      </c>
      <c r="I103" s="928">
        <v>0.2</v>
      </c>
      <c r="J103" s="963">
        <v>1.96</v>
      </c>
      <c r="K103" s="937" t="s">
        <v>176</v>
      </c>
      <c r="L103" s="1038"/>
      <c r="O103" s="1041"/>
      <c r="P103" s="515"/>
      <c r="Q103" s="516"/>
      <c r="R103" s="517"/>
      <c r="S103" s="613"/>
      <c r="T103" s="613"/>
      <c r="U103" s="613"/>
      <c r="V103" s="613"/>
      <c r="W103" s="613"/>
      <c r="X103" s="613"/>
      <c r="Y103" s="613"/>
      <c r="Z103" s="613"/>
      <c r="AA103" s="613"/>
      <c r="AB103" s="613"/>
      <c r="AC103" s="613"/>
    </row>
    <row r="104" spans="1:29" ht="30" customHeight="1" x14ac:dyDescent="0.2">
      <c r="A104" s="1191" t="s">
        <v>135</v>
      </c>
      <c r="B104" s="1192"/>
      <c r="C104" s="917" t="s">
        <v>181</v>
      </c>
      <c r="D104" s="1142"/>
      <c r="E104" s="1180"/>
      <c r="F104" s="949">
        <v>32.9</v>
      </c>
      <c r="G104" s="938">
        <v>0.1</v>
      </c>
      <c r="H104" s="938">
        <v>-2.9</v>
      </c>
      <c r="I104" s="964">
        <v>1.7</v>
      </c>
      <c r="J104" s="961">
        <v>1.96</v>
      </c>
      <c r="K104" s="958" t="s">
        <v>152</v>
      </c>
      <c r="L104" s="1071" t="s">
        <v>182</v>
      </c>
      <c r="O104" s="739"/>
      <c r="Q104" s="613"/>
      <c r="R104" s="613"/>
      <c r="S104" s="613"/>
      <c r="T104" s="613"/>
      <c r="U104" s="613"/>
      <c r="V104" s="613"/>
      <c r="W104" s="613"/>
      <c r="X104" s="613"/>
      <c r="Y104" s="613"/>
      <c r="Z104" s="613"/>
      <c r="AA104" s="613"/>
      <c r="AB104" s="613"/>
      <c r="AC104" s="613"/>
    </row>
    <row r="105" spans="1:29" ht="30" customHeight="1" x14ac:dyDescent="0.2">
      <c r="A105" s="1193"/>
      <c r="B105" s="1194"/>
      <c r="C105" s="917" t="s">
        <v>183</v>
      </c>
      <c r="D105" s="1142"/>
      <c r="E105" s="1180"/>
      <c r="F105" s="922">
        <v>55.6</v>
      </c>
      <c r="G105" s="923">
        <v>0.1</v>
      </c>
      <c r="H105" s="923">
        <v>-0.6</v>
      </c>
      <c r="I105" s="965">
        <v>1.7</v>
      </c>
      <c r="J105" s="962">
        <v>1.96</v>
      </c>
      <c r="K105" s="933" t="s">
        <v>152</v>
      </c>
      <c r="L105" s="1037"/>
      <c r="O105" s="739"/>
      <c r="Q105" s="613"/>
      <c r="R105" s="613"/>
      <c r="S105" s="613"/>
      <c r="T105" s="613"/>
      <c r="U105" s="613"/>
      <c r="V105" s="613"/>
      <c r="W105" s="613"/>
      <c r="X105" s="613"/>
      <c r="Y105" s="613"/>
      <c r="Z105" s="613"/>
      <c r="AA105" s="613"/>
      <c r="AB105" s="613"/>
      <c r="AC105" s="613"/>
    </row>
    <row r="106" spans="1:29" ht="30" customHeight="1" thickBot="1" x14ac:dyDescent="0.25">
      <c r="A106" s="1195"/>
      <c r="B106" s="1196"/>
      <c r="C106" s="917" t="s">
        <v>184</v>
      </c>
      <c r="D106" s="1142"/>
      <c r="E106" s="1180"/>
      <c r="F106" s="966">
        <v>79</v>
      </c>
      <c r="G106" s="967">
        <v>0.1</v>
      </c>
      <c r="H106" s="967">
        <v>1.9</v>
      </c>
      <c r="I106" s="968">
        <v>1.7</v>
      </c>
      <c r="J106" s="963">
        <v>1.96</v>
      </c>
      <c r="K106" s="937" t="s">
        <v>152</v>
      </c>
      <c r="L106" s="1038"/>
      <c r="O106" s="739"/>
      <c r="Q106" s="613"/>
      <c r="R106" s="613"/>
      <c r="S106" s="613"/>
      <c r="T106" s="613"/>
      <c r="U106" s="613"/>
      <c r="V106" s="613"/>
      <c r="W106" s="613"/>
      <c r="X106" s="613"/>
      <c r="Y106" s="613"/>
      <c r="Z106" s="613"/>
      <c r="AA106" s="613"/>
      <c r="AB106" s="613"/>
      <c r="AC106" s="613"/>
    </row>
    <row r="107" spans="1:29" ht="30" customHeight="1" x14ac:dyDescent="0.2">
      <c r="A107" s="1191" t="s">
        <v>141</v>
      </c>
      <c r="B107" s="1192"/>
      <c r="C107" s="917" t="s">
        <v>660</v>
      </c>
      <c r="D107" s="1142"/>
      <c r="E107" s="1180"/>
      <c r="F107" s="941">
        <v>499.80099999999999</v>
      </c>
      <c r="G107" s="997">
        <v>0.1</v>
      </c>
      <c r="H107" s="998">
        <v>1.742</v>
      </c>
      <c r="I107" s="999">
        <v>6.6000000000000003E-2</v>
      </c>
      <c r="J107" s="949">
        <v>2.04</v>
      </c>
      <c r="K107" s="958" t="s">
        <v>142</v>
      </c>
      <c r="L107" s="1036" t="s">
        <v>185</v>
      </c>
      <c r="O107" s="739"/>
      <c r="Q107" s="613"/>
      <c r="R107" s="613"/>
      <c r="S107" s="613"/>
      <c r="T107" s="613"/>
      <c r="U107" s="613"/>
      <c r="V107" s="613"/>
      <c r="W107" s="613"/>
      <c r="X107" s="613"/>
      <c r="Y107" s="613"/>
      <c r="Z107" s="613"/>
      <c r="AA107" s="613"/>
      <c r="AB107" s="613"/>
      <c r="AC107" s="613"/>
    </row>
    <row r="108" spans="1:29" ht="30" customHeight="1" x14ac:dyDescent="0.2">
      <c r="A108" s="1193"/>
      <c r="B108" s="1194"/>
      <c r="C108" s="917" t="s">
        <v>661</v>
      </c>
      <c r="D108" s="1142"/>
      <c r="E108" s="1180"/>
      <c r="F108" s="932">
        <v>752.29600000000005</v>
      </c>
      <c r="G108" s="1000">
        <v>0.1</v>
      </c>
      <c r="H108" s="1001">
        <v>1.2150000000000001</v>
      </c>
      <c r="I108" s="934">
        <v>6.8000000000000005E-2</v>
      </c>
      <c r="J108" s="922">
        <v>2.04</v>
      </c>
      <c r="K108" s="933" t="s">
        <v>142</v>
      </c>
      <c r="L108" s="1037"/>
      <c r="O108" s="739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  <c r="AA108" s="613"/>
      <c r="AB108" s="613"/>
      <c r="AC108" s="613"/>
    </row>
    <row r="109" spans="1:29" ht="30" customHeight="1" thickBot="1" x14ac:dyDescent="0.25">
      <c r="A109" s="1195"/>
      <c r="B109" s="1196"/>
      <c r="C109" s="918" t="s">
        <v>662</v>
      </c>
      <c r="D109" s="1143"/>
      <c r="E109" s="1181"/>
      <c r="F109" s="935" t="s">
        <v>186</v>
      </c>
      <c r="G109" s="1002">
        <v>0.1</v>
      </c>
      <c r="H109" s="1003">
        <v>1.1379999999999999</v>
      </c>
      <c r="I109" s="936">
        <v>7.3999999999999996E-2</v>
      </c>
      <c r="J109" s="930">
        <v>2.04</v>
      </c>
      <c r="K109" s="937" t="s">
        <v>142</v>
      </c>
      <c r="L109" s="1038"/>
      <c r="O109" s="739"/>
      <c r="Q109" s="613"/>
      <c r="R109" s="613"/>
      <c r="S109" s="613"/>
      <c r="T109" s="613"/>
      <c r="U109" s="613"/>
      <c r="V109" s="613"/>
      <c r="W109" s="613"/>
      <c r="X109" s="613"/>
      <c r="Y109" s="613"/>
      <c r="Z109" s="613"/>
      <c r="AA109" s="613"/>
      <c r="AB109" s="613"/>
      <c r="AC109" s="613"/>
    </row>
    <row r="110" spans="1:29" ht="30" customHeight="1" x14ac:dyDescent="0.2">
      <c r="B110" s="755"/>
      <c r="O110" s="739"/>
      <c r="Q110" s="613"/>
      <c r="R110" s="613"/>
      <c r="S110" s="613"/>
      <c r="T110" s="613"/>
      <c r="U110" s="613"/>
      <c r="V110" s="613"/>
      <c r="W110" s="613"/>
      <c r="X110" s="613"/>
      <c r="Y110" s="613"/>
      <c r="Z110" s="613"/>
      <c r="AA110" s="613"/>
      <c r="AB110" s="613"/>
      <c r="AC110" s="613"/>
    </row>
    <row r="111" spans="1:29" ht="30" customHeight="1" thickBot="1" x14ac:dyDescent="0.25">
      <c r="B111" s="755"/>
      <c r="C111" s="741"/>
      <c r="D111" s="756"/>
      <c r="E111" s="14"/>
      <c r="F111" s="426"/>
      <c r="G111" s="426"/>
      <c r="H111" s="426"/>
      <c r="I111" s="426"/>
      <c r="J111" s="426"/>
      <c r="K111" s="696"/>
      <c r="O111" s="739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613"/>
      <c r="AC111" s="613"/>
    </row>
    <row r="112" spans="1:29" ht="30" customHeight="1" x14ac:dyDescent="0.2">
      <c r="A112" s="1191" t="s">
        <v>124</v>
      </c>
      <c r="B112" s="1192"/>
      <c r="C112" s="916" t="s">
        <v>187</v>
      </c>
      <c r="D112" s="1138" t="s">
        <v>126</v>
      </c>
      <c r="E112" s="1179" t="s">
        <v>188</v>
      </c>
      <c r="F112" s="949">
        <v>14.9</v>
      </c>
      <c r="G112" s="938">
        <v>0.1</v>
      </c>
      <c r="H112" s="950">
        <v>0</v>
      </c>
      <c r="I112" s="1008">
        <v>0.2</v>
      </c>
      <c r="J112" s="949">
        <v>1.96</v>
      </c>
      <c r="K112" s="1004" t="s">
        <v>128</v>
      </c>
      <c r="L112" s="1197" t="s">
        <v>189</v>
      </c>
      <c r="M112" s="15" t="str">
        <f>F128</f>
        <v>INM 6639 INM 6668 INM 6593</v>
      </c>
      <c r="O112" s="1039" t="s">
        <v>190</v>
      </c>
      <c r="P112" s="510" t="s">
        <v>36</v>
      </c>
      <c r="Q112" s="511" t="s">
        <v>132</v>
      </c>
      <c r="R112" s="512" t="s">
        <v>133</v>
      </c>
      <c r="S112" s="613"/>
      <c r="T112" s="613"/>
      <c r="U112" s="613"/>
      <c r="V112" s="613"/>
      <c r="W112" s="613"/>
      <c r="X112" s="613"/>
      <c r="Y112" s="613"/>
      <c r="Z112" s="613"/>
      <c r="AA112" s="613"/>
      <c r="AB112" s="613"/>
      <c r="AC112" s="613"/>
    </row>
    <row r="113" spans="1:29" ht="30" customHeight="1" x14ac:dyDescent="0.2">
      <c r="A113" s="1193"/>
      <c r="B113" s="1194"/>
      <c r="C113" s="917" t="s">
        <v>191</v>
      </c>
      <c r="D113" s="1139"/>
      <c r="E113" s="1180"/>
      <c r="F113" s="1009">
        <v>24.9</v>
      </c>
      <c r="G113" s="923">
        <v>0.1</v>
      </c>
      <c r="H113" s="953">
        <v>0</v>
      </c>
      <c r="I113" s="1010">
        <v>0.2</v>
      </c>
      <c r="J113" s="922">
        <v>1.96</v>
      </c>
      <c r="K113" s="1005" t="s">
        <v>128</v>
      </c>
      <c r="L113" s="1198"/>
      <c r="O113" s="1040"/>
      <c r="P113" s="327">
        <f>MAX(I112:I114)</f>
        <v>0.2</v>
      </c>
      <c r="Q113" s="757">
        <f>MAX(I115:I117)</f>
        <v>1.7</v>
      </c>
      <c r="R113" s="758">
        <f>MAX(I118:I120)</f>
        <v>7.1999999999999995E-2</v>
      </c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</row>
    <row r="114" spans="1:29" ht="30" customHeight="1" thickBot="1" x14ac:dyDescent="0.25">
      <c r="A114" s="1195"/>
      <c r="B114" s="1196"/>
      <c r="C114" s="917" t="s">
        <v>192</v>
      </c>
      <c r="D114" s="1139"/>
      <c r="E114" s="1180"/>
      <c r="F114" s="926">
        <v>34.9</v>
      </c>
      <c r="G114" s="927">
        <v>0.1</v>
      </c>
      <c r="H114" s="955">
        <v>0</v>
      </c>
      <c r="I114" s="1011">
        <v>0.2</v>
      </c>
      <c r="J114" s="930">
        <v>1.96</v>
      </c>
      <c r="K114" s="1007" t="s">
        <v>128</v>
      </c>
      <c r="L114" s="1199"/>
      <c r="O114" s="1041"/>
      <c r="P114" s="515"/>
      <c r="Q114" s="516"/>
      <c r="R114" s="517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3"/>
      <c r="AC114" s="613"/>
    </row>
    <row r="115" spans="1:29" ht="30" customHeight="1" x14ac:dyDescent="0.2">
      <c r="A115" s="1191" t="s">
        <v>135</v>
      </c>
      <c r="B115" s="1192"/>
      <c r="C115" s="917" t="s">
        <v>193</v>
      </c>
      <c r="D115" s="1139"/>
      <c r="E115" s="1180"/>
      <c r="F115" s="949">
        <v>33.299999999999997</v>
      </c>
      <c r="G115" s="938">
        <v>0.1</v>
      </c>
      <c r="H115" s="938">
        <v>-3.3</v>
      </c>
      <c r="I115" s="964">
        <v>1.7</v>
      </c>
      <c r="J115" s="949">
        <v>1.96</v>
      </c>
      <c r="K115" s="1004" t="s">
        <v>137</v>
      </c>
      <c r="L115" s="1197" t="s">
        <v>194</v>
      </c>
      <c r="O115" s="739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3"/>
      <c r="AC115" s="613"/>
    </row>
    <row r="116" spans="1:29" ht="30" customHeight="1" x14ac:dyDescent="0.2">
      <c r="A116" s="1193"/>
      <c r="B116" s="1194"/>
      <c r="C116" s="917" t="s">
        <v>195</v>
      </c>
      <c r="D116" s="1139"/>
      <c r="E116" s="1180"/>
      <c r="F116" s="922">
        <v>56.1</v>
      </c>
      <c r="G116" s="923">
        <v>0.1</v>
      </c>
      <c r="H116" s="923">
        <v>-1.1000000000000001</v>
      </c>
      <c r="I116" s="965">
        <v>1.7</v>
      </c>
      <c r="J116" s="922">
        <v>1.96</v>
      </c>
      <c r="K116" s="1005" t="s">
        <v>137</v>
      </c>
      <c r="L116" s="1198"/>
      <c r="O116" s="739"/>
      <c r="Q116" s="613"/>
      <c r="R116" s="613"/>
      <c r="S116" s="613"/>
      <c r="T116" s="613"/>
      <c r="U116" s="613"/>
      <c r="V116" s="613"/>
      <c r="W116" s="613"/>
      <c r="X116" s="613"/>
      <c r="Y116" s="613"/>
      <c r="Z116" s="613"/>
      <c r="AA116" s="613"/>
      <c r="AB116" s="613"/>
      <c r="AC116" s="613"/>
    </row>
    <row r="117" spans="1:29" ht="30" customHeight="1" thickBot="1" x14ac:dyDescent="0.25">
      <c r="A117" s="1195"/>
      <c r="B117" s="1196"/>
      <c r="C117" s="917" t="s">
        <v>196</v>
      </c>
      <c r="D117" s="1139"/>
      <c r="E117" s="1180"/>
      <c r="F117" s="966">
        <v>82.1</v>
      </c>
      <c r="G117" s="967">
        <v>0.1</v>
      </c>
      <c r="H117" s="967">
        <v>-1.2</v>
      </c>
      <c r="I117" s="968">
        <v>1.7</v>
      </c>
      <c r="J117" s="930">
        <v>1.96</v>
      </c>
      <c r="K117" s="1007" t="s">
        <v>137</v>
      </c>
      <c r="L117" s="1199"/>
      <c r="O117" s="739"/>
      <c r="Q117" s="613"/>
      <c r="R117" s="613"/>
      <c r="S117" s="613"/>
      <c r="T117" s="613"/>
      <c r="U117" s="613"/>
      <c r="V117" s="613"/>
      <c r="W117" s="613"/>
      <c r="X117" s="613"/>
      <c r="Y117" s="613"/>
      <c r="Z117" s="613"/>
      <c r="AA117" s="613"/>
      <c r="AB117" s="613"/>
      <c r="AC117" s="613"/>
    </row>
    <row r="118" spans="1:29" ht="30" customHeight="1" x14ac:dyDescent="0.2">
      <c r="A118" s="1191" t="s">
        <v>141</v>
      </c>
      <c r="B118" s="1192"/>
      <c r="C118" s="917" t="s">
        <v>663</v>
      </c>
      <c r="D118" s="1139"/>
      <c r="E118" s="1180"/>
      <c r="F118" s="941">
        <v>399.84</v>
      </c>
      <c r="G118" s="938">
        <v>0.1</v>
      </c>
      <c r="H118" s="938">
        <v>1.6759999999999999</v>
      </c>
      <c r="I118" s="964">
        <v>6.5000000000000002E-2</v>
      </c>
      <c r="J118" s="949">
        <v>2.04</v>
      </c>
      <c r="K118" s="1004" t="s">
        <v>142</v>
      </c>
      <c r="L118" s="1197" t="s">
        <v>197</v>
      </c>
      <c r="O118" s="739"/>
      <c r="Q118" s="613"/>
      <c r="R118" s="613"/>
      <c r="S118" s="613"/>
      <c r="T118" s="613"/>
      <c r="U118" s="613"/>
      <c r="V118" s="613"/>
      <c r="W118" s="613"/>
      <c r="X118" s="613"/>
      <c r="Y118" s="613"/>
      <c r="Z118" s="613"/>
      <c r="AA118" s="613"/>
      <c r="AB118" s="613"/>
      <c r="AC118" s="613"/>
    </row>
    <row r="119" spans="1:29" ht="30" customHeight="1" x14ac:dyDescent="0.2">
      <c r="A119" s="1193"/>
      <c r="B119" s="1194"/>
      <c r="C119" s="917" t="s">
        <v>664</v>
      </c>
      <c r="D119" s="1139"/>
      <c r="E119" s="1180"/>
      <c r="F119" s="922">
        <v>752.29499999999996</v>
      </c>
      <c r="G119" s="923">
        <v>0.1</v>
      </c>
      <c r="H119" s="924">
        <v>0.81399999999999995</v>
      </c>
      <c r="I119" s="965">
        <v>6.8000000000000005E-2</v>
      </c>
      <c r="J119" s="922">
        <v>2.04</v>
      </c>
      <c r="K119" s="1005" t="s">
        <v>142</v>
      </c>
      <c r="L119" s="1198" t="s">
        <v>198</v>
      </c>
      <c r="O119" s="613"/>
      <c r="P119" s="613"/>
      <c r="Q119" s="613"/>
      <c r="R119" s="613"/>
      <c r="S119" s="613"/>
      <c r="T119" s="613"/>
      <c r="U119" s="613"/>
      <c r="V119" s="613"/>
      <c r="W119" s="613"/>
      <c r="X119" s="613"/>
      <c r="Y119" s="613"/>
      <c r="Z119" s="613"/>
      <c r="AA119" s="613"/>
      <c r="AB119" s="613"/>
      <c r="AC119" s="613"/>
    </row>
    <row r="120" spans="1:29" ht="30.75" thickBot="1" x14ac:dyDescent="0.25">
      <c r="A120" s="1195"/>
      <c r="B120" s="1196"/>
      <c r="C120" s="918" t="s">
        <v>665</v>
      </c>
      <c r="D120" s="1140"/>
      <c r="E120" s="1181"/>
      <c r="F120" s="935">
        <v>999.72299999999996</v>
      </c>
      <c r="G120" s="927">
        <v>0.1</v>
      </c>
      <c r="H120" s="927">
        <v>0.54900000000000004</v>
      </c>
      <c r="I120" s="1006">
        <v>7.1999999999999995E-2</v>
      </c>
      <c r="J120" s="930">
        <v>2.04</v>
      </c>
      <c r="K120" s="1007" t="s">
        <v>142</v>
      </c>
      <c r="L120" s="1199"/>
      <c r="O120" s="613"/>
      <c r="P120" s="613"/>
      <c r="Q120" s="613"/>
      <c r="R120" s="613"/>
      <c r="S120" s="613"/>
      <c r="T120" s="613"/>
      <c r="U120" s="613"/>
      <c r="V120" s="613"/>
      <c r="W120" s="613"/>
      <c r="X120" s="613"/>
      <c r="Y120" s="613"/>
      <c r="Z120" s="613"/>
      <c r="AA120" s="613"/>
      <c r="AB120" s="613"/>
      <c r="AC120" s="613"/>
    </row>
    <row r="121" spans="1:29" ht="30" customHeight="1" thickBot="1" x14ac:dyDescent="0.25">
      <c r="A121" s="760"/>
      <c r="B121" s="691"/>
      <c r="C121" s="14"/>
      <c r="D121" s="589"/>
      <c r="E121" s="761"/>
      <c r="F121" s="303"/>
      <c r="G121" s="303"/>
      <c r="H121" s="304"/>
      <c r="I121" s="305"/>
      <c r="J121" s="426"/>
      <c r="K121" s="306"/>
      <c r="L121" s="305"/>
      <c r="O121" s="613"/>
      <c r="P121" s="613"/>
      <c r="Q121" s="613"/>
      <c r="R121" s="613"/>
      <c r="S121" s="613"/>
      <c r="T121" s="613"/>
      <c r="U121" s="613"/>
      <c r="V121" s="613"/>
      <c r="W121" s="613"/>
      <c r="X121" s="613"/>
      <c r="Y121" s="613"/>
      <c r="Z121" s="613"/>
      <c r="AA121" s="613"/>
      <c r="AB121" s="613"/>
      <c r="AC121" s="613"/>
    </row>
    <row r="122" spans="1:29" ht="32.25" thickBot="1" x14ac:dyDescent="0.25">
      <c r="A122" s="760"/>
      <c r="B122" s="647" t="s">
        <v>123</v>
      </c>
      <c r="C122" s="762" t="str">
        <f>D131</f>
        <v>Fabricante</v>
      </c>
      <c r="D122" s="648" t="str">
        <f>E36</f>
        <v>Identificación / Serie</v>
      </c>
      <c r="E122" s="648">
        <f>S66</f>
        <v>0</v>
      </c>
      <c r="F122" s="648">
        <f>T66</f>
        <v>0</v>
      </c>
      <c r="G122" s="648" t="s">
        <v>36</v>
      </c>
      <c r="H122" s="648" t="s">
        <v>199</v>
      </c>
      <c r="I122" s="648" t="s">
        <v>133</v>
      </c>
      <c r="J122" s="648" t="s">
        <v>79</v>
      </c>
      <c r="K122" s="648" t="s">
        <v>80</v>
      </c>
      <c r="L122" s="648" t="s">
        <v>200</v>
      </c>
      <c r="M122" s="648" t="s">
        <v>201</v>
      </c>
      <c r="N122" s="648" t="s">
        <v>202</v>
      </c>
      <c r="O122" s="651" t="s">
        <v>203</v>
      </c>
      <c r="Q122" s="613"/>
      <c r="R122" s="613"/>
      <c r="S122" s="613"/>
      <c r="T122" s="613"/>
      <c r="U122" s="613"/>
      <c r="V122" s="613"/>
      <c r="W122" s="613"/>
      <c r="X122" s="613"/>
      <c r="Y122" s="613"/>
      <c r="Z122" s="613"/>
      <c r="AA122" s="613"/>
      <c r="AB122" s="613"/>
      <c r="AC122" s="613"/>
    </row>
    <row r="123" spans="1:29" ht="30" customHeight="1" thickBot="1" x14ac:dyDescent="0.25">
      <c r="A123" s="760"/>
      <c r="B123" s="763"/>
      <c r="C123" s="764"/>
      <c r="D123" s="764"/>
      <c r="E123" s="764"/>
      <c r="F123" s="764"/>
      <c r="G123" s="764"/>
      <c r="H123" s="764"/>
      <c r="I123" s="764"/>
      <c r="J123" s="764"/>
      <c r="K123" s="764"/>
      <c r="L123" s="764"/>
      <c r="M123" s="764"/>
      <c r="N123" s="764"/>
      <c r="O123" s="765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</row>
    <row r="124" spans="1:29" ht="54.75" customHeight="1" x14ac:dyDescent="0.2">
      <c r="A124" s="760"/>
      <c r="B124" s="518" t="str">
        <f>O69</f>
        <v>V-002</v>
      </c>
      <c r="C124" s="510" t="str">
        <f>D68</f>
        <v>Lufft</v>
      </c>
      <c r="D124" s="519" t="str">
        <f>E68</f>
        <v>0,23.0714.0802.024 C-I V-002</v>
      </c>
      <c r="E124" s="520" t="str">
        <f>K68&amp;" "&amp;K71&amp;" "&amp;K74</f>
        <v>2023-04-24 2023-05-08 2023-03-28</v>
      </c>
      <c r="F124" s="510" t="str">
        <f>L68&amp;" "&amp;L71&amp;" "&amp;L74</f>
        <v>INM 6638 INM 6667 INM 6588</v>
      </c>
      <c r="G124" s="510">
        <f>P70</f>
        <v>0.2</v>
      </c>
      <c r="H124" s="510">
        <f>Q70</f>
        <v>1.7</v>
      </c>
      <c r="I124" s="521">
        <f>R70</f>
        <v>7.0999999999999994E-2</v>
      </c>
      <c r="J124" s="522">
        <f>SLOPE(H68:H70,F68:F70)</f>
        <v>1.666666666666667E-2</v>
      </c>
      <c r="K124" s="523">
        <f>INTERCEPT(H68:H70,F68:F70)</f>
        <v>-0.46833333333333338</v>
      </c>
      <c r="L124" s="523">
        <f>SLOPE(H71:H73,F71:F73)</f>
        <v>0.11866584239707899</v>
      </c>
      <c r="M124" s="523">
        <f>INTERCEPT(H71:H73,F71:F73)</f>
        <v>-7.2334205899967152</v>
      </c>
      <c r="N124" s="523">
        <f>SLOPE(H74:H76,F74:F76)</f>
        <v>-2.0270775942858531E-3</v>
      </c>
      <c r="O124" s="524">
        <f>INTERCEPT(H74:H76,F74:F76)</f>
        <v>2.6545265831478346</v>
      </c>
      <c r="Q124" s="613"/>
      <c r="R124" s="613"/>
      <c r="S124" s="613"/>
      <c r="T124" s="613"/>
      <c r="U124" s="613"/>
      <c r="V124" s="613"/>
      <c r="W124" s="613"/>
      <c r="X124" s="613"/>
      <c r="Y124" s="613"/>
      <c r="Z124" s="613"/>
      <c r="AA124" s="613"/>
      <c r="AB124" s="613"/>
      <c r="AC124" s="613"/>
    </row>
    <row r="125" spans="1:29" ht="56.25" customHeight="1" x14ac:dyDescent="0.2">
      <c r="A125" s="760"/>
      <c r="B125" s="525" t="str">
        <f>O79</f>
        <v xml:space="preserve">M-010 </v>
      </c>
      <c r="C125" s="513" t="str">
        <f>D79</f>
        <v>Lufft</v>
      </c>
      <c r="D125" s="526" t="str">
        <f>E79</f>
        <v>0,26.0714.0802.024 C-I M-010</v>
      </c>
      <c r="E125" s="527" t="str">
        <f>K79&amp;" "&amp;K82&amp;" "&amp;K85</f>
        <v>2023-04-05 2023-04-03 2023-03-28</v>
      </c>
      <c r="F125" s="513" t="str">
        <f>L79&amp;" "&amp;L82&amp;" "&amp;L85</f>
        <v>INM 6603 INM 6596 INM 6591</v>
      </c>
      <c r="G125" s="327">
        <f>P80</f>
        <v>0.2</v>
      </c>
      <c r="H125" s="327">
        <f>Q80</f>
        <v>1.7</v>
      </c>
      <c r="I125" s="556">
        <f>R80</f>
        <v>7.1999999999999995E-2</v>
      </c>
      <c r="J125" s="766">
        <f>SLOPE(H79:H81,F79:F81)</f>
        <v>-3.7023324694558115E-4</v>
      </c>
      <c r="K125" s="766">
        <f>INTERCEPT(H79:H81,F79:F81)</f>
        <v>-2.5546094039244609E-2</v>
      </c>
      <c r="L125" s="766">
        <f>SLOPE(H82:H84,F82:F84)</f>
        <v>0.13619031169452342</v>
      </c>
      <c r="M125" s="766">
        <f>INTERCEPT(H82:H84,F82:F84)</f>
        <v>-8.2509114341136769</v>
      </c>
      <c r="N125" s="766">
        <f>SLOPE(H85:H87,F85:F87)</f>
        <v>-1.6281121481284658E-3</v>
      </c>
      <c r="O125" s="767">
        <f>INTERCEPT(H85:H87,F85:F87)</f>
        <v>2.3349170926516285</v>
      </c>
      <c r="Q125" s="613"/>
      <c r="R125" s="613"/>
      <c r="S125" s="613"/>
      <c r="T125" s="613"/>
      <c r="U125" s="613"/>
      <c r="V125" s="613"/>
      <c r="W125" s="613"/>
      <c r="X125" s="613"/>
      <c r="Y125" s="613"/>
      <c r="Z125" s="613"/>
      <c r="AA125" s="613"/>
      <c r="AB125" s="613"/>
      <c r="AC125" s="613"/>
    </row>
    <row r="126" spans="1:29" ht="58.5" customHeight="1" x14ac:dyDescent="0.2">
      <c r="A126" s="760"/>
      <c r="B126" s="525" t="str">
        <f>O90</f>
        <v xml:space="preserve">M-011  </v>
      </c>
      <c r="C126" s="513" t="str">
        <f>D90</f>
        <v>Lufft</v>
      </c>
      <c r="D126" s="526" t="str">
        <f>E90</f>
        <v>0,22.0714.0802.024</v>
      </c>
      <c r="E126" s="527" t="str">
        <f>K90&amp;" "&amp;K93&amp;" "&amp;K96</f>
        <v>2021-06-25 2021-06-23 2021-05-31</v>
      </c>
      <c r="F126" s="513" t="str">
        <f>L90&amp;" "&amp;L93&amp;" "&amp;L96</f>
        <v>INM 5286 INM 5287 INM 5239</v>
      </c>
      <c r="G126" s="556">
        <f>P91</f>
        <v>0.2</v>
      </c>
      <c r="H126" s="556">
        <f>Q91</f>
        <v>1.7</v>
      </c>
      <c r="I126" s="556">
        <f>R91</f>
        <v>8.7999999999999995E-2</v>
      </c>
      <c r="J126" s="766">
        <f>SLOPE(H90:H92,F90:F92)</f>
        <v>7.1428571428571426E-3</v>
      </c>
      <c r="K126" s="766">
        <f>INTERCEPT(H92:H94,F92:F94)</f>
        <v>-1.5912339410723908</v>
      </c>
      <c r="L126" s="766">
        <f>SLOPE(H92:H94,F92:F94)</f>
        <v>3.2694822678667711E-3</v>
      </c>
      <c r="M126" s="766">
        <f>INTERCEPT(H93:H95,F93:F95)</f>
        <v>-8.6687968530171435</v>
      </c>
      <c r="N126" s="766">
        <f>SLOPE(H96:H98,F96:F98)</f>
        <v>-2.0810757363394542E-3</v>
      </c>
      <c r="O126" s="767">
        <f>INTERCEPT(H96:H98,F96:F98)</f>
        <v>2.6117362023027515</v>
      </c>
      <c r="Q126" s="613"/>
      <c r="R126" s="613"/>
      <c r="S126" s="613"/>
      <c r="T126" s="613"/>
      <c r="U126" s="613"/>
      <c r="V126" s="613"/>
      <c r="W126" s="613"/>
      <c r="X126" s="613"/>
      <c r="Y126" s="613"/>
      <c r="Z126" s="613"/>
      <c r="AA126" s="613"/>
      <c r="AB126" s="613"/>
      <c r="AC126" s="613"/>
    </row>
    <row r="127" spans="1:29" ht="51" customHeight="1" x14ac:dyDescent="0.2">
      <c r="A127" s="760"/>
      <c r="B127" s="525" t="str">
        <f>O101</f>
        <v>M-012</v>
      </c>
      <c r="C127" s="513" t="str">
        <f>D101</f>
        <v>Lufft</v>
      </c>
      <c r="D127" s="526" t="str">
        <f>E101</f>
        <v>19506160802033 C-I M-012</v>
      </c>
      <c r="E127" s="527" t="str">
        <f>K101&amp;" "&amp;K104&amp;" "&amp;K107</f>
        <v>2023-04-11 2023-04-03 2023-03-28</v>
      </c>
      <c r="F127" s="513" t="str">
        <f>L101&amp;" "&amp;L104&amp;" "&amp;L107</f>
        <v>INM 6608 INM 6597 INM 6390</v>
      </c>
      <c r="G127" s="556">
        <f>P102</f>
        <v>0.2</v>
      </c>
      <c r="H127" s="556">
        <f>Q102</f>
        <v>1.7</v>
      </c>
      <c r="I127" s="556">
        <f>R102</f>
        <v>7.3999999999999996E-2</v>
      </c>
      <c r="J127" s="766">
        <f>SLOPE(H101:H103,F101:F103)</f>
        <v>-3.3332222259257967E-5</v>
      </c>
      <c r="K127" s="766">
        <f>INTERCEPT(H101:H103,F101:F103)</f>
        <v>6.7497750074997503E-2</v>
      </c>
      <c r="L127" s="766">
        <f>SLOPE(H104:H106,F104:F106)</f>
        <v>0.1041354303243979</v>
      </c>
      <c r="M127" s="766">
        <f>INTERCEPT(H104:H106,F104:F106)</f>
        <v>-6.3475615264455492</v>
      </c>
      <c r="N127" s="766">
        <f>SLOPE(H107:H109,F107:F109)</f>
        <v>-2.0871700429711468E-3</v>
      </c>
      <c r="O127" s="767">
        <f>INTERCEPT(H107:H109,F107:F109)</f>
        <v>2.7851696746470216</v>
      </c>
      <c r="Q127" s="613"/>
      <c r="R127" s="613"/>
      <c r="S127" s="613"/>
      <c r="T127" s="613"/>
      <c r="U127" s="613"/>
      <c r="V127" s="613"/>
      <c r="W127" s="613"/>
      <c r="X127" s="613"/>
      <c r="Y127" s="613"/>
      <c r="Z127" s="613"/>
      <c r="AA127" s="613"/>
      <c r="AB127" s="613"/>
      <c r="AC127" s="613"/>
    </row>
    <row r="128" spans="1:29" ht="69" customHeight="1" thickBot="1" x14ac:dyDescent="0.25">
      <c r="A128" s="760"/>
      <c r="B128" s="528" t="str">
        <f>O112</f>
        <v>M-013</v>
      </c>
      <c r="C128" s="529" t="str">
        <f>D112</f>
        <v>Lufft</v>
      </c>
      <c r="D128" s="530" t="str">
        <f>E112</f>
        <v>19406160802033 C-I M-013</v>
      </c>
      <c r="E128" s="531" t="str">
        <f>K112&amp;" "&amp;K115&amp;" "&amp;K118</f>
        <v>2023-04-24 2023-05-08 2023-03-28</v>
      </c>
      <c r="F128" s="529" t="str">
        <f>L112&amp;" "&amp;L115&amp;" "&amp;L118</f>
        <v>INM 6639 INM 6668 INM 6593</v>
      </c>
      <c r="G128" s="768">
        <f>P113</f>
        <v>0.2</v>
      </c>
      <c r="H128" s="768">
        <f>Q113</f>
        <v>1.7</v>
      </c>
      <c r="I128" s="768">
        <f>R113</f>
        <v>7.1999999999999995E-2</v>
      </c>
      <c r="J128" s="769">
        <f>SLOPE(H112:H114,F112:F114)</f>
        <v>0</v>
      </c>
      <c r="K128" s="769">
        <f>INTERCEPT(H112:H114,F112:F114)</f>
        <v>0</v>
      </c>
      <c r="L128" s="769">
        <f>SLOPE(H115:H117,F115:F117)</f>
        <v>4.1942481438411318E-2</v>
      </c>
      <c r="M128" s="769">
        <f>INTERCEPT(H115:H117,F115:F117)</f>
        <v>-4.2643785222291806</v>
      </c>
      <c r="N128" s="769">
        <f>SLOPE(H118:H120,F118:F120)</f>
        <v>-1.9171899010460003E-3</v>
      </c>
      <c r="O128" s="770">
        <f>INTERCEPT(H118:H120,F118:F120)</f>
        <v>2.3881734753616817</v>
      </c>
      <c r="Q128" s="613"/>
      <c r="R128" s="613"/>
      <c r="S128" s="613"/>
      <c r="T128" s="613"/>
      <c r="U128" s="613"/>
      <c r="V128" s="613"/>
      <c r="W128" s="613"/>
      <c r="X128" s="613"/>
      <c r="Y128" s="613"/>
      <c r="Z128" s="613"/>
      <c r="AA128" s="613"/>
      <c r="AB128" s="613"/>
      <c r="AC128" s="613"/>
    </row>
    <row r="129" spans="1:35" ht="30" customHeight="1" thickBot="1" x14ac:dyDescent="0.25">
      <c r="A129" s="646"/>
      <c r="K129" s="588"/>
      <c r="O129" s="613"/>
      <c r="W129" s="613"/>
      <c r="X129" s="613"/>
      <c r="Y129" s="613"/>
      <c r="Z129" s="613"/>
      <c r="AA129" s="613"/>
      <c r="AB129" s="613"/>
      <c r="AC129" s="613"/>
    </row>
    <row r="130" spans="1:35" ht="30" customHeight="1" thickBot="1" x14ac:dyDescent="0.25">
      <c r="A130" s="646"/>
      <c r="B130" s="1114" t="s">
        <v>204</v>
      </c>
      <c r="C130" s="1115"/>
      <c r="D130" s="1133"/>
      <c r="E130" s="1133"/>
      <c r="F130" s="1133"/>
      <c r="G130" s="1133"/>
      <c r="H130" s="1133"/>
      <c r="I130" s="1133"/>
      <c r="J130" s="1133"/>
      <c r="K130" s="1133"/>
      <c r="L130" s="1133"/>
      <c r="M130" s="1133"/>
      <c r="N130" s="1133"/>
      <c r="O130" s="1133"/>
      <c r="P130" s="1133"/>
      <c r="Q130" s="1133"/>
      <c r="R130" s="1133"/>
      <c r="S130" s="1133"/>
      <c r="T130" s="1133"/>
      <c r="U130" s="1133"/>
      <c r="V130" s="1133"/>
      <c r="W130" s="1134"/>
      <c r="X130" s="613"/>
      <c r="Y130" s="613"/>
      <c r="Z130" s="613"/>
      <c r="AA130" s="613"/>
      <c r="AB130" s="613"/>
      <c r="AC130" s="613"/>
    </row>
    <row r="131" spans="1:35" ht="60" customHeight="1" thickBot="1" x14ac:dyDescent="0.25">
      <c r="A131" s="646"/>
      <c r="B131" s="1204" t="s">
        <v>205</v>
      </c>
      <c r="C131" s="771"/>
      <c r="D131" s="772" t="s">
        <v>24</v>
      </c>
      <c r="E131" s="773" t="s">
        <v>65</v>
      </c>
      <c r="F131" s="969" t="s">
        <v>78</v>
      </c>
      <c r="G131" s="773" t="s">
        <v>67</v>
      </c>
      <c r="H131" s="773" t="s">
        <v>68</v>
      </c>
      <c r="I131" s="773" t="s">
        <v>69</v>
      </c>
      <c r="J131" s="773" t="s">
        <v>70</v>
      </c>
      <c r="K131" s="774" t="s">
        <v>5</v>
      </c>
      <c r="L131" s="773" t="s">
        <v>206</v>
      </c>
      <c r="M131" s="773" t="s">
        <v>207</v>
      </c>
      <c r="N131" s="773" t="s">
        <v>208</v>
      </c>
      <c r="O131" s="773" t="s">
        <v>209</v>
      </c>
      <c r="P131" s="775" t="s">
        <v>74</v>
      </c>
      <c r="Q131" s="773" t="s">
        <v>210</v>
      </c>
      <c r="R131" s="773" t="s">
        <v>211</v>
      </c>
      <c r="S131" s="775" t="s">
        <v>74</v>
      </c>
      <c r="T131" s="773" t="s">
        <v>212</v>
      </c>
      <c r="U131" s="773" t="s">
        <v>213</v>
      </c>
      <c r="V131" s="775" t="s">
        <v>74</v>
      </c>
      <c r="W131" s="776" t="s">
        <v>214</v>
      </c>
      <c r="X131" s="613"/>
      <c r="Y131" s="613"/>
      <c r="Z131" s="613"/>
      <c r="AA131" s="613"/>
      <c r="AB131" s="613"/>
      <c r="AC131" s="1114" t="s">
        <v>215</v>
      </c>
      <c r="AD131" s="1115"/>
      <c r="AE131" s="1115"/>
      <c r="AF131" s="1116"/>
      <c r="AG131" s="613"/>
      <c r="AH131" s="1102" t="s">
        <v>216</v>
      </c>
      <c r="AI131" s="1104"/>
    </row>
    <row r="132" spans="1:35" ht="30" customHeight="1" thickBot="1" x14ac:dyDescent="0.25">
      <c r="A132" s="646"/>
      <c r="B132" s="1205"/>
      <c r="C132" s="777"/>
      <c r="D132" s="653"/>
      <c r="E132" s="778"/>
      <c r="F132" s="778"/>
      <c r="G132" s="778"/>
      <c r="H132" s="778"/>
      <c r="I132" s="778"/>
      <c r="J132" s="778"/>
      <c r="K132" s="779"/>
      <c r="L132" s="779"/>
      <c r="M132" s="779"/>
      <c r="N132" s="675"/>
      <c r="O132" s="780"/>
      <c r="P132" s="675"/>
      <c r="Q132" s="675"/>
      <c r="R132" s="675"/>
      <c r="S132" s="675"/>
      <c r="T132" s="676"/>
      <c r="U132" s="676"/>
      <c r="V132" s="676"/>
      <c r="W132" s="678"/>
      <c r="AA132" s="613"/>
      <c r="AB132" s="613"/>
      <c r="AC132" s="1200" t="s">
        <v>217</v>
      </c>
      <c r="AD132" s="1201"/>
      <c r="AE132" s="1201"/>
      <c r="AF132" s="1202"/>
      <c r="AG132" s="613"/>
      <c r="AH132" s="781"/>
      <c r="AI132" s="782"/>
    </row>
    <row r="133" spans="1:35" ht="33.950000000000003" customHeight="1" thickBot="1" x14ac:dyDescent="0.25">
      <c r="A133" s="646"/>
      <c r="B133" s="1206"/>
      <c r="C133" s="708" t="s">
        <v>218</v>
      </c>
      <c r="D133" s="347" t="s">
        <v>219</v>
      </c>
      <c r="E133" s="347">
        <v>5295</v>
      </c>
      <c r="F133" s="347">
        <v>5</v>
      </c>
      <c r="G133" s="347">
        <v>0.05</v>
      </c>
      <c r="H133" s="347">
        <v>5.4999999999999997E-3</v>
      </c>
      <c r="I133" s="347">
        <v>2.0999999999999999E-3</v>
      </c>
      <c r="J133" s="347">
        <v>2</v>
      </c>
      <c r="K133" s="783">
        <v>44469</v>
      </c>
      <c r="L133" s="347" t="s">
        <v>220</v>
      </c>
      <c r="M133" s="784" t="s">
        <v>221</v>
      </c>
      <c r="N133" s="785">
        <v>4.4999999999999997E-3</v>
      </c>
      <c r="O133" s="510">
        <v>4.4999999999999997E-3</v>
      </c>
      <c r="P133" s="786">
        <v>0</v>
      </c>
      <c r="Q133" s="510">
        <v>-6.0000000000000001E-3</v>
      </c>
      <c r="R133" s="510">
        <v>-6.0000000000000001E-3</v>
      </c>
      <c r="S133" s="786">
        <v>0</v>
      </c>
      <c r="T133" s="510">
        <v>-5.4999999999999997E-3</v>
      </c>
      <c r="U133" s="510">
        <v>-5.4999999999999997E-3</v>
      </c>
      <c r="V133" s="786">
        <f>T133-U133</f>
        <v>0</v>
      </c>
      <c r="W133" s="787">
        <v>0</v>
      </c>
      <c r="AA133" s="613"/>
      <c r="AB133" s="613"/>
      <c r="AC133" s="788" t="s">
        <v>2</v>
      </c>
      <c r="AD133" s="789" t="s">
        <v>222</v>
      </c>
      <c r="AE133" s="790" t="s">
        <v>223</v>
      </c>
      <c r="AF133" s="791" t="s">
        <v>224</v>
      </c>
      <c r="AG133" s="613"/>
      <c r="AH133" s="792" t="s">
        <v>225</v>
      </c>
      <c r="AI133" s="793" t="s">
        <v>226</v>
      </c>
    </row>
    <row r="134" spans="1:35" ht="33.950000000000003" customHeight="1" x14ac:dyDescent="0.2">
      <c r="A134" s="646"/>
      <c r="B134" s="1206"/>
      <c r="C134" s="711" t="s">
        <v>227</v>
      </c>
      <c r="D134" s="350" t="s">
        <v>219</v>
      </c>
      <c r="E134" s="350">
        <v>27760</v>
      </c>
      <c r="F134" s="350">
        <v>5.032</v>
      </c>
      <c r="G134" s="350">
        <v>0.05</v>
      </c>
      <c r="H134" s="350">
        <v>-3.2000000000000001E-2</v>
      </c>
      <c r="I134" s="350">
        <v>1.0999999999999999E-2</v>
      </c>
      <c r="J134" s="579">
        <v>2.0299999999999998</v>
      </c>
      <c r="K134" s="783">
        <v>44631</v>
      </c>
      <c r="L134" s="794" t="s">
        <v>228</v>
      </c>
      <c r="M134" s="795" t="s">
        <v>229</v>
      </c>
      <c r="N134" s="796">
        <v>1.006</v>
      </c>
      <c r="O134" s="797">
        <v>1.006</v>
      </c>
      <c r="P134" s="798">
        <v>0</v>
      </c>
      <c r="Q134" s="513">
        <v>3.0169999999999999</v>
      </c>
      <c r="R134" s="513">
        <v>3.0169999999999999</v>
      </c>
      <c r="S134" s="798">
        <v>0</v>
      </c>
      <c r="T134" s="513">
        <v>5.032</v>
      </c>
      <c r="U134" s="513">
        <v>5.0199999999999996</v>
      </c>
      <c r="V134" s="798">
        <f>T134-U134</f>
        <v>1.2000000000000455E-2</v>
      </c>
      <c r="W134" s="799">
        <f>MAX(V134,S134,P134)</f>
        <v>1.2000000000000455E-2</v>
      </c>
      <c r="AA134" s="613"/>
      <c r="AB134" s="613"/>
      <c r="AC134" s="800"/>
      <c r="AD134" s="801"/>
      <c r="AE134" s="801"/>
      <c r="AF134" s="802"/>
      <c r="AG134" s="613"/>
      <c r="AH134" s="803" t="s">
        <v>230</v>
      </c>
      <c r="AI134" s="804"/>
    </row>
    <row r="135" spans="1:35" ht="33.950000000000003" customHeight="1" x14ac:dyDescent="0.2">
      <c r="A135" s="646"/>
      <c r="B135" s="1206"/>
      <c r="C135" s="711" t="s">
        <v>231</v>
      </c>
      <c r="D135" s="350" t="s">
        <v>219</v>
      </c>
      <c r="E135" s="350">
        <v>5293</v>
      </c>
      <c r="F135" s="350">
        <v>9.98</v>
      </c>
      <c r="G135" s="350">
        <v>0.1</v>
      </c>
      <c r="H135" s="350">
        <v>1.4E-2</v>
      </c>
      <c r="I135" s="350">
        <v>1.6000000000000001E-3</v>
      </c>
      <c r="J135" s="350">
        <v>2</v>
      </c>
      <c r="K135" s="783">
        <v>44469</v>
      </c>
      <c r="L135" s="794" t="s">
        <v>232</v>
      </c>
      <c r="M135" s="795" t="s">
        <v>233</v>
      </c>
      <c r="N135" s="796">
        <v>-1.8E-3</v>
      </c>
      <c r="O135" s="513">
        <v>-1.8E-3</v>
      </c>
      <c r="P135" s="798">
        <v>0</v>
      </c>
      <c r="Q135" s="513">
        <v>-1.8E-3</v>
      </c>
      <c r="R135" s="513">
        <v>-1.8E-3</v>
      </c>
      <c r="S135" s="798">
        <v>0</v>
      </c>
      <c r="T135" s="513">
        <v>-1.41E-2</v>
      </c>
      <c r="U135" s="513">
        <v>-1.41E-2</v>
      </c>
      <c r="V135" s="798">
        <f>T135-U135</f>
        <v>0</v>
      </c>
      <c r="W135" s="799">
        <v>0</v>
      </c>
      <c r="AA135" s="613"/>
      <c r="AB135" s="613"/>
      <c r="AC135" s="711" t="s">
        <v>234</v>
      </c>
      <c r="AD135" s="350">
        <v>0.25</v>
      </c>
      <c r="AE135" s="350">
        <v>80</v>
      </c>
      <c r="AF135" s="805">
        <f>AF136/2</f>
        <v>4.0967649999999995</v>
      </c>
      <c r="AG135" s="613"/>
      <c r="AH135" s="711">
        <v>316</v>
      </c>
      <c r="AI135" s="804">
        <v>4.7700000000000001E-5</v>
      </c>
    </row>
    <row r="136" spans="1:35" ht="33.950000000000003" customHeight="1" x14ac:dyDescent="0.2">
      <c r="A136" s="646"/>
      <c r="B136" s="1206"/>
      <c r="C136" s="711" t="s">
        <v>235</v>
      </c>
      <c r="D136" s="350" t="s">
        <v>219</v>
      </c>
      <c r="E136" s="350">
        <v>27761</v>
      </c>
      <c r="F136" s="350">
        <v>10.048999999999999</v>
      </c>
      <c r="G136" s="350">
        <v>0.1</v>
      </c>
      <c r="H136" s="350">
        <v>4.9000000000000002E-2</v>
      </c>
      <c r="I136" s="350">
        <v>2.1000000000000001E-2</v>
      </c>
      <c r="J136" s="291">
        <v>2.02</v>
      </c>
      <c r="K136" s="783">
        <v>44693</v>
      </c>
      <c r="L136" s="794" t="s">
        <v>236</v>
      </c>
      <c r="M136" s="795" t="s">
        <v>237</v>
      </c>
      <c r="N136" s="796">
        <v>1.004</v>
      </c>
      <c r="O136" s="556">
        <v>1</v>
      </c>
      <c r="P136" s="797">
        <f>ABS(N136-O136)</f>
        <v>4.0000000000000036E-3</v>
      </c>
      <c r="Q136" s="513">
        <v>5.0309999999999997</v>
      </c>
      <c r="R136" s="513">
        <v>5.01</v>
      </c>
      <c r="S136" s="798">
        <f>ABS(Q136-R136)</f>
        <v>2.0999999999999908E-2</v>
      </c>
      <c r="T136" s="513">
        <v>10.048999999999999</v>
      </c>
      <c r="U136" s="513">
        <v>10.02</v>
      </c>
      <c r="V136" s="798">
        <f>ABS(T136-U136)</f>
        <v>2.8999999999999915E-2</v>
      </c>
      <c r="W136" s="799">
        <f>MAX(V136,S136,P136)</f>
        <v>2.8999999999999915E-2</v>
      </c>
      <c r="AA136" s="613"/>
      <c r="AB136" s="613"/>
      <c r="AC136" s="711" t="s">
        <v>238</v>
      </c>
      <c r="AD136" s="350">
        <v>0.5</v>
      </c>
      <c r="AE136" s="350">
        <v>40</v>
      </c>
      <c r="AF136" s="805">
        <f>AF137/2</f>
        <v>8.1935299999999991</v>
      </c>
      <c r="AG136" s="613"/>
      <c r="AH136" s="711">
        <v>304</v>
      </c>
      <c r="AI136" s="804">
        <v>5.1799999999999999E-5</v>
      </c>
    </row>
    <row r="137" spans="1:35" ht="33.950000000000003" customHeight="1" thickBot="1" x14ac:dyDescent="0.25">
      <c r="A137" s="646"/>
      <c r="B137" s="1207"/>
      <c r="C137" s="715" t="s">
        <v>239</v>
      </c>
      <c r="D137" s="352" t="s">
        <v>219</v>
      </c>
      <c r="E137" s="352">
        <v>27762</v>
      </c>
      <c r="F137" s="352">
        <v>25.085999999999999</v>
      </c>
      <c r="G137" s="352">
        <v>0.1</v>
      </c>
      <c r="H137" s="352">
        <v>8.5999999999999993E-2</v>
      </c>
      <c r="I137" s="352">
        <v>5.8000000000000003E-2</v>
      </c>
      <c r="J137" s="661">
        <v>2.02</v>
      </c>
      <c r="K137" s="806">
        <v>44691</v>
      </c>
      <c r="L137" s="660" t="s">
        <v>240</v>
      </c>
      <c r="M137" s="807" t="s">
        <v>241</v>
      </c>
      <c r="N137" s="909">
        <v>2.5099999999999998</v>
      </c>
      <c r="O137" s="768">
        <v>2.48</v>
      </c>
      <c r="P137" s="662">
        <f>ABS(N137-O137)</f>
        <v>2.9999999999999805E-2</v>
      </c>
      <c r="Q137" s="529">
        <v>12.564</v>
      </c>
      <c r="R137" s="529">
        <v>12.5</v>
      </c>
      <c r="S137" s="808">
        <f>ABS(Q137-R137)</f>
        <v>6.4000000000000057E-2</v>
      </c>
      <c r="T137" s="529">
        <v>25.085999999999999</v>
      </c>
      <c r="U137" s="529">
        <v>24.8</v>
      </c>
      <c r="V137" s="662">
        <f>T137-U137</f>
        <v>0.28599999999999781</v>
      </c>
      <c r="W137" s="910">
        <f>MAX(V137,S137,P137)</f>
        <v>0.28599999999999781</v>
      </c>
      <c r="AA137" s="613"/>
      <c r="AB137" s="613"/>
      <c r="AC137" s="711" t="s">
        <v>242</v>
      </c>
      <c r="AD137" s="350">
        <v>1</v>
      </c>
      <c r="AE137" s="350">
        <v>20</v>
      </c>
      <c r="AF137" s="805">
        <v>16.387059999999998</v>
      </c>
      <c r="AG137" s="613"/>
      <c r="AH137" s="711"/>
      <c r="AI137" s="804"/>
    </row>
    <row r="138" spans="1:35" ht="30" customHeight="1" thickBot="1" x14ac:dyDescent="0.25">
      <c r="A138" s="646"/>
      <c r="K138" s="588"/>
      <c r="O138" s="613"/>
      <c r="T138" s="613"/>
      <c r="U138" s="613"/>
      <c r="V138" s="613"/>
      <c r="AA138" s="613"/>
      <c r="AB138" s="613"/>
      <c r="AC138" s="711" t="s">
        <v>243</v>
      </c>
      <c r="AD138" s="350">
        <v>0.57999999999999996</v>
      </c>
      <c r="AE138" s="350">
        <v>40</v>
      </c>
      <c r="AF138" s="423">
        <v>9.4635274999999996</v>
      </c>
      <c r="AG138" s="613"/>
      <c r="AH138" s="715"/>
      <c r="AI138" s="809"/>
    </row>
    <row r="139" spans="1:35" ht="30" customHeight="1" thickBot="1" x14ac:dyDescent="0.25">
      <c r="A139" s="646"/>
      <c r="B139" s="1114" t="s">
        <v>204</v>
      </c>
      <c r="C139" s="1115"/>
      <c r="D139" s="1133"/>
      <c r="E139" s="1133"/>
      <c r="F139" s="1133"/>
      <c r="G139" s="1133"/>
      <c r="H139" s="1133"/>
      <c r="I139" s="1133"/>
      <c r="J139" s="1133"/>
      <c r="K139" s="1133"/>
      <c r="L139" s="1133"/>
      <c r="M139" s="1133"/>
      <c r="N139" s="1133"/>
      <c r="O139" s="1133"/>
      <c r="P139" s="1133"/>
      <c r="Q139" s="1133"/>
      <c r="R139" s="1133"/>
      <c r="S139" s="1133"/>
      <c r="T139" s="1133"/>
      <c r="U139" s="1133"/>
      <c r="V139" s="1133"/>
      <c r="W139" s="1133"/>
      <c r="X139" s="1133"/>
      <c r="Y139" s="1133"/>
      <c r="Z139" s="1133"/>
      <c r="AA139" s="1134"/>
      <c r="AB139" s="613"/>
      <c r="AC139" s="810">
        <v>5.0000000000000001E-4</v>
      </c>
      <c r="AD139" s="352">
        <v>5.8000000000000003E-2</v>
      </c>
      <c r="AE139" s="352">
        <v>40</v>
      </c>
      <c r="AF139" s="811">
        <v>0.946353</v>
      </c>
    </row>
    <row r="140" spans="1:35" ht="60" customHeight="1" thickBot="1" x14ac:dyDescent="0.25">
      <c r="A140" s="646"/>
      <c r="B140" s="1204" t="s">
        <v>244</v>
      </c>
      <c r="C140" s="771"/>
      <c r="D140" s="578" t="s">
        <v>24</v>
      </c>
      <c r="E140" s="282" t="s">
        <v>245</v>
      </c>
      <c r="F140" s="969" t="s">
        <v>78</v>
      </c>
      <c r="G140" s="282" t="s">
        <v>67</v>
      </c>
      <c r="H140" s="282" t="s">
        <v>68</v>
      </c>
      <c r="I140" s="282" t="s">
        <v>69</v>
      </c>
      <c r="J140" s="282" t="s">
        <v>70</v>
      </c>
      <c r="K140" s="672" t="s">
        <v>5</v>
      </c>
      <c r="L140" s="282" t="s">
        <v>206</v>
      </c>
      <c r="M140" s="282" t="s">
        <v>207</v>
      </c>
      <c r="N140" s="1203" t="s">
        <v>246</v>
      </c>
      <c r="O140" s="1203"/>
      <c r="P140" s="282" t="s">
        <v>247</v>
      </c>
      <c r="Q140" s="282" t="s">
        <v>248</v>
      </c>
      <c r="R140" s="282" t="s">
        <v>208</v>
      </c>
      <c r="S140" s="282" t="s">
        <v>209</v>
      </c>
      <c r="T140" s="812" t="s">
        <v>74</v>
      </c>
      <c r="U140" s="282" t="s">
        <v>210</v>
      </c>
      <c r="V140" s="282" t="s">
        <v>211</v>
      </c>
      <c r="W140" s="812" t="s">
        <v>74</v>
      </c>
      <c r="X140" s="282" t="s">
        <v>212</v>
      </c>
      <c r="Y140" s="282" t="s">
        <v>213</v>
      </c>
      <c r="Z140" s="812" t="s">
        <v>74</v>
      </c>
      <c r="AA140" s="373" t="s">
        <v>214</v>
      </c>
      <c r="AB140" s="613"/>
      <c r="AC140" s="613"/>
    </row>
    <row r="141" spans="1:35" ht="30" customHeight="1" thickBot="1" x14ac:dyDescent="0.25">
      <c r="A141" s="646"/>
      <c r="B141" s="1205"/>
      <c r="C141" s="771"/>
      <c r="E141" s="426"/>
      <c r="F141" s="426"/>
      <c r="G141" s="426"/>
      <c r="H141" s="426"/>
      <c r="I141" s="426"/>
      <c r="J141" s="426"/>
      <c r="K141" s="696"/>
      <c r="M141" s="696"/>
      <c r="N141" s="613"/>
      <c r="O141" s="426"/>
      <c r="P141" s="426"/>
      <c r="Q141" s="613"/>
      <c r="S141" s="613"/>
      <c r="T141" s="15"/>
      <c r="U141" s="15"/>
      <c r="V141" s="15"/>
      <c r="W141" s="15"/>
      <c r="AA141" s="813"/>
      <c r="AB141" s="613"/>
      <c r="AC141" s="613"/>
    </row>
    <row r="142" spans="1:35" ht="33.950000000000003" customHeight="1" x14ac:dyDescent="0.2">
      <c r="A142" s="646"/>
      <c r="B142" s="1206"/>
      <c r="C142" s="708" t="s">
        <v>249</v>
      </c>
      <c r="D142" s="347" t="s">
        <v>250</v>
      </c>
      <c r="E142" s="347" t="s">
        <v>251</v>
      </c>
      <c r="F142" s="347" t="s">
        <v>252</v>
      </c>
      <c r="G142" s="374">
        <v>1</v>
      </c>
      <c r="H142" s="347">
        <v>-0.69</v>
      </c>
      <c r="I142" s="372">
        <v>0.15</v>
      </c>
      <c r="J142" s="372">
        <v>2.02</v>
      </c>
      <c r="K142" s="814">
        <v>44582</v>
      </c>
      <c r="L142" s="815" t="s">
        <v>253</v>
      </c>
      <c r="M142" s="347" t="s">
        <v>254</v>
      </c>
      <c r="N142" s="347">
        <v>10</v>
      </c>
      <c r="O142" s="347">
        <v>100</v>
      </c>
      <c r="P142" s="347">
        <v>11.59</v>
      </c>
      <c r="Q142" s="347">
        <v>100.69</v>
      </c>
      <c r="R142" s="510">
        <v>11.59</v>
      </c>
      <c r="S142" s="510">
        <v>10.3</v>
      </c>
      <c r="T142" s="816">
        <f>ABS(R142-S142)</f>
        <v>1.2899999999999991</v>
      </c>
      <c r="U142" s="510">
        <v>51.11</v>
      </c>
      <c r="V142" s="510">
        <v>50.16</v>
      </c>
      <c r="W142" s="816">
        <f>ABS(U142-V142)</f>
        <v>0.95000000000000284</v>
      </c>
      <c r="X142" s="510">
        <v>100.69</v>
      </c>
      <c r="Y142" s="510">
        <v>100.24</v>
      </c>
      <c r="Z142" s="816">
        <f>ABS(X142-Y142)</f>
        <v>0.45000000000000284</v>
      </c>
      <c r="AA142" s="817">
        <f>ABS(MAX(T142,W142,Z142))</f>
        <v>1.2899999999999991</v>
      </c>
      <c r="AB142" s="613"/>
      <c r="AC142" s="613"/>
      <c r="AE142" s="818"/>
    </row>
    <row r="143" spans="1:35" ht="33.950000000000003" customHeight="1" x14ac:dyDescent="0.2">
      <c r="A143" s="646"/>
      <c r="B143" s="1206"/>
      <c r="C143" s="711" t="s">
        <v>255</v>
      </c>
      <c r="D143" s="350" t="s">
        <v>219</v>
      </c>
      <c r="E143" s="350">
        <v>27755</v>
      </c>
      <c r="F143" s="291">
        <v>499.6</v>
      </c>
      <c r="G143" s="579">
        <v>5</v>
      </c>
      <c r="H143" s="291">
        <v>0.4</v>
      </c>
      <c r="I143" s="350">
        <v>0.78</v>
      </c>
      <c r="J143" s="579">
        <v>2.02</v>
      </c>
      <c r="K143" s="783">
        <v>44656</v>
      </c>
      <c r="L143" s="350" t="s">
        <v>256</v>
      </c>
      <c r="M143" s="350" t="s">
        <v>257</v>
      </c>
      <c r="N143" s="350">
        <v>50</v>
      </c>
      <c r="O143" s="350">
        <v>500</v>
      </c>
      <c r="P143" s="350">
        <v>49.29</v>
      </c>
      <c r="Q143" s="291">
        <v>499.6</v>
      </c>
      <c r="R143" s="513">
        <v>49.29</v>
      </c>
      <c r="S143" s="513">
        <v>50.14</v>
      </c>
      <c r="T143" s="297">
        <f t="shared" ref="T143:T147" si="0">ABS(R143-S143)</f>
        <v>0.85000000000000142</v>
      </c>
      <c r="U143" s="513">
        <v>249.63</v>
      </c>
      <c r="V143" s="513">
        <v>249.77</v>
      </c>
      <c r="W143" s="297">
        <f>ABS(U143-V143)</f>
        <v>0.14000000000001478</v>
      </c>
      <c r="X143" s="556">
        <v>499.6</v>
      </c>
      <c r="Y143" s="513">
        <v>500.66699999999997</v>
      </c>
      <c r="Z143" s="297">
        <f t="shared" ref="Z143:Z147" si="1">ABS(X143-Y143)</f>
        <v>1.0669999999999504</v>
      </c>
      <c r="AA143" s="819">
        <f t="shared" ref="AA143:AA147" si="2">ABS(MAX(T143,W143,Z143))</f>
        <v>1.0669999999999504</v>
      </c>
      <c r="AD143" s="722"/>
    </row>
    <row r="144" spans="1:35" ht="33.950000000000003" customHeight="1" x14ac:dyDescent="0.2">
      <c r="A144" s="646"/>
      <c r="B144" s="1206"/>
      <c r="C144" s="711" t="s">
        <v>258</v>
      </c>
      <c r="D144" s="350" t="s">
        <v>250</v>
      </c>
      <c r="E144" s="350" t="s">
        <v>251</v>
      </c>
      <c r="F144" s="350">
        <v>99.31</v>
      </c>
      <c r="G144" s="579">
        <v>1</v>
      </c>
      <c r="H144" s="350">
        <v>0.69</v>
      </c>
      <c r="I144" s="350">
        <v>9.5000000000000001E-2</v>
      </c>
      <c r="J144" s="350">
        <v>2.02</v>
      </c>
      <c r="K144" s="783">
        <v>42534</v>
      </c>
      <c r="L144" s="350" t="s">
        <v>259</v>
      </c>
      <c r="M144" s="350" t="s">
        <v>254</v>
      </c>
      <c r="N144" s="350">
        <v>10</v>
      </c>
      <c r="O144" s="350">
        <v>100</v>
      </c>
      <c r="P144" s="350">
        <v>19.510000000000002</v>
      </c>
      <c r="Q144" s="350">
        <v>99.31</v>
      </c>
      <c r="R144" s="556">
        <v>19.510000000000002</v>
      </c>
      <c r="S144" s="513">
        <v>19.510000000000002</v>
      </c>
      <c r="T144" s="297">
        <f t="shared" si="0"/>
        <v>0</v>
      </c>
      <c r="U144" s="513">
        <v>39.299999999999997</v>
      </c>
      <c r="V144" s="513">
        <v>39.299999999999997</v>
      </c>
      <c r="W144" s="297">
        <f>ABS(U144-V144)</f>
        <v>0</v>
      </c>
      <c r="X144" s="513">
        <v>99.31</v>
      </c>
      <c r="Y144" s="513">
        <v>99.31</v>
      </c>
      <c r="Z144" s="297">
        <f t="shared" si="1"/>
        <v>0</v>
      </c>
      <c r="AA144" s="819">
        <f>ABS(MAX(T144,W144,Z144))</f>
        <v>0</v>
      </c>
      <c r="AH144" s="690"/>
    </row>
    <row r="145" spans="1:34" ht="33.950000000000003" customHeight="1" x14ac:dyDescent="0.2">
      <c r="A145" s="646"/>
      <c r="B145" s="1206"/>
      <c r="C145" s="711" t="s">
        <v>260</v>
      </c>
      <c r="D145" s="350" t="s">
        <v>219</v>
      </c>
      <c r="E145" s="350">
        <v>27757</v>
      </c>
      <c r="F145" s="291">
        <v>499.7</v>
      </c>
      <c r="G145" s="579">
        <v>5</v>
      </c>
      <c r="H145" s="291">
        <v>0.3</v>
      </c>
      <c r="I145" s="350">
        <v>0.77</v>
      </c>
      <c r="J145" s="579">
        <v>2.02</v>
      </c>
      <c r="K145" s="783">
        <v>44655</v>
      </c>
      <c r="L145" s="350" t="s">
        <v>261</v>
      </c>
      <c r="M145" s="350" t="s">
        <v>257</v>
      </c>
      <c r="N145" s="350">
        <v>50</v>
      </c>
      <c r="O145" s="350">
        <v>500</v>
      </c>
      <c r="P145" s="291">
        <v>50.07</v>
      </c>
      <c r="Q145" s="291">
        <v>499.7</v>
      </c>
      <c r="R145" s="513">
        <v>50.07</v>
      </c>
      <c r="S145" s="513">
        <v>50.7</v>
      </c>
      <c r="T145" s="297">
        <f t="shared" si="0"/>
        <v>0.63000000000000256</v>
      </c>
      <c r="U145" s="513">
        <v>250.08</v>
      </c>
      <c r="V145" s="513">
        <v>250.64</v>
      </c>
      <c r="W145" s="297">
        <f t="shared" ref="W145:W147" si="3">ABS(U145-V145)</f>
        <v>0.55999999999997385</v>
      </c>
      <c r="X145" s="556">
        <v>499.7</v>
      </c>
      <c r="Y145" s="513">
        <v>499.20800000000003</v>
      </c>
      <c r="Z145" s="297">
        <f t="shared" si="1"/>
        <v>0.4919999999999618</v>
      </c>
      <c r="AA145" s="819">
        <f t="shared" si="2"/>
        <v>0.63000000000000256</v>
      </c>
      <c r="AH145" s="722"/>
    </row>
    <row r="146" spans="1:34" ht="33.950000000000003" customHeight="1" x14ac:dyDescent="0.2">
      <c r="A146" s="646"/>
      <c r="B146" s="1206"/>
      <c r="C146" s="711" t="s">
        <v>262</v>
      </c>
      <c r="D146" s="350" t="s">
        <v>219</v>
      </c>
      <c r="E146" s="350">
        <v>27758</v>
      </c>
      <c r="F146" s="291">
        <v>499.9</v>
      </c>
      <c r="G146" s="579">
        <v>5</v>
      </c>
      <c r="H146" s="291">
        <v>0.1</v>
      </c>
      <c r="I146" s="350">
        <v>0.78</v>
      </c>
      <c r="J146" s="350">
        <v>2.02</v>
      </c>
      <c r="K146" s="783">
        <v>44649</v>
      </c>
      <c r="L146" s="350" t="s">
        <v>263</v>
      </c>
      <c r="M146" s="350" t="s">
        <v>257</v>
      </c>
      <c r="N146" s="350">
        <v>50</v>
      </c>
      <c r="O146" s="350">
        <v>500</v>
      </c>
      <c r="P146" s="350">
        <v>49.37</v>
      </c>
      <c r="Q146" s="291">
        <v>499.9</v>
      </c>
      <c r="R146" s="513">
        <v>49.37</v>
      </c>
      <c r="S146" s="513">
        <v>49.37</v>
      </c>
      <c r="T146" s="297">
        <f t="shared" si="0"/>
        <v>0</v>
      </c>
      <c r="U146" s="513">
        <v>249.77</v>
      </c>
      <c r="V146" s="513">
        <v>249.77</v>
      </c>
      <c r="W146" s="297">
        <f t="shared" si="3"/>
        <v>0</v>
      </c>
      <c r="X146" s="513">
        <v>499.9</v>
      </c>
      <c r="Y146" s="513">
        <v>500.34800000000001</v>
      </c>
      <c r="Z146" s="297">
        <f t="shared" si="1"/>
        <v>0.44800000000003593</v>
      </c>
      <c r="AA146" s="819">
        <f>ABS(MAX(T146,W146,Z146))</f>
        <v>0.44800000000003593</v>
      </c>
    </row>
    <row r="147" spans="1:34" ht="33.950000000000003" customHeight="1" thickBot="1" x14ac:dyDescent="0.25">
      <c r="A147" s="646"/>
      <c r="B147" s="1207"/>
      <c r="C147" s="715" t="s">
        <v>264</v>
      </c>
      <c r="D147" s="352" t="s">
        <v>219</v>
      </c>
      <c r="E147" s="352">
        <v>27759</v>
      </c>
      <c r="F147" s="352">
        <v>1000</v>
      </c>
      <c r="G147" s="580">
        <v>10</v>
      </c>
      <c r="H147" s="352">
        <v>0</v>
      </c>
      <c r="I147" s="352">
        <v>1.3</v>
      </c>
      <c r="J147" s="352">
        <v>2.02</v>
      </c>
      <c r="K147" s="806">
        <v>44659</v>
      </c>
      <c r="L147" s="352" t="s">
        <v>265</v>
      </c>
      <c r="M147" s="352" t="s">
        <v>266</v>
      </c>
      <c r="N147" s="352">
        <v>100</v>
      </c>
      <c r="O147" s="352">
        <v>1000</v>
      </c>
      <c r="P147" s="352">
        <v>99.8</v>
      </c>
      <c r="Q147" s="352">
        <v>1000</v>
      </c>
      <c r="R147" s="529">
        <v>99.8</v>
      </c>
      <c r="S147" s="529">
        <v>99.8</v>
      </c>
      <c r="T147" s="820">
        <f t="shared" si="0"/>
        <v>0</v>
      </c>
      <c r="U147" s="529">
        <v>500.7</v>
      </c>
      <c r="V147" s="529">
        <v>500.7</v>
      </c>
      <c r="W147" s="820">
        <f t="shared" si="3"/>
        <v>0</v>
      </c>
      <c r="X147" s="529">
        <v>1000</v>
      </c>
      <c r="Y147" s="529">
        <v>1000.625</v>
      </c>
      <c r="Z147" s="820">
        <f t="shared" si="1"/>
        <v>0.625</v>
      </c>
      <c r="AA147" s="821">
        <f t="shared" si="2"/>
        <v>0.625</v>
      </c>
    </row>
    <row r="148" spans="1:34" ht="30" customHeight="1" thickBot="1" x14ac:dyDescent="0.25">
      <c r="A148" s="646"/>
      <c r="K148" s="588"/>
      <c r="O148" s="1148"/>
      <c r="P148" s="1148"/>
      <c r="Q148" s="1148"/>
      <c r="S148" s="14"/>
      <c r="V148" s="822"/>
    </row>
    <row r="149" spans="1:34" ht="30" customHeight="1" thickBot="1" x14ac:dyDescent="0.25">
      <c r="A149" s="646"/>
      <c r="B149" s="1114" t="s">
        <v>267</v>
      </c>
      <c r="C149" s="1115"/>
      <c r="D149" s="1133"/>
      <c r="E149" s="1133"/>
      <c r="F149" s="1133"/>
      <c r="G149" s="1133"/>
      <c r="H149" s="1133"/>
      <c r="I149" s="1133"/>
      <c r="J149" s="1133"/>
      <c r="K149" s="1133"/>
      <c r="L149" s="1134"/>
      <c r="N149" s="64"/>
      <c r="O149" s="64"/>
      <c r="P149" s="64"/>
      <c r="Q149" s="426"/>
      <c r="S149" s="823"/>
      <c r="V149" s="822"/>
    </row>
    <row r="150" spans="1:34" ht="60" customHeight="1" thickBot="1" x14ac:dyDescent="0.25">
      <c r="A150" s="646"/>
      <c r="B150" s="1214" t="s">
        <v>268</v>
      </c>
      <c r="C150" s="777"/>
      <c r="D150" s="578" t="s">
        <v>24</v>
      </c>
      <c r="E150" s="282" t="s">
        <v>65</v>
      </c>
      <c r="F150" s="969" t="s">
        <v>78</v>
      </c>
      <c r="G150" s="282" t="s">
        <v>67</v>
      </c>
      <c r="H150" s="282" t="s">
        <v>68</v>
      </c>
      <c r="I150" s="282" t="s">
        <v>69</v>
      </c>
      <c r="J150" s="282" t="s">
        <v>70</v>
      </c>
      <c r="K150" s="672" t="s">
        <v>5</v>
      </c>
      <c r="L150" s="373" t="s">
        <v>206</v>
      </c>
      <c r="N150" s="14"/>
      <c r="O150" s="426"/>
      <c r="P150" s="426"/>
      <c r="Q150" s="822"/>
      <c r="S150" s="426"/>
      <c r="U150" s="824"/>
      <c r="V150" s="825"/>
      <c r="W150" s="613"/>
    </row>
    <row r="151" spans="1:34" ht="30" customHeight="1" thickBot="1" x14ac:dyDescent="0.25">
      <c r="A151" s="646"/>
      <c r="B151" s="1108"/>
      <c r="C151" s="777"/>
      <c r="D151" s="826"/>
      <c r="E151" s="827"/>
      <c r="F151" s="827"/>
      <c r="G151" s="827"/>
      <c r="H151" s="827"/>
      <c r="I151" s="827"/>
      <c r="J151" s="827"/>
      <c r="K151" s="828"/>
      <c r="L151" s="829"/>
      <c r="N151" s="14"/>
      <c r="O151" s="426"/>
      <c r="P151" s="426"/>
      <c r="Q151" s="822"/>
      <c r="R151" s="613"/>
      <c r="T151" s="17"/>
      <c r="U151" s="17"/>
      <c r="V151" s="17"/>
      <c r="W151" s="613"/>
      <c r="X151" s="613"/>
      <c r="Y151" s="613"/>
      <c r="Z151" s="613"/>
      <c r="AA151" s="613"/>
      <c r="AB151" s="613"/>
      <c r="AC151" s="613"/>
    </row>
    <row r="152" spans="1:34" ht="43.5" customHeight="1" thickBot="1" x14ac:dyDescent="0.25">
      <c r="A152" s="646"/>
      <c r="B152" s="1215"/>
      <c r="C152" s="830" t="s">
        <v>269</v>
      </c>
      <c r="D152" s="831" t="s">
        <v>270</v>
      </c>
      <c r="E152" s="831">
        <v>4044</v>
      </c>
      <c r="F152" s="831">
        <v>120</v>
      </c>
      <c r="G152" s="831">
        <v>0.01</v>
      </c>
      <c r="H152" s="832">
        <v>0.18239</v>
      </c>
      <c r="I152" s="833">
        <v>2.9E-4</v>
      </c>
      <c r="J152" s="831">
        <v>2.2999999999999998</v>
      </c>
      <c r="K152" s="834">
        <v>43801</v>
      </c>
      <c r="L152" s="835" t="s">
        <v>271</v>
      </c>
      <c r="N152" s="426"/>
      <c r="O152" s="426"/>
      <c r="P152" s="426"/>
      <c r="Q152" s="822"/>
      <c r="R152" s="613"/>
      <c r="S152" s="14"/>
      <c r="T152" s="64"/>
      <c r="U152" s="64"/>
      <c r="W152" s="613"/>
      <c r="X152" s="613"/>
      <c r="Y152" s="613"/>
      <c r="Z152" s="613"/>
      <c r="AA152" s="613"/>
      <c r="AB152" s="613"/>
      <c r="AC152" s="613"/>
    </row>
    <row r="153" spans="1:34" ht="30" customHeight="1" x14ac:dyDescent="0.2">
      <c r="A153" s="646"/>
      <c r="B153" s="836"/>
      <c r="C153" s="426"/>
      <c r="D153" s="589"/>
      <c r="E153" s="426"/>
      <c r="F153" s="426"/>
      <c r="G153" s="426"/>
      <c r="H153" s="426"/>
      <c r="I153" s="426"/>
      <c r="J153" s="426"/>
      <c r="K153" s="696"/>
      <c r="L153" s="837"/>
      <c r="N153" s="426"/>
      <c r="O153" s="613"/>
      <c r="P153" s="613"/>
      <c r="Q153" s="613"/>
      <c r="S153" s="14"/>
      <c r="T153" s="689"/>
      <c r="U153" s="689"/>
      <c r="V153" s="822"/>
      <c r="W153" s="613"/>
      <c r="X153" s="613"/>
      <c r="Y153" s="613"/>
      <c r="Z153" s="613"/>
      <c r="AA153" s="613"/>
      <c r="AB153" s="613"/>
      <c r="AC153" s="613"/>
    </row>
    <row r="154" spans="1:34" ht="30" customHeight="1" thickBot="1" x14ac:dyDescent="0.25">
      <c r="A154" s="646"/>
      <c r="K154" s="588"/>
      <c r="O154" s="1148"/>
      <c r="P154" s="1148"/>
      <c r="Q154" s="1148"/>
      <c r="S154" s="14"/>
      <c r="V154" s="822"/>
      <c r="W154" s="613"/>
      <c r="X154" s="613"/>
      <c r="Y154" s="613"/>
      <c r="Z154" s="613"/>
      <c r="AA154" s="613"/>
      <c r="AB154" s="613"/>
      <c r="AC154" s="613"/>
    </row>
    <row r="155" spans="1:34" ht="30" customHeight="1" thickBot="1" x14ac:dyDescent="0.25">
      <c r="A155" s="646"/>
      <c r="B155" s="1114" t="s">
        <v>272</v>
      </c>
      <c r="C155" s="1115"/>
      <c r="D155" s="1115"/>
      <c r="E155" s="1115"/>
      <c r="F155" s="1115"/>
      <c r="G155" s="1115"/>
      <c r="H155" s="1115"/>
      <c r="I155" s="1115"/>
      <c r="J155" s="1115"/>
      <c r="K155" s="1115"/>
      <c r="L155" s="1116"/>
      <c r="N155" s="64"/>
      <c r="O155" s="64"/>
      <c r="P155" s="64"/>
      <c r="Q155" s="426"/>
      <c r="S155" s="823"/>
      <c r="V155" s="822"/>
      <c r="W155" s="613"/>
      <c r="X155" s="613"/>
      <c r="Y155" s="613"/>
      <c r="Z155" s="613"/>
      <c r="AA155" s="613"/>
      <c r="AB155" s="613"/>
      <c r="AC155" s="613"/>
    </row>
    <row r="156" spans="1:34" ht="60" customHeight="1" thickBot="1" x14ac:dyDescent="0.25">
      <c r="A156" s="646"/>
      <c r="C156" s="426"/>
      <c r="D156" s="578" t="s">
        <v>24</v>
      </c>
      <c r="E156" s="281" t="s">
        <v>65</v>
      </c>
      <c r="F156" s="282" t="s">
        <v>273</v>
      </c>
      <c r="G156" s="282" t="s">
        <v>67</v>
      </c>
      <c r="H156" s="282" t="s">
        <v>68</v>
      </c>
      <c r="I156" s="282" t="s">
        <v>69</v>
      </c>
      <c r="J156" s="282" t="s">
        <v>70</v>
      </c>
      <c r="K156" s="838" t="s">
        <v>5</v>
      </c>
      <c r="L156" s="373" t="s">
        <v>206</v>
      </c>
      <c r="N156" s="14"/>
      <c r="O156" s="426"/>
      <c r="P156" s="426"/>
      <c r="Q156" s="822"/>
      <c r="S156" s="14"/>
      <c r="V156" s="104"/>
      <c r="W156" s="613"/>
      <c r="X156" s="613"/>
      <c r="Y156" s="613"/>
      <c r="Z156" s="613"/>
      <c r="AA156" s="613"/>
      <c r="AB156" s="613"/>
      <c r="AC156" s="613"/>
    </row>
    <row r="157" spans="1:34" ht="30" customHeight="1" thickBot="1" x14ac:dyDescent="0.25">
      <c r="A157" s="646"/>
      <c r="C157" s="426"/>
      <c r="D157" s="839"/>
      <c r="E157" s="676"/>
      <c r="F157" s="676"/>
      <c r="G157" s="676"/>
      <c r="H157" s="676"/>
      <c r="I157" s="676"/>
      <c r="J157" s="676"/>
      <c r="K157" s="840"/>
      <c r="L157" s="841"/>
      <c r="N157" s="14"/>
      <c r="O157" s="426"/>
      <c r="P157" s="426"/>
      <c r="Q157" s="822"/>
      <c r="W157" s="613"/>
      <c r="X157" s="613"/>
      <c r="Y157" s="613"/>
      <c r="Z157" s="613"/>
      <c r="AA157" s="613"/>
      <c r="AB157" s="613"/>
      <c r="AC157" s="613"/>
    </row>
    <row r="158" spans="1:34" ht="33.950000000000003" customHeight="1" x14ac:dyDescent="0.2">
      <c r="A158" s="646"/>
      <c r="B158" s="1208" t="s">
        <v>274</v>
      </c>
      <c r="C158" s="842" t="s">
        <v>275</v>
      </c>
      <c r="D158" s="1211" t="s">
        <v>276</v>
      </c>
      <c r="E158" s="347">
        <v>16901291</v>
      </c>
      <c r="F158" s="843">
        <v>5</v>
      </c>
      <c r="G158" s="347">
        <v>0.01</v>
      </c>
      <c r="H158" s="521">
        <v>0</v>
      </c>
      <c r="I158" s="523">
        <v>8.0000000000000002E-3</v>
      </c>
      <c r="J158" s="374">
        <v>2</v>
      </c>
      <c r="K158" s="502">
        <v>44636</v>
      </c>
      <c r="L158" s="844" t="s">
        <v>277</v>
      </c>
      <c r="N158" s="426"/>
      <c r="O158" s="426"/>
      <c r="P158" s="426"/>
      <c r="Q158" s="822"/>
      <c r="W158" s="613"/>
      <c r="X158" s="613"/>
      <c r="Y158" s="613"/>
      <c r="Z158" s="613"/>
      <c r="AA158" s="613"/>
      <c r="AB158" s="613"/>
      <c r="AC158" s="613"/>
    </row>
    <row r="159" spans="1:34" ht="33.950000000000003" customHeight="1" x14ac:dyDescent="0.2">
      <c r="A159" s="646"/>
      <c r="B159" s="1209"/>
      <c r="C159" s="845" t="s">
        <v>278</v>
      </c>
      <c r="D159" s="1212"/>
      <c r="E159" s="350">
        <v>16901291</v>
      </c>
      <c r="F159" s="556">
        <v>20</v>
      </c>
      <c r="G159" s="350">
        <v>0.01</v>
      </c>
      <c r="H159" s="797">
        <v>4.0000000000000001E-3</v>
      </c>
      <c r="I159" s="846">
        <v>0.01</v>
      </c>
      <c r="J159" s="579">
        <v>2</v>
      </c>
      <c r="K159" s="503">
        <v>44636</v>
      </c>
      <c r="L159" s="847" t="s">
        <v>277</v>
      </c>
      <c r="N159" s="426"/>
      <c r="O159" s="613"/>
      <c r="P159" s="613"/>
      <c r="Q159" s="613"/>
      <c r="W159" s="613"/>
      <c r="X159" s="613"/>
      <c r="Y159" s="613"/>
      <c r="Z159" s="613"/>
      <c r="AA159" s="613"/>
      <c r="AB159" s="613"/>
      <c r="AC159" s="613"/>
    </row>
    <row r="160" spans="1:34" ht="33.950000000000003" customHeight="1" x14ac:dyDescent="0.2">
      <c r="A160" s="646"/>
      <c r="B160" s="1209"/>
      <c r="C160" s="845" t="s">
        <v>279</v>
      </c>
      <c r="D160" s="1212"/>
      <c r="E160" s="350">
        <v>16901291</v>
      </c>
      <c r="F160" s="556">
        <v>50</v>
      </c>
      <c r="G160" s="350">
        <v>0.01</v>
      </c>
      <c r="H160" s="797">
        <v>4.0000000000000001E-3</v>
      </c>
      <c r="I160" s="846">
        <v>0.01</v>
      </c>
      <c r="J160" s="579">
        <v>2</v>
      </c>
      <c r="K160" s="503">
        <v>44636</v>
      </c>
      <c r="L160" s="847" t="s">
        <v>277</v>
      </c>
      <c r="O160" s="1148"/>
      <c r="P160" s="1148"/>
      <c r="Q160" s="1148"/>
      <c r="W160" s="613"/>
      <c r="X160" s="613"/>
      <c r="Y160" s="613"/>
      <c r="Z160" s="613"/>
      <c r="AA160" s="613"/>
      <c r="AB160" s="613"/>
      <c r="AC160" s="613"/>
    </row>
    <row r="161" spans="1:45" ht="33.950000000000003" customHeight="1" x14ac:dyDescent="0.2">
      <c r="A161" s="646"/>
      <c r="B161" s="1209"/>
      <c r="C161" s="845" t="s">
        <v>280</v>
      </c>
      <c r="D161" s="1212"/>
      <c r="E161" s="350">
        <v>16901291</v>
      </c>
      <c r="F161" s="556">
        <v>70</v>
      </c>
      <c r="G161" s="350">
        <v>0.01</v>
      </c>
      <c r="H161" s="797">
        <v>-4.0000000000000001E-3</v>
      </c>
      <c r="I161" s="846">
        <v>0.01</v>
      </c>
      <c r="J161" s="579">
        <v>2</v>
      </c>
      <c r="K161" s="503">
        <v>44636</v>
      </c>
      <c r="L161" s="847" t="s">
        <v>277</v>
      </c>
      <c r="N161" s="64"/>
      <c r="O161" s="64"/>
      <c r="P161" s="64"/>
      <c r="Q161" s="426"/>
      <c r="W161" s="613"/>
      <c r="X161" s="613"/>
      <c r="Y161" s="613"/>
      <c r="Z161" s="613"/>
      <c r="AA161" s="613"/>
      <c r="AB161" s="613"/>
      <c r="AC161" s="613"/>
    </row>
    <row r="162" spans="1:45" ht="33.950000000000003" customHeight="1" x14ac:dyDescent="0.2">
      <c r="A162" s="646"/>
      <c r="B162" s="1209"/>
      <c r="C162" s="845" t="s">
        <v>281</v>
      </c>
      <c r="D162" s="1212"/>
      <c r="E162" s="350">
        <v>16901291</v>
      </c>
      <c r="F162" s="556">
        <v>100</v>
      </c>
      <c r="G162" s="350">
        <v>0.01</v>
      </c>
      <c r="H162" s="797">
        <v>-2E-3</v>
      </c>
      <c r="I162" s="846">
        <v>8.9999999999999993E-3</v>
      </c>
      <c r="J162" s="579">
        <v>2</v>
      </c>
      <c r="K162" s="503">
        <v>44636</v>
      </c>
      <c r="L162" s="847" t="s">
        <v>277</v>
      </c>
      <c r="N162" s="14"/>
      <c r="O162" s="426"/>
      <c r="P162" s="426"/>
      <c r="Q162" s="822"/>
      <c r="R162" s="613"/>
      <c r="W162" s="613"/>
      <c r="X162" s="613"/>
      <c r="Y162" s="613"/>
      <c r="Z162" s="613"/>
      <c r="AA162" s="613"/>
      <c r="AB162" s="613"/>
      <c r="AC162" s="613"/>
    </row>
    <row r="163" spans="1:45" ht="33.950000000000003" customHeight="1" x14ac:dyDescent="0.2">
      <c r="A163" s="646"/>
      <c r="B163" s="1209"/>
      <c r="C163" s="845" t="s">
        <v>282</v>
      </c>
      <c r="D163" s="1212"/>
      <c r="E163" s="350">
        <v>16901291</v>
      </c>
      <c r="F163" s="556">
        <v>150</v>
      </c>
      <c r="G163" s="350">
        <v>0.01</v>
      </c>
      <c r="H163" s="797">
        <v>-4.0000000000000001E-3</v>
      </c>
      <c r="I163" s="846">
        <v>0.01</v>
      </c>
      <c r="J163" s="579">
        <v>2</v>
      </c>
      <c r="K163" s="503">
        <v>44636</v>
      </c>
      <c r="L163" s="847" t="s">
        <v>277</v>
      </c>
      <c r="N163" s="14"/>
      <c r="O163" s="426"/>
      <c r="P163" s="426"/>
      <c r="Q163" s="822"/>
      <c r="R163" s="613"/>
      <c r="S163" s="613"/>
      <c r="T163" s="613"/>
      <c r="U163" s="613"/>
      <c r="V163" s="613"/>
      <c r="W163" s="613"/>
      <c r="X163" s="613"/>
      <c r="Y163" s="613"/>
      <c r="Z163" s="613"/>
      <c r="AA163" s="613"/>
      <c r="AB163" s="613"/>
      <c r="AC163" s="613"/>
    </row>
    <row r="164" spans="1:45" ht="33.950000000000003" customHeight="1" thickBot="1" x14ac:dyDescent="0.25">
      <c r="A164" s="646"/>
      <c r="B164" s="1210"/>
      <c r="C164" s="848" t="s">
        <v>283</v>
      </c>
      <c r="D164" s="1213"/>
      <c r="E164" s="352">
        <v>16901291</v>
      </c>
      <c r="F164" s="768">
        <v>200</v>
      </c>
      <c r="G164" s="352">
        <v>0.01</v>
      </c>
      <c r="H164" s="662">
        <v>-4.0000000000000001E-3</v>
      </c>
      <c r="I164" s="849">
        <v>0.01</v>
      </c>
      <c r="J164" s="580">
        <v>2</v>
      </c>
      <c r="K164" s="504">
        <v>44636</v>
      </c>
      <c r="L164" s="850" t="s">
        <v>277</v>
      </c>
      <c r="N164" s="426"/>
      <c r="O164" s="426"/>
      <c r="P164" s="426"/>
      <c r="Q164" s="822"/>
      <c r="R164" s="613"/>
      <c r="S164" s="613"/>
      <c r="T164" s="613"/>
      <c r="U164" s="613"/>
      <c r="V164" s="613"/>
      <c r="W164" s="613"/>
      <c r="X164" s="613"/>
      <c r="Y164" s="613"/>
      <c r="Z164" s="613"/>
      <c r="AA164" s="613"/>
      <c r="AB164" s="613"/>
      <c r="AC164" s="613"/>
      <c r="AI164" s="426"/>
      <c r="AJ164" s="426"/>
      <c r="AK164" s="426"/>
      <c r="AL164" s="426"/>
      <c r="AM164" s="426"/>
      <c r="AN164" s="426"/>
      <c r="AO164" s="426"/>
      <c r="AP164" s="426"/>
      <c r="AQ164" s="696"/>
      <c r="AR164" s="426"/>
      <c r="AS164" s="426"/>
    </row>
    <row r="165" spans="1:45" ht="35.1" customHeight="1" thickBot="1" x14ac:dyDescent="0.25">
      <c r="A165" s="646"/>
      <c r="E165" s="37"/>
      <c r="F165" s="741"/>
      <c r="G165" s="741"/>
      <c r="H165" s="851"/>
      <c r="I165" s="741"/>
      <c r="J165" s="741"/>
      <c r="K165" s="852"/>
      <c r="L165" s="707"/>
      <c r="N165" s="426"/>
      <c r="O165" s="613"/>
      <c r="P165" s="613"/>
      <c r="Q165" s="613"/>
      <c r="AS165" s="426"/>
    </row>
    <row r="166" spans="1:45" ht="33.950000000000003" customHeight="1" x14ac:dyDescent="0.2">
      <c r="A166" s="646"/>
      <c r="B166" s="1208" t="s">
        <v>284</v>
      </c>
      <c r="C166" s="842" t="s">
        <v>275</v>
      </c>
      <c r="D166" s="1211" t="s">
        <v>276</v>
      </c>
      <c r="E166" s="347">
        <v>16901291</v>
      </c>
      <c r="F166" s="843">
        <v>5</v>
      </c>
      <c r="G166" s="347">
        <v>0.01</v>
      </c>
      <c r="H166" s="521">
        <v>0</v>
      </c>
      <c r="I166" s="523">
        <v>1.7000000000000001E-2</v>
      </c>
      <c r="J166" s="374">
        <v>2</v>
      </c>
      <c r="K166" s="502">
        <v>44636</v>
      </c>
      <c r="L166" s="844" t="s">
        <v>277</v>
      </c>
      <c r="O166" s="1148"/>
      <c r="P166" s="1148"/>
      <c r="Q166" s="1148"/>
      <c r="Z166" s="15"/>
      <c r="AA166" s="15"/>
      <c r="AB166" s="15"/>
      <c r="AS166" s="426"/>
    </row>
    <row r="167" spans="1:45" ht="33.950000000000003" customHeight="1" x14ac:dyDescent="0.2">
      <c r="A167" s="646"/>
      <c r="B167" s="1209"/>
      <c r="C167" s="845" t="s">
        <v>278</v>
      </c>
      <c r="D167" s="1212"/>
      <c r="E167" s="350">
        <v>16901291</v>
      </c>
      <c r="F167" s="556">
        <v>20</v>
      </c>
      <c r="G167" s="350">
        <v>0.01</v>
      </c>
      <c r="H167" s="797">
        <v>0</v>
      </c>
      <c r="I167" s="846">
        <v>1.7000000000000001E-2</v>
      </c>
      <c r="J167" s="579">
        <v>2</v>
      </c>
      <c r="K167" s="503">
        <v>44636</v>
      </c>
      <c r="L167" s="847" t="s">
        <v>277</v>
      </c>
      <c r="N167" s="64"/>
      <c r="O167" s="64"/>
      <c r="P167" s="64"/>
      <c r="Q167" s="426"/>
      <c r="W167" s="15"/>
      <c r="X167" s="15"/>
      <c r="Y167" s="15"/>
      <c r="Z167" s="15"/>
      <c r="AA167" s="15"/>
      <c r="AB167" s="15"/>
    </row>
    <row r="168" spans="1:45" ht="33.950000000000003" customHeight="1" x14ac:dyDescent="0.2">
      <c r="A168" s="646"/>
      <c r="B168" s="1209"/>
      <c r="C168" s="845" t="s">
        <v>279</v>
      </c>
      <c r="D168" s="1212"/>
      <c r="E168" s="350">
        <v>16901291</v>
      </c>
      <c r="F168" s="556">
        <v>50</v>
      </c>
      <c r="G168" s="350">
        <v>0.01</v>
      </c>
      <c r="H168" s="797">
        <v>0</v>
      </c>
      <c r="I168" s="846">
        <v>1.7000000000000001E-2</v>
      </c>
      <c r="J168" s="579">
        <v>2</v>
      </c>
      <c r="K168" s="503">
        <v>44636</v>
      </c>
      <c r="L168" s="847" t="s">
        <v>277</v>
      </c>
      <c r="N168" s="14"/>
      <c r="O168" s="426"/>
      <c r="P168" s="426"/>
      <c r="Q168" s="822"/>
      <c r="W168" s="15"/>
      <c r="X168" s="15"/>
      <c r="Y168" s="15"/>
      <c r="Z168" s="15"/>
      <c r="AA168" s="15"/>
      <c r="AB168" s="15"/>
    </row>
    <row r="169" spans="1:45" ht="33.950000000000003" customHeight="1" x14ac:dyDescent="0.2">
      <c r="A169" s="646"/>
      <c r="B169" s="1209"/>
      <c r="C169" s="845" t="s">
        <v>280</v>
      </c>
      <c r="D169" s="1212"/>
      <c r="E169" s="350">
        <v>16901291</v>
      </c>
      <c r="F169" s="556">
        <v>70.010000000000005</v>
      </c>
      <c r="G169" s="350">
        <v>0.01</v>
      </c>
      <c r="H169" s="797">
        <v>-6.0000000000000001E-3</v>
      </c>
      <c r="I169" s="846">
        <v>1.7999999999999999E-2</v>
      </c>
      <c r="J169" s="579">
        <v>2</v>
      </c>
      <c r="K169" s="503">
        <v>44636</v>
      </c>
      <c r="L169" s="847" t="s">
        <v>277</v>
      </c>
      <c r="N169" s="14"/>
      <c r="O169" s="426"/>
      <c r="P169" s="426"/>
      <c r="Q169" s="822"/>
      <c r="W169" s="15"/>
      <c r="X169" s="15"/>
      <c r="Y169" s="15"/>
      <c r="Z169" s="15"/>
      <c r="AA169" s="15"/>
      <c r="AB169" s="15"/>
    </row>
    <row r="170" spans="1:45" ht="33.950000000000003" customHeight="1" x14ac:dyDescent="0.2">
      <c r="A170" s="646"/>
      <c r="B170" s="1209"/>
      <c r="C170" s="845" t="s">
        <v>281</v>
      </c>
      <c r="D170" s="1212"/>
      <c r="E170" s="350">
        <v>16901291</v>
      </c>
      <c r="F170" s="556">
        <v>100.01</v>
      </c>
      <c r="G170" s="350">
        <v>0.01</v>
      </c>
      <c r="H170" s="797">
        <v>-0.01</v>
      </c>
      <c r="I170" s="846">
        <v>1.7000000000000001E-2</v>
      </c>
      <c r="J170" s="579">
        <v>2</v>
      </c>
      <c r="K170" s="503">
        <v>44636</v>
      </c>
      <c r="L170" s="847" t="s">
        <v>277</v>
      </c>
      <c r="N170" s="426"/>
      <c r="O170" s="426"/>
      <c r="P170" s="426"/>
      <c r="Q170" s="822"/>
    </row>
    <row r="171" spans="1:45" ht="33.950000000000003" customHeight="1" x14ac:dyDescent="0.2">
      <c r="A171" s="646"/>
      <c r="B171" s="1209"/>
      <c r="C171" s="845" t="s">
        <v>282</v>
      </c>
      <c r="D171" s="1212"/>
      <c r="E171" s="350">
        <v>16901291</v>
      </c>
      <c r="F171" s="556">
        <v>150.01</v>
      </c>
      <c r="G171" s="350">
        <v>0.01</v>
      </c>
      <c r="H171" s="797">
        <v>-8.0000000000000002E-3</v>
      </c>
      <c r="I171" s="846">
        <v>1.7999999999999999E-2</v>
      </c>
      <c r="J171" s="579">
        <v>2</v>
      </c>
      <c r="K171" s="503">
        <v>44636</v>
      </c>
      <c r="L171" s="847" t="s">
        <v>277</v>
      </c>
      <c r="N171" s="426"/>
      <c r="O171" s="613"/>
      <c r="P171" s="853"/>
      <c r="Q171" s="613"/>
    </row>
    <row r="172" spans="1:45" ht="33.950000000000003" customHeight="1" thickBot="1" x14ac:dyDescent="0.25">
      <c r="A172" s="646"/>
      <c r="B172" s="1210"/>
      <c r="C172" s="848" t="s">
        <v>285</v>
      </c>
      <c r="D172" s="1213"/>
      <c r="E172" s="352">
        <v>16901291</v>
      </c>
      <c r="F172" s="768">
        <v>200.01</v>
      </c>
      <c r="G172" s="352">
        <v>0.01</v>
      </c>
      <c r="H172" s="662">
        <v>-1.4E-2</v>
      </c>
      <c r="I172" s="849">
        <v>1.7999999999999999E-2</v>
      </c>
      <c r="J172" s="580">
        <v>2</v>
      </c>
      <c r="K172" s="504">
        <v>44636</v>
      </c>
      <c r="L172" s="850" t="s">
        <v>277</v>
      </c>
      <c r="O172" s="1148"/>
      <c r="P172" s="1148"/>
      <c r="Q172" s="1148"/>
    </row>
    <row r="173" spans="1:45" ht="35.1" customHeight="1" x14ac:dyDescent="0.2">
      <c r="A173" s="646"/>
      <c r="D173" s="426"/>
      <c r="K173" s="588"/>
      <c r="N173" s="64"/>
      <c r="O173" s="64"/>
      <c r="P173" s="64"/>
      <c r="Q173" s="426"/>
    </row>
    <row r="174" spans="1:45" ht="35.1" customHeight="1" thickBot="1" x14ac:dyDescent="0.25"/>
    <row r="175" spans="1:45" ht="35.1" customHeight="1" thickBot="1" x14ac:dyDescent="0.25">
      <c r="A175" s="646"/>
      <c r="B175" s="1114" t="s">
        <v>286</v>
      </c>
      <c r="C175" s="1115"/>
      <c r="D175" s="1115"/>
      <c r="E175" s="1115"/>
      <c r="F175" s="1115"/>
      <c r="G175" s="1115"/>
      <c r="H175" s="1115"/>
      <c r="I175" s="1115"/>
      <c r="J175" s="1115"/>
      <c r="K175" s="1115"/>
      <c r="L175" s="1115"/>
      <c r="M175" s="1115"/>
      <c r="N175" s="1115"/>
      <c r="O175" s="1115"/>
      <c r="P175" s="1115"/>
      <c r="Q175" s="1115"/>
      <c r="R175" s="1115"/>
      <c r="S175" s="1116"/>
    </row>
    <row r="176" spans="1:45" ht="65.25" customHeight="1" thickBot="1" x14ac:dyDescent="0.25">
      <c r="A176" s="646"/>
      <c r="C176" s="426"/>
      <c r="D176" s="692" t="s">
        <v>24</v>
      </c>
      <c r="E176" s="693" t="s">
        <v>65</v>
      </c>
      <c r="F176" s="693" t="s">
        <v>287</v>
      </c>
      <c r="G176" s="693" t="s">
        <v>288</v>
      </c>
      <c r="H176" s="693" t="s">
        <v>68</v>
      </c>
      <c r="I176" s="693" t="s">
        <v>69</v>
      </c>
      <c r="J176" s="693" t="s">
        <v>70</v>
      </c>
      <c r="K176" s="694" t="s">
        <v>5</v>
      </c>
      <c r="L176" s="693" t="s">
        <v>71</v>
      </c>
      <c r="M176" s="693" t="s">
        <v>289</v>
      </c>
      <c r="N176" s="693" t="s">
        <v>290</v>
      </c>
      <c r="O176" s="693" t="s">
        <v>81</v>
      </c>
      <c r="P176" s="693" t="s">
        <v>291</v>
      </c>
      <c r="Q176" s="693" t="s">
        <v>292</v>
      </c>
      <c r="R176" s="695" t="s">
        <v>293</v>
      </c>
      <c r="S176" s="854" t="s">
        <v>294</v>
      </c>
      <c r="T176" s="14"/>
      <c r="U176" s="14"/>
    </row>
    <row r="177" spans="1:21" ht="35.1" customHeight="1" thickBot="1" x14ac:dyDescent="0.25">
      <c r="A177" s="646"/>
      <c r="D177" s="426"/>
      <c r="E177" s="426"/>
      <c r="F177" s="426"/>
      <c r="G177" s="426"/>
      <c r="H177" s="426"/>
      <c r="I177" s="426"/>
      <c r="J177" s="426"/>
      <c r="K177" s="696"/>
    </row>
    <row r="178" spans="1:21" ht="35.1" customHeight="1" x14ac:dyDescent="0.2">
      <c r="A178" s="646"/>
      <c r="B178" s="1048" t="s">
        <v>295</v>
      </c>
      <c r="C178" s="355" t="s">
        <v>296</v>
      </c>
      <c r="D178" s="1223" t="s">
        <v>297</v>
      </c>
      <c r="E178" s="356" t="s">
        <v>298</v>
      </c>
      <c r="F178" s="490">
        <v>100</v>
      </c>
      <c r="G178" s="348">
        <v>0.01</v>
      </c>
      <c r="H178" s="1019">
        <v>0</v>
      </c>
      <c r="I178" s="938">
        <v>0.02</v>
      </c>
      <c r="J178" s="1020">
        <v>2</v>
      </c>
      <c r="K178" s="1021">
        <v>45037</v>
      </c>
      <c r="L178" s="1226" t="s">
        <v>299</v>
      </c>
      <c r="M178" s="855">
        <f>SLOPE(H178:H187,F178:F187)</f>
        <v>-2.3909782789845006E-5</v>
      </c>
      <c r="N178" s="856">
        <f>INTERCEPT(H178:H187,F178:F187)</f>
        <v>6.9037831231597985E-3</v>
      </c>
      <c r="O178" s="581">
        <f>F178</f>
        <v>100</v>
      </c>
      <c r="P178" s="680">
        <f>H178</f>
        <v>0</v>
      </c>
      <c r="Q178" s="938">
        <v>-0.01</v>
      </c>
      <c r="R178" s="496">
        <f>ABS(P178-Q178)</f>
        <v>0.01</v>
      </c>
    </row>
    <row r="179" spans="1:21" ht="35.1" customHeight="1" thickBot="1" x14ac:dyDescent="0.25">
      <c r="A179" s="646"/>
      <c r="B179" s="1049"/>
      <c r="C179" s="357" t="s">
        <v>300</v>
      </c>
      <c r="D179" s="1224"/>
      <c r="E179" s="358" t="s">
        <v>298</v>
      </c>
      <c r="F179" s="491">
        <v>200</v>
      </c>
      <c r="G179" s="351">
        <v>0.01</v>
      </c>
      <c r="H179" s="976">
        <v>0</v>
      </c>
      <c r="I179" s="923">
        <v>0.02</v>
      </c>
      <c r="J179" s="1022">
        <v>2</v>
      </c>
      <c r="K179" s="1023">
        <v>45037</v>
      </c>
      <c r="L179" s="1227"/>
      <c r="M179" s="359">
        <f>SLOPE(H178:H187,F178:F187)</f>
        <v>-2.3909782789845006E-5</v>
      </c>
      <c r="N179" s="360">
        <f>INTERCEPT(H178:H187,F178:F187)</f>
        <v>6.9037831231597985E-3</v>
      </c>
      <c r="O179" s="582">
        <f t="shared" ref="O179:O187" si="4">F179</f>
        <v>200</v>
      </c>
      <c r="P179" s="721">
        <f t="shared" ref="P179:P187" si="5">H179</f>
        <v>0</v>
      </c>
      <c r="Q179" s="976">
        <v>0</v>
      </c>
      <c r="R179" s="497">
        <f t="shared" ref="R179:R184" si="6">ABS(P179-Q179)</f>
        <v>0</v>
      </c>
    </row>
    <row r="180" spans="1:21" ht="35.1" customHeight="1" thickBot="1" x14ac:dyDescent="0.25">
      <c r="A180" s="702" t="s">
        <v>301</v>
      </c>
      <c r="B180" s="1049"/>
      <c r="C180" s="357" t="s">
        <v>302</v>
      </c>
      <c r="D180" s="1224"/>
      <c r="E180" s="358" t="s">
        <v>298</v>
      </c>
      <c r="F180" s="491">
        <v>500</v>
      </c>
      <c r="G180" s="351">
        <v>0.01</v>
      </c>
      <c r="H180" s="976">
        <v>0</v>
      </c>
      <c r="I180" s="923">
        <v>0.02</v>
      </c>
      <c r="J180" s="1022">
        <v>2</v>
      </c>
      <c r="K180" s="1023">
        <v>45037</v>
      </c>
      <c r="L180" s="1227"/>
      <c r="M180" s="857">
        <f>SLOPE(H178:H187,F178:F187)</f>
        <v>-2.3909782789845006E-5</v>
      </c>
      <c r="N180" s="361">
        <f>INTERCEPT(H178:H187,F178:F187)</f>
        <v>6.9037831231597985E-3</v>
      </c>
      <c r="O180" s="582">
        <f t="shared" si="4"/>
        <v>500</v>
      </c>
      <c r="P180" s="721">
        <f t="shared" si="5"/>
        <v>0</v>
      </c>
      <c r="Q180" s="923">
        <v>-0.01</v>
      </c>
      <c r="R180" s="497">
        <f t="shared" si="6"/>
        <v>0.01</v>
      </c>
    </row>
    <row r="181" spans="1:21" ht="35.1" customHeight="1" x14ac:dyDescent="0.2">
      <c r="A181" s="646"/>
      <c r="B181" s="1049"/>
      <c r="C181" s="357" t="s">
        <v>303</v>
      </c>
      <c r="D181" s="1224"/>
      <c r="E181" s="358" t="s">
        <v>298</v>
      </c>
      <c r="F181" s="491">
        <v>1000</v>
      </c>
      <c r="G181" s="351">
        <v>0.01</v>
      </c>
      <c r="H181" s="923">
        <v>-0.02</v>
      </c>
      <c r="I181" s="923">
        <v>0.03</v>
      </c>
      <c r="J181" s="1022">
        <v>2</v>
      </c>
      <c r="K181" s="1023">
        <v>45037</v>
      </c>
      <c r="L181" s="1227"/>
      <c r="M181" s="359">
        <f>SLOPE(H178:H187,F178:F187)</f>
        <v>-2.3909782789845006E-5</v>
      </c>
      <c r="N181" s="360">
        <f>INTERCEPT(H178:H187,F178:F187)</f>
        <v>6.9037831231597985E-3</v>
      </c>
      <c r="O181" s="582">
        <f t="shared" si="4"/>
        <v>1000</v>
      </c>
      <c r="P181" s="721">
        <f t="shared" si="5"/>
        <v>-0.02</v>
      </c>
      <c r="Q181" s="923">
        <v>-0.02</v>
      </c>
      <c r="R181" s="497">
        <f t="shared" si="6"/>
        <v>0</v>
      </c>
    </row>
    <row r="182" spans="1:21" ht="35.1" customHeight="1" x14ac:dyDescent="0.2">
      <c r="A182" s="646"/>
      <c r="B182" s="1049"/>
      <c r="C182" s="357" t="s">
        <v>304</v>
      </c>
      <c r="D182" s="1224"/>
      <c r="E182" s="358" t="s">
        <v>298</v>
      </c>
      <c r="F182" s="491">
        <v>1500</v>
      </c>
      <c r="G182" s="351">
        <v>0.01</v>
      </c>
      <c r="H182" s="976">
        <v>-0.03</v>
      </c>
      <c r="I182" s="923">
        <v>0.03</v>
      </c>
      <c r="J182" s="1022">
        <v>2</v>
      </c>
      <c r="K182" s="1023">
        <v>45037</v>
      </c>
      <c r="L182" s="1227"/>
      <c r="M182" s="359">
        <f>SLOPE(H178:H187,F178:F187)</f>
        <v>-2.3909782789845006E-5</v>
      </c>
      <c r="N182" s="360">
        <f>INTERCEPT(H178:H187,F178:F187)</f>
        <v>6.9037831231597985E-3</v>
      </c>
      <c r="O182" s="582">
        <f t="shared" si="4"/>
        <v>1500</v>
      </c>
      <c r="P182" s="721">
        <f t="shared" si="5"/>
        <v>-0.03</v>
      </c>
      <c r="Q182" s="923">
        <v>-0.02</v>
      </c>
      <c r="R182" s="497">
        <f t="shared" si="6"/>
        <v>9.9999999999999985E-3</v>
      </c>
    </row>
    <row r="183" spans="1:21" ht="35.1" customHeight="1" x14ac:dyDescent="0.2">
      <c r="B183" s="1049"/>
      <c r="C183" s="357" t="s">
        <v>305</v>
      </c>
      <c r="D183" s="1224"/>
      <c r="E183" s="358" t="s">
        <v>298</v>
      </c>
      <c r="F183" s="491">
        <v>2000</v>
      </c>
      <c r="G183" s="351">
        <v>0.01</v>
      </c>
      <c r="H183" s="923">
        <v>-0.04</v>
      </c>
      <c r="I183" s="923">
        <v>0.03</v>
      </c>
      <c r="J183" s="1022">
        <v>2</v>
      </c>
      <c r="K183" s="1023">
        <v>45037</v>
      </c>
      <c r="L183" s="1227"/>
      <c r="M183" s="359">
        <f>SLOPE(H178:H187,F178:F187)</f>
        <v>-2.3909782789845006E-5</v>
      </c>
      <c r="N183" s="360">
        <f>INTERCEPT(H178:H187,F178:F187)</f>
        <v>6.9037831231597985E-3</v>
      </c>
      <c r="O183" s="582">
        <f t="shared" si="4"/>
        <v>2000</v>
      </c>
      <c r="P183" s="721">
        <f t="shared" si="5"/>
        <v>-0.04</v>
      </c>
      <c r="Q183" s="923">
        <v>-0.03</v>
      </c>
      <c r="R183" s="585">
        <f t="shared" si="6"/>
        <v>1.0000000000000002E-2</v>
      </c>
      <c r="S183" s="858">
        <f>0.06/5000</f>
        <v>1.2E-5</v>
      </c>
      <c r="T183" s="859"/>
      <c r="U183" s="859"/>
    </row>
    <row r="184" spans="1:21" ht="35.1" customHeight="1" x14ac:dyDescent="0.2">
      <c r="B184" s="1049"/>
      <c r="C184" s="357" t="s">
        <v>306</v>
      </c>
      <c r="D184" s="1224"/>
      <c r="E184" s="358" t="s">
        <v>298</v>
      </c>
      <c r="F184" s="491">
        <v>3500</v>
      </c>
      <c r="G184" s="351">
        <v>0.01</v>
      </c>
      <c r="H184" s="923">
        <v>-7.0000000000000007E-2</v>
      </c>
      <c r="I184" s="923">
        <v>0.03</v>
      </c>
      <c r="J184" s="1022">
        <v>2</v>
      </c>
      <c r="K184" s="1023">
        <v>45037</v>
      </c>
      <c r="L184" s="1227"/>
      <c r="M184" s="359">
        <f>SLOPE(H178:H187,F178:F187)</f>
        <v>-2.3909782789845006E-5</v>
      </c>
      <c r="N184" s="360">
        <f>INTERCEPT(H178:H187,F178:F187)</f>
        <v>6.9037831231597985E-3</v>
      </c>
      <c r="O184" s="582">
        <f t="shared" si="4"/>
        <v>3500</v>
      </c>
      <c r="P184" s="721">
        <f t="shared" si="5"/>
        <v>-7.0000000000000007E-2</v>
      </c>
      <c r="Q184" s="923">
        <v>-0.05</v>
      </c>
      <c r="R184" s="497">
        <f t="shared" si="6"/>
        <v>2.0000000000000004E-2</v>
      </c>
    </row>
    <row r="185" spans="1:21" ht="35.1" customHeight="1" x14ac:dyDescent="0.2">
      <c r="B185" s="1049"/>
      <c r="C185" s="357" t="s">
        <v>307</v>
      </c>
      <c r="D185" s="1224"/>
      <c r="E185" s="358" t="s">
        <v>298</v>
      </c>
      <c r="F185" s="491">
        <v>5000</v>
      </c>
      <c r="G185" s="351">
        <v>0.01</v>
      </c>
      <c r="H185" s="923">
        <v>-0.11</v>
      </c>
      <c r="I185" s="923">
        <v>0.04</v>
      </c>
      <c r="J185" s="1022">
        <v>2</v>
      </c>
      <c r="K185" s="1023">
        <v>45037</v>
      </c>
      <c r="L185" s="1227"/>
      <c r="M185" s="359">
        <f>SLOPE(H178:H187,F178:F187)</f>
        <v>-2.3909782789845006E-5</v>
      </c>
      <c r="N185" s="360">
        <f>INTERCEPT(H178:H187,F178:F187)</f>
        <v>6.9037831231597985E-3</v>
      </c>
      <c r="O185" s="582">
        <f t="shared" si="4"/>
        <v>5000</v>
      </c>
      <c r="P185" s="721">
        <f t="shared" si="5"/>
        <v>-0.11</v>
      </c>
      <c r="Q185" s="923">
        <v>-0.09</v>
      </c>
      <c r="R185" s="497">
        <f>ABS(P185-Q185)</f>
        <v>2.0000000000000004E-2</v>
      </c>
    </row>
    <row r="186" spans="1:21" ht="35.1" customHeight="1" x14ac:dyDescent="0.2">
      <c r="B186" s="1049"/>
      <c r="C186" s="357" t="s">
        <v>308</v>
      </c>
      <c r="D186" s="1224"/>
      <c r="E186" s="358" t="s">
        <v>298</v>
      </c>
      <c r="F186" s="491">
        <v>6500</v>
      </c>
      <c r="G186" s="351">
        <v>0.01</v>
      </c>
      <c r="H186" s="923">
        <v>-0.15</v>
      </c>
      <c r="I186" s="923">
        <v>0.05</v>
      </c>
      <c r="J186" s="1022">
        <v>2</v>
      </c>
      <c r="K186" s="1023">
        <v>45037</v>
      </c>
      <c r="L186" s="1227"/>
      <c r="M186" s="359">
        <f>SLOPE(H178:H187,F178:F187)</f>
        <v>-2.3909782789845006E-5</v>
      </c>
      <c r="N186" s="360">
        <f>INTERCEPT(H178:H187,F178:F187)</f>
        <v>6.9037831231597985E-3</v>
      </c>
      <c r="O186" s="582">
        <f t="shared" si="4"/>
        <v>6500</v>
      </c>
      <c r="P186" s="721">
        <f t="shared" si="5"/>
        <v>-0.15</v>
      </c>
      <c r="Q186" s="923">
        <v>-0.11</v>
      </c>
      <c r="R186" s="497">
        <f>ABS(P186-Q186)</f>
        <v>3.9999999999999994E-2</v>
      </c>
    </row>
    <row r="187" spans="1:21" ht="35.1" customHeight="1" thickBot="1" x14ac:dyDescent="0.25">
      <c r="B187" s="1050"/>
      <c r="C187" s="362" t="s">
        <v>309</v>
      </c>
      <c r="D187" s="1225"/>
      <c r="E187" s="363" t="s">
        <v>298</v>
      </c>
      <c r="F187" s="492">
        <v>8100</v>
      </c>
      <c r="G187" s="353">
        <v>0.01</v>
      </c>
      <c r="H187" s="1024">
        <v>-0.19</v>
      </c>
      <c r="I187" s="927">
        <v>0.06</v>
      </c>
      <c r="J187" s="1025">
        <v>2</v>
      </c>
      <c r="K187" s="1023">
        <v>45037</v>
      </c>
      <c r="L187" s="1228"/>
      <c r="M187" s="364">
        <f>SLOPE(H178:H187,F178:F187)</f>
        <v>-2.3909782789845006E-5</v>
      </c>
      <c r="N187" s="365">
        <f>INTERCEPT(H178:H187,F178:F187)</f>
        <v>6.9037831231597985E-3</v>
      </c>
      <c r="O187" s="583">
        <f t="shared" si="4"/>
        <v>8100</v>
      </c>
      <c r="P187" s="685">
        <f t="shared" si="5"/>
        <v>-0.19</v>
      </c>
      <c r="Q187" s="1024">
        <v>-0.2</v>
      </c>
      <c r="R187" s="498">
        <f>ABS(P187-Q187)</f>
        <v>1.0000000000000009E-2</v>
      </c>
    </row>
    <row r="188" spans="1:21" ht="35.1" customHeight="1" thickBot="1" x14ac:dyDescent="0.25"/>
    <row r="189" spans="1:21" ht="35.1" customHeight="1" x14ac:dyDescent="0.2">
      <c r="A189" s="646"/>
      <c r="B189" s="1048" t="s">
        <v>310</v>
      </c>
      <c r="C189" s="355" t="s">
        <v>311</v>
      </c>
      <c r="D189" s="1223" t="s">
        <v>312</v>
      </c>
      <c r="E189" s="356" t="s">
        <v>313</v>
      </c>
      <c r="F189" s="490">
        <v>100</v>
      </c>
      <c r="G189" s="348">
        <v>0.1</v>
      </c>
      <c r="H189" s="950">
        <v>0</v>
      </c>
      <c r="I189" s="938">
        <v>0.1</v>
      </c>
      <c r="J189" s="1020">
        <v>2</v>
      </c>
      <c r="K189" s="1021">
        <v>45043</v>
      </c>
      <c r="L189" s="1226" t="s">
        <v>314</v>
      </c>
      <c r="M189" s="366">
        <f>SLOPE(H189:H198,F189:F198)</f>
        <v>1.5577716885101307E-5</v>
      </c>
      <c r="N189" s="367">
        <f>INTERCEPT(H189:H198,F189:F198)</f>
        <v>-9.3177102978781789E-2</v>
      </c>
      <c r="O189" s="581">
        <f>F189</f>
        <v>100</v>
      </c>
      <c r="P189" s="499">
        <f>H189</f>
        <v>0</v>
      </c>
      <c r="Q189" s="938">
        <v>-0.1</v>
      </c>
      <c r="R189" s="496">
        <f>ABS(P189-Q189)</f>
        <v>0.1</v>
      </c>
    </row>
    <row r="190" spans="1:21" ht="35.1" customHeight="1" thickBot="1" x14ac:dyDescent="0.25">
      <c r="A190" s="646"/>
      <c r="B190" s="1049"/>
      <c r="C190" s="357" t="s">
        <v>315</v>
      </c>
      <c r="D190" s="1224"/>
      <c r="E190" s="358" t="s">
        <v>313</v>
      </c>
      <c r="F190" s="491">
        <v>200</v>
      </c>
      <c r="G190" s="351">
        <v>0.1</v>
      </c>
      <c r="H190" s="953">
        <v>0</v>
      </c>
      <c r="I190" s="923">
        <v>0.1</v>
      </c>
      <c r="J190" s="1022">
        <v>2</v>
      </c>
      <c r="K190" s="1023">
        <v>45043</v>
      </c>
      <c r="L190" s="1227"/>
      <c r="M190" s="359">
        <f>SLOPE(H189:H198,F189:F198)</f>
        <v>1.5577716885101307E-5</v>
      </c>
      <c r="N190" s="360">
        <f>INTERCEPT(H189:H198,F189:F198)</f>
        <v>-9.3177102978781789E-2</v>
      </c>
      <c r="O190" s="582">
        <f t="shared" ref="O190:O198" si="7">F190</f>
        <v>200</v>
      </c>
      <c r="P190" s="500">
        <f t="shared" ref="P190:P198" si="8">H190</f>
        <v>0</v>
      </c>
      <c r="Q190" s="923">
        <v>-0.1</v>
      </c>
      <c r="R190" s="497">
        <f t="shared" ref="R190:R195" si="9">ABS(P190-Q190)</f>
        <v>0.1</v>
      </c>
    </row>
    <row r="191" spans="1:21" ht="35.1" customHeight="1" thickBot="1" x14ac:dyDescent="0.25">
      <c r="A191" s="702" t="s">
        <v>316</v>
      </c>
      <c r="B191" s="1049"/>
      <c r="C191" s="357" t="s">
        <v>317</v>
      </c>
      <c r="D191" s="1224"/>
      <c r="E191" s="358" t="s">
        <v>313</v>
      </c>
      <c r="F191" s="491">
        <v>5000</v>
      </c>
      <c r="G191" s="351">
        <v>0.1</v>
      </c>
      <c r="H191" s="953">
        <v>0</v>
      </c>
      <c r="I191" s="923">
        <v>0.2</v>
      </c>
      <c r="J191" s="1022">
        <v>2</v>
      </c>
      <c r="K191" s="1023">
        <v>45043</v>
      </c>
      <c r="L191" s="1227"/>
      <c r="M191" s="368">
        <f>SLOPE(H189:H198,F189:F198)</f>
        <v>1.5577716885101307E-5</v>
      </c>
      <c r="N191" s="361">
        <f>INTERCEPT(H189:H198,F189:F198)</f>
        <v>-9.3177102978781789E-2</v>
      </c>
      <c r="O191" s="582">
        <f t="shared" si="7"/>
        <v>5000</v>
      </c>
      <c r="P191" s="500">
        <f t="shared" si="8"/>
        <v>0</v>
      </c>
      <c r="Q191" s="923">
        <v>-0.1</v>
      </c>
      <c r="R191" s="497">
        <f t="shared" si="9"/>
        <v>0.1</v>
      </c>
    </row>
    <row r="192" spans="1:21" ht="35.1" customHeight="1" x14ac:dyDescent="0.2">
      <c r="A192" s="646"/>
      <c r="B192" s="1049"/>
      <c r="C192" s="357" t="s">
        <v>318</v>
      </c>
      <c r="D192" s="1224"/>
      <c r="E192" s="358" t="s">
        <v>313</v>
      </c>
      <c r="F192" s="491">
        <v>10000</v>
      </c>
      <c r="G192" s="351">
        <v>0.1</v>
      </c>
      <c r="H192" s="953">
        <v>0</v>
      </c>
      <c r="I192" s="923">
        <v>0.2</v>
      </c>
      <c r="J192" s="1022">
        <v>2</v>
      </c>
      <c r="K192" s="1023">
        <v>45043</v>
      </c>
      <c r="L192" s="1227"/>
      <c r="M192" s="359">
        <f>SLOPE(H189:H198,F189:F198)</f>
        <v>1.5577716885101307E-5</v>
      </c>
      <c r="N192" s="360">
        <f>INTERCEPT(H189:H198,F189:F198)</f>
        <v>-9.3177102978781789E-2</v>
      </c>
      <c r="O192" s="582">
        <f t="shared" si="7"/>
        <v>10000</v>
      </c>
      <c r="P192" s="500">
        <f t="shared" si="8"/>
        <v>0</v>
      </c>
      <c r="Q192" s="923">
        <v>-0.1</v>
      </c>
      <c r="R192" s="497">
        <f t="shared" si="9"/>
        <v>0.1</v>
      </c>
    </row>
    <row r="193" spans="1:21" ht="35.1" customHeight="1" x14ac:dyDescent="0.2">
      <c r="A193" s="646"/>
      <c r="B193" s="1049"/>
      <c r="C193" s="357" t="s">
        <v>319</v>
      </c>
      <c r="D193" s="1224"/>
      <c r="E193" s="358" t="s">
        <v>313</v>
      </c>
      <c r="F193" s="491">
        <v>15000</v>
      </c>
      <c r="G193" s="351">
        <v>0.1</v>
      </c>
      <c r="H193" s="953">
        <v>0.1</v>
      </c>
      <c r="I193" s="923">
        <v>0.3</v>
      </c>
      <c r="J193" s="1022">
        <v>2</v>
      </c>
      <c r="K193" s="1023">
        <v>45043</v>
      </c>
      <c r="L193" s="1227"/>
      <c r="M193" s="359">
        <f>SLOPE(H189:H198,F189:F198)</f>
        <v>1.5577716885101307E-5</v>
      </c>
      <c r="N193" s="360">
        <f>INTERCEPT(H189:H198,F189:F198)</f>
        <v>-9.3177102978781789E-2</v>
      </c>
      <c r="O193" s="582">
        <f t="shared" si="7"/>
        <v>15000</v>
      </c>
      <c r="P193" s="500">
        <f t="shared" si="8"/>
        <v>0.1</v>
      </c>
      <c r="Q193" s="923">
        <v>-0.1</v>
      </c>
      <c r="R193" s="497">
        <f t="shared" si="9"/>
        <v>0.2</v>
      </c>
    </row>
    <row r="194" spans="1:21" ht="35.1" customHeight="1" x14ac:dyDescent="0.2">
      <c r="B194" s="1049"/>
      <c r="C194" s="357" t="s">
        <v>320</v>
      </c>
      <c r="D194" s="1224"/>
      <c r="E194" s="358" t="s">
        <v>313</v>
      </c>
      <c r="F194" s="491">
        <v>20000</v>
      </c>
      <c r="G194" s="351">
        <v>0.1</v>
      </c>
      <c r="H194" s="923">
        <v>0.1</v>
      </c>
      <c r="I194" s="923">
        <v>0.4</v>
      </c>
      <c r="J194" s="1022">
        <v>2</v>
      </c>
      <c r="K194" s="1023">
        <v>45043</v>
      </c>
      <c r="L194" s="1227"/>
      <c r="M194" s="359">
        <f>SLOPE(H189:H198,F189:F198)</f>
        <v>1.5577716885101307E-5</v>
      </c>
      <c r="N194" s="360">
        <f>INTERCEPT(H189:H198,F189:F198)</f>
        <v>-9.3177102978781789E-2</v>
      </c>
      <c r="O194" s="582">
        <f t="shared" si="7"/>
        <v>20000</v>
      </c>
      <c r="P194" s="500">
        <f t="shared" si="8"/>
        <v>0.1</v>
      </c>
      <c r="Q194" s="923">
        <v>-0.1</v>
      </c>
      <c r="R194" s="585">
        <f t="shared" si="9"/>
        <v>0.2</v>
      </c>
      <c r="S194" s="860">
        <f>(0.3/20000)</f>
        <v>1.4999999999999999E-5</v>
      </c>
      <c r="T194" s="861"/>
      <c r="U194" s="862"/>
    </row>
    <row r="195" spans="1:21" ht="35.1" customHeight="1" x14ac:dyDescent="0.2">
      <c r="B195" s="1049"/>
      <c r="C195" s="357" t="s">
        <v>321</v>
      </c>
      <c r="D195" s="1224"/>
      <c r="E195" s="358" t="s">
        <v>313</v>
      </c>
      <c r="F195" s="491">
        <v>25000</v>
      </c>
      <c r="G195" s="351">
        <v>0.1</v>
      </c>
      <c r="H195" s="953">
        <v>0.2</v>
      </c>
      <c r="I195" s="923">
        <v>0.5</v>
      </c>
      <c r="J195" s="1022">
        <v>2</v>
      </c>
      <c r="K195" s="1023">
        <v>45043</v>
      </c>
      <c r="L195" s="1227"/>
      <c r="M195" s="359">
        <f>SLOPE(H189:H198,F189:F198)</f>
        <v>1.5577716885101307E-5</v>
      </c>
      <c r="N195" s="360">
        <f>INTERCEPT(H189:H198,F189:F198)</f>
        <v>-9.3177102978781789E-2</v>
      </c>
      <c r="O195" s="582">
        <f t="shared" si="7"/>
        <v>25000</v>
      </c>
      <c r="P195" s="500">
        <f t="shared" si="8"/>
        <v>0.2</v>
      </c>
      <c r="Q195" s="923">
        <v>0</v>
      </c>
      <c r="R195" s="497">
        <f t="shared" si="9"/>
        <v>0.2</v>
      </c>
      <c r="T195" s="863"/>
    </row>
    <row r="196" spans="1:21" ht="35.1" customHeight="1" x14ac:dyDescent="0.2">
      <c r="B196" s="1049"/>
      <c r="C196" s="357" t="s">
        <v>322</v>
      </c>
      <c r="D196" s="1224"/>
      <c r="E196" s="358" t="s">
        <v>313</v>
      </c>
      <c r="F196" s="491">
        <v>35000</v>
      </c>
      <c r="G196" s="351">
        <v>0.1</v>
      </c>
      <c r="H196" s="953">
        <v>0.5</v>
      </c>
      <c r="I196" s="923">
        <v>0.7</v>
      </c>
      <c r="J196" s="1022">
        <v>2</v>
      </c>
      <c r="K196" s="1023">
        <v>45043</v>
      </c>
      <c r="L196" s="1227"/>
      <c r="M196" s="359">
        <f>SLOPE(H189:H198,F189:F198)</f>
        <v>1.5577716885101307E-5</v>
      </c>
      <c r="N196" s="360">
        <f>INTERCEPT(H189:H198,F189:F198)</f>
        <v>-9.3177102978781789E-2</v>
      </c>
      <c r="O196" s="582">
        <f t="shared" si="7"/>
        <v>35000</v>
      </c>
      <c r="P196" s="500">
        <f t="shared" si="8"/>
        <v>0.5</v>
      </c>
      <c r="Q196" s="923">
        <v>0</v>
      </c>
      <c r="R196" s="497">
        <f>ABS(P196-Q196)</f>
        <v>0.5</v>
      </c>
    </row>
    <row r="197" spans="1:21" ht="35.1" customHeight="1" x14ac:dyDescent="0.2">
      <c r="B197" s="1049"/>
      <c r="C197" s="357" t="s">
        <v>323</v>
      </c>
      <c r="D197" s="1224"/>
      <c r="E197" s="358" t="s">
        <v>313</v>
      </c>
      <c r="F197" s="491">
        <v>50000</v>
      </c>
      <c r="G197" s="351">
        <v>0.1</v>
      </c>
      <c r="H197" s="923">
        <v>0.7</v>
      </c>
      <c r="I197" s="953">
        <v>1</v>
      </c>
      <c r="J197" s="1022">
        <v>2</v>
      </c>
      <c r="K197" s="1023">
        <v>45043</v>
      </c>
      <c r="L197" s="1227"/>
      <c r="M197" s="359">
        <f>SLOPE(H189:H198,F189:F198)</f>
        <v>1.5577716885101307E-5</v>
      </c>
      <c r="N197" s="360">
        <f>INTERCEPT(H189:H198,F189:F198)</f>
        <v>-9.3177102978781789E-2</v>
      </c>
      <c r="O197" s="582">
        <f t="shared" si="7"/>
        <v>50000</v>
      </c>
      <c r="P197" s="500">
        <f t="shared" si="8"/>
        <v>0.7</v>
      </c>
      <c r="Q197" s="923">
        <v>0.4</v>
      </c>
      <c r="R197" s="497">
        <f>ABS(P197-Q197)</f>
        <v>0.29999999999999993</v>
      </c>
    </row>
    <row r="198" spans="1:21" ht="35.1" customHeight="1" thickBot="1" x14ac:dyDescent="0.25">
      <c r="B198" s="1050"/>
      <c r="C198" s="362" t="s">
        <v>324</v>
      </c>
      <c r="D198" s="1225"/>
      <c r="E198" s="363" t="s">
        <v>313</v>
      </c>
      <c r="F198" s="492">
        <v>60000</v>
      </c>
      <c r="G198" s="353">
        <v>0.1</v>
      </c>
      <c r="H198" s="927">
        <v>0.9</v>
      </c>
      <c r="I198" s="927">
        <v>1.2</v>
      </c>
      <c r="J198" s="1025">
        <v>2</v>
      </c>
      <c r="K198" s="1026">
        <v>45043</v>
      </c>
      <c r="L198" s="1228"/>
      <c r="M198" s="364">
        <f>SLOPE(H189:H198,F189:F198)</f>
        <v>1.5577716885101307E-5</v>
      </c>
      <c r="N198" s="365">
        <f>INTERCEPT(H189:H198,F189:F198)</f>
        <v>-9.3177102978781789E-2</v>
      </c>
      <c r="O198" s="583">
        <f t="shared" si="7"/>
        <v>60000</v>
      </c>
      <c r="P198" s="501">
        <f t="shared" si="8"/>
        <v>0.9</v>
      </c>
      <c r="Q198" s="927">
        <v>0.5</v>
      </c>
      <c r="R198" s="498">
        <f>ABS(P198-Q198)</f>
        <v>0.4</v>
      </c>
    </row>
    <row r="199" spans="1:21" ht="35.1" customHeight="1" thickBot="1" x14ac:dyDescent="0.25"/>
    <row r="200" spans="1:21" ht="35.1" customHeight="1" thickBot="1" x14ac:dyDescent="0.25">
      <c r="A200" s="646"/>
      <c r="B200" s="1114" t="s">
        <v>325</v>
      </c>
      <c r="C200" s="1115"/>
      <c r="D200" s="1115"/>
      <c r="E200" s="1115"/>
      <c r="F200" s="1115"/>
      <c r="G200" s="1115"/>
      <c r="H200" s="1115"/>
      <c r="I200" s="1115"/>
      <c r="J200" s="1115"/>
      <c r="K200" s="1115"/>
      <c r="L200" s="1115"/>
      <c r="M200" s="1115"/>
      <c r="N200" s="1115"/>
      <c r="O200" s="1115"/>
      <c r="P200" s="1115"/>
      <c r="Q200" s="1115"/>
      <c r="R200" s="1116"/>
    </row>
    <row r="201" spans="1:21" ht="64.5" customHeight="1" thickBot="1" x14ac:dyDescent="0.25">
      <c r="A201" s="646"/>
      <c r="C201" s="426"/>
      <c r="D201" s="578" t="s">
        <v>24</v>
      </c>
      <c r="E201" s="282" t="s">
        <v>65</v>
      </c>
      <c r="F201" s="282" t="s">
        <v>326</v>
      </c>
      <c r="G201" s="282" t="s">
        <v>327</v>
      </c>
      <c r="H201" s="282" t="s">
        <v>68</v>
      </c>
      <c r="I201" s="282" t="s">
        <v>69</v>
      </c>
      <c r="J201" s="282" t="s">
        <v>70</v>
      </c>
      <c r="K201" s="672" t="s">
        <v>5</v>
      </c>
      <c r="L201" s="282" t="s">
        <v>71</v>
      </c>
      <c r="M201" s="282" t="s">
        <v>328</v>
      </c>
      <c r="N201" s="282" t="s">
        <v>329</v>
      </c>
      <c r="O201" s="282" t="s">
        <v>81</v>
      </c>
      <c r="P201" s="282" t="s">
        <v>291</v>
      </c>
      <c r="Q201" s="282" t="s">
        <v>292</v>
      </c>
      <c r="R201" s="864" t="s">
        <v>330</v>
      </c>
    </row>
    <row r="202" spans="1:21" ht="35.1" customHeight="1" thickBot="1" x14ac:dyDescent="0.25">
      <c r="A202" s="646"/>
      <c r="D202" s="426"/>
      <c r="E202" s="426"/>
      <c r="F202" s="426"/>
      <c r="G202" s="426"/>
      <c r="H202" s="426"/>
      <c r="I202" s="426"/>
      <c r="J202" s="426"/>
      <c r="K202" s="696"/>
    </row>
    <row r="203" spans="1:21" ht="35.1" customHeight="1" thickBot="1" x14ac:dyDescent="0.25">
      <c r="A203" s="702" t="s">
        <v>331</v>
      </c>
      <c r="B203" s="1110" t="s">
        <v>332</v>
      </c>
      <c r="C203" s="865" t="s">
        <v>333</v>
      </c>
      <c r="D203" s="919" t="s">
        <v>334</v>
      </c>
      <c r="E203" s="581">
        <v>5678</v>
      </c>
      <c r="F203" s="490">
        <v>8</v>
      </c>
      <c r="G203" s="348" t="s">
        <v>335</v>
      </c>
      <c r="H203" s="493" t="s">
        <v>335</v>
      </c>
      <c r="I203" s="699">
        <v>0.14000000000000001</v>
      </c>
      <c r="J203" s="349">
        <v>2</v>
      </c>
      <c r="K203" s="502" t="s">
        <v>335</v>
      </c>
      <c r="L203" s="866" t="s">
        <v>335</v>
      </c>
      <c r="M203" s="867" t="s">
        <v>335</v>
      </c>
      <c r="N203" s="367" t="s">
        <v>335</v>
      </c>
      <c r="O203" s="581">
        <f>F203</f>
        <v>8</v>
      </c>
      <c r="P203" s="499" t="str">
        <f>H203</f>
        <v>N/A</v>
      </c>
      <c r="Q203" s="493" t="s">
        <v>335</v>
      </c>
      <c r="R203" s="496" t="s">
        <v>335</v>
      </c>
    </row>
    <row r="204" spans="1:21" ht="35.1" customHeight="1" thickBot="1" x14ac:dyDescent="0.25">
      <c r="A204" s="646"/>
      <c r="B204" s="1112"/>
      <c r="C204" s="352"/>
      <c r="D204" s="920"/>
      <c r="E204" s="868"/>
      <c r="F204" s="492"/>
      <c r="G204" s="353"/>
      <c r="H204" s="495"/>
      <c r="I204" s="495"/>
      <c r="J204" s="354"/>
      <c r="K204" s="504"/>
      <c r="L204" s="869"/>
      <c r="M204" s="870"/>
      <c r="N204" s="365"/>
      <c r="O204" s="583"/>
      <c r="P204" s="501"/>
      <c r="Q204" s="495"/>
      <c r="R204" s="498"/>
    </row>
    <row r="205" spans="1:21" ht="35.1" customHeight="1" x14ac:dyDescent="0.2">
      <c r="B205" s="871"/>
      <c r="C205" s="14"/>
      <c r="D205" s="589"/>
      <c r="E205" s="706"/>
      <c r="F205" s="872"/>
      <c r="G205" s="426"/>
      <c r="H205" s="426"/>
      <c r="I205" s="426"/>
      <c r="J205" s="823"/>
      <c r="K205" s="696"/>
      <c r="L205" s="873"/>
      <c r="M205" s="874"/>
      <c r="N205" s="104"/>
      <c r="O205" s="65"/>
      <c r="P205" s="823"/>
      <c r="Q205" s="426"/>
      <c r="R205" s="825"/>
    </row>
    <row r="206" spans="1:21" ht="35.1" customHeight="1" thickBot="1" x14ac:dyDescent="0.25">
      <c r="A206" s="646"/>
      <c r="B206" s="871"/>
      <c r="C206" s="14"/>
      <c r="D206" s="589"/>
      <c r="E206" s="706"/>
      <c r="F206" s="872"/>
      <c r="G206" s="426"/>
      <c r="H206" s="426"/>
      <c r="I206" s="426"/>
      <c r="J206" s="823"/>
      <c r="K206" s="696"/>
      <c r="L206" s="873"/>
      <c r="M206" s="874"/>
      <c r="N206" s="104"/>
      <c r="O206" s="65"/>
      <c r="P206" s="823"/>
      <c r="Q206" s="426"/>
      <c r="R206" s="825"/>
    </row>
    <row r="207" spans="1:21" ht="35.1" customHeight="1" thickBot="1" x14ac:dyDescent="0.25">
      <c r="A207" s="646"/>
      <c r="B207" s="1114" t="s">
        <v>325</v>
      </c>
      <c r="C207" s="1115"/>
      <c r="D207" s="1115"/>
      <c r="E207" s="1115"/>
      <c r="F207" s="1115"/>
      <c r="G207" s="1115"/>
      <c r="H207" s="1115"/>
      <c r="I207" s="1115"/>
      <c r="J207" s="1115"/>
      <c r="K207" s="1115"/>
      <c r="L207" s="1115"/>
      <c r="M207" s="1115"/>
      <c r="N207" s="1115"/>
      <c r="O207" s="1115"/>
      <c r="P207" s="1115"/>
      <c r="Q207" s="1115"/>
      <c r="R207" s="1116"/>
    </row>
    <row r="208" spans="1:21" ht="80.25" customHeight="1" thickBot="1" x14ac:dyDescent="0.25">
      <c r="A208" s="646"/>
      <c r="C208" s="426"/>
      <c r="D208" s="578" t="s">
        <v>24</v>
      </c>
      <c r="E208" s="282" t="s">
        <v>65</v>
      </c>
      <c r="F208" s="282" t="s">
        <v>326</v>
      </c>
      <c r="G208" s="282" t="s">
        <v>336</v>
      </c>
      <c r="H208" s="282" t="s">
        <v>68</v>
      </c>
      <c r="I208" s="282" t="s">
        <v>69</v>
      </c>
      <c r="J208" s="282" t="s">
        <v>70</v>
      </c>
      <c r="K208" s="672" t="s">
        <v>5</v>
      </c>
      <c r="L208" s="282" t="s">
        <v>71</v>
      </c>
      <c r="M208" s="282" t="s">
        <v>328</v>
      </c>
      <c r="N208" s="282" t="s">
        <v>329</v>
      </c>
      <c r="O208" s="282" t="s">
        <v>81</v>
      </c>
      <c r="P208" s="282" t="s">
        <v>291</v>
      </c>
      <c r="Q208" s="282" t="s">
        <v>292</v>
      </c>
      <c r="R208" s="864" t="s">
        <v>330</v>
      </c>
    </row>
    <row r="209" spans="1:23" ht="35.1" customHeight="1" thickBot="1" x14ac:dyDescent="0.25">
      <c r="A209" s="646"/>
      <c r="D209" s="426"/>
      <c r="E209" s="426"/>
      <c r="F209" s="426"/>
      <c r="G209" s="426"/>
      <c r="H209" s="426"/>
      <c r="I209" s="426"/>
      <c r="J209" s="426"/>
      <c r="K209" s="696"/>
    </row>
    <row r="210" spans="1:23" ht="35.1" customHeight="1" thickBot="1" x14ac:dyDescent="0.25">
      <c r="A210" s="702" t="s">
        <v>337</v>
      </c>
      <c r="B210" s="1110" t="s">
        <v>338</v>
      </c>
      <c r="C210" s="865" t="s">
        <v>339</v>
      </c>
      <c r="D210" s="1219" t="s">
        <v>340</v>
      </c>
      <c r="E210" s="581" t="s">
        <v>341</v>
      </c>
      <c r="F210" s="490" t="s">
        <v>335</v>
      </c>
      <c r="G210" s="875">
        <v>1.0000000000000001E-5</v>
      </c>
      <c r="H210" s="493" t="s">
        <v>335</v>
      </c>
      <c r="I210" s="876">
        <v>4.4999999999999998E-7</v>
      </c>
      <c r="J210" s="349">
        <v>1</v>
      </c>
      <c r="K210" s="502" t="s">
        <v>335</v>
      </c>
      <c r="L210" s="1221" t="s">
        <v>335</v>
      </c>
      <c r="M210" s="867" t="s">
        <v>335</v>
      </c>
      <c r="N210" s="367" t="s">
        <v>335</v>
      </c>
      <c r="O210" s="581" t="str">
        <f>F210</f>
        <v>N/A</v>
      </c>
      <c r="P210" s="499" t="str">
        <f>H210</f>
        <v>N/A</v>
      </c>
      <c r="Q210" s="493" t="s">
        <v>335</v>
      </c>
      <c r="R210" s="496" t="s">
        <v>335</v>
      </c>
    </row>
    <row r="211" spans="1:23" ht="35.1" customHeight="1" thickBot="1" x14ac:dyDescent="0.25">
      <c r="A211" s="646"/>
      <c r="B211" s="1112"/>
      <c r="C211" s="352"/>
      <c r="D211" s="1220"/>
      <c r="E211" s="868"/>
      <c r="F211" s="492"/>
      <c r="G211" s="353"/>
      <c r="H211" s="495"/>
      <c r="I211" s="495"/>
      <c r="J211" s="354"/>
      <c r="K211" s="504"/>
      <c r="L211" s="1222"/>
      <c r="M211" s="870"/>
      <c r="N211" s="365"/>
      <c r="O211" s="583"/>
      <c r="P211" s="501"/>
      <c r="Q211" s="495"/>
      <c r="R211" s="498"/>
    </row>
    <row r="212" spans="1:23" ht="35.1" customHeight="1" x14ac:dyDescent="0.2">
      <c r="G212" s="877"/>
    </row>
    <row r="213" spans="1:23" ht="35.1" customHeight="1" thickBot="1" x14ac:dyDescent="0.25"/>
    <row r="214" spans="1:23" ht="35.1" customHeight="1" thickBot="1" x14ac:dyDescent="0.25">
      <c r="B214" s="1102" t="s">
        <v>342</v>
      </c>
      <c r="C214" s="1103"/>
      <c r="D214" s="1103"/>
      <c r="E214" s="1103"/>
      <c r="F214" s="1103"/>
      <c r="G214" s="1103"/>
      <c r="H214" s="1103"/>
      <c r="I214" s="1103"/>
      <c r="J214" s="1103"/>
      <c r="K214" s="1104"/>
    </row>
    <row r="215" spans="1:23" ht="84.75" customHeight="1" x14ac:dyDescent="0.2">
      <c r="B215" s="1105" t="s">
        <v>343</v>
      </c>
      <c r="C215" s="321" t="s">
        <v>344</v>
      </c>
      <c r="D215" s="321" t="s">
        <v>24</v>
      </c>
      <c r="E215" s="321" t="s">
        <v>345</v>
      </c>
      <c r="F215" s="321" t="s">
        <v>346</v>
      </c>
      <c r="G215" s="322" t="s">
        <v>347</v>
      </c>
      <c r="H215" s="322" t="s">
        <v>348</v>
      </c>
      <c r="I215" s="322" t="s">
        <v>349</v>
      </c>
      <c r="J215" s="322" t="s">
        <v>350</v>
      </c>
      <c r="K215" s="325" t="s">
        <v>351</v>
      </c>
    </row>
    <row r="216" spans="1:23" ht="16.5" thickBot="1" x14ac:dyDescent="0.25">
      <c r="B216" s="1106"/>
      <c r="C216" s="323"/>
      <c r="D216" s="323"/>
      <c r="E216" s="323"/>
      <c r="F216" s="323"/>
      <c r="G216" s="323"/>
      <c r="H216" s="323"/>
      <c r="I216" s="324"/>
      <c r="J216" s="324"/>
      <c r="K216" s="326"/>
    </row>
    <row r="217" spans="1:23" ht="30" customHeight="1" x14ac:dyDescent="0.2">
      <c r="A217" s="1216" t="s">
        <v>352</v>
      </c>
      <c r="B217" s="532" t="s">
        <v>353</v>
      </c>
      <c r="C217" s="493" t="s">
        <v>354</v>
      </c>
      <c r="D217" s="493" t="s">
        <v>355</v>
      </c>
      <c r="E217" s="493" t="s">
        <v>356</v>
      </c>
      <c r="F217" s="493" t="s">
        <v>357</v>
      </c>
      <c r="G217" s="493">
        <v>4788</v>
      </c>
      <c r="H217" s="502">
        <v>44509</v>
      </c>
      <c r="I217" s="493">
        <v>1</v>
      </c>
      <c r="J217" s="680">
        <v>0.04</v>
      </c>
      <c r="K217" s="533">
        <f t="shared" ref="K217:K222" si="10">I217+(J217)/1000</f>
        <v>1.00004</v>
      </c>
    </row>
    <row r="218" spans="1:23" ht="30" customHeight="1" x14ac:dyDescent="0.2">
      <c r="A218" s="1217"/>
      <c r="B218" s="534" t="s">
        <v>358</v>
      </c>
      <c r="C218" s="494" t="s">
        <v>354</v>
      </c>
      <c r="D218" s="494" t="s">
        <v>355</v>
      </c>
      <c r="E218" s="494" t="s">
        <v>356</v>
      </c>
      <c r="F218" s="494" t="s">
        <v>357</v>
      </c>
      <c r="G218" s="494">
        <v>4788</v>
      </c>
      <c r="H218" s="503">
        <v>44509</v>
      </c>
      <c r="I218" s="494">
        <v>2</v>
      </c>
      <c r="J218" s="721">
        <v>0.03</v>
      </c>
      <c r="K218" s="535">
        <f t="shared" si="10"/>
        <v>2.0000300000000002</v>
      </c>
    </row>
    <row r="219" spans="1:23" ht="30" customHeight="1" thickBot="1" x14ac:dyDescent="0.25">
      <c r="A219" s="1217"/>
      <c r="B219" s="534" t="s">
        <v>359</v>
      </c>
      <c r="C219" s="494" t="s">
        <v>354</v>
      </c>
      <c r="D219" s="494" t="s">
        <v>355</v>
      </c>
      <c r="E219" s="494" t="s">
        <v>356</v>
      </c>
      <c r="F219" s="494" t="s">
        <v>360</v>
      </c>
      <c r="G219" s="494">
        <v>4788</v>
      </c>
      <c r="H219" s="503">
        <v>44509</v>
      </c>
      <c r="I219" s="494">
        <v>2</v>
      </c>
      <c r="J219" s="494">
        <v>0.05</v>
      </c>
      <c r="K219" s="535">
        <f t="shared" si="10"/>
        <v>2.0000499999999999</v>
      </c>
    </row>
    <row r="220" spans="1:23" ht="30" customHeight="1" thickBot="1" x14ac:dyDescent="0.25">
      <c r="A220" s="1217"/>
      <c r="B220" s="534" t="s">
        <v>361</v>
      </c>
      <c r="C220" s="494" t="s">
        <v>354</v>
      </c>
      <c r="D220" s="494" t="s">
        <v>355</v>
      </c>
      <c r="E220" s="494" t="s">
        <v>356</v>
      </c>
      <c r="F220" s="494" t="s">
        <v>357</v>
      </c>
      <c r="G220" s="494">
        <v>4788</v>
      </c>
      <c r="H220" s="503">
        <v>44509</v>
      </c>
      <c r="I220" s="494">
        <v>5</v>
      </c>
      <c r="J220" s="494">
        <v>7.0000000000000007E-2</v>
      </c>
      <c r="K220" s="535">
        <f t="shared" si="10"/>
        <v>5.00007</v>
      </c>
      <c r="N220" s="1087" t="s">
        <v>362</v>
      </c>
      <c r="O220" s="1088"/>
      <c r="P220" s="1089"/>
      <c r="Q220" s="878" t="s">
        <v>24</v>
      </c>
      <c r="R220" s="1087" t="s">
        <v>363</v>
      </c>
      <c r="S220" s="1089"/>
      <c r="T220" s="1087" t="s">
        <v>364</v>
      </c>
      <c r="U220" s="1088"/>
      <c r="V220" s="1087" t="s">
        <v>365</v>
      </c>
      <c r="W220" s="1089"/>
    </row>
    <row r="221" spans="1:23" ht="30" customHeight="1" x14ac:dyDescent="0.2">
      <c r="A221" s="1217"/>
      <c r="B221" s="534" t="s">
        <v>366</v>
      </c>
      <c r="C221" s="494" t="s">
        <v>354</v>
      </c>
      <c r="D221" s="494" t="s">
        <v>355</v>
      </c>
      <c r="E221" s="494" t="s">
        <v>356</v>
      </c>
      <c r="F221" s="494" t="s">
        <v>357</v>
      </c>
      <c r="G221" s="494">
        <v>4788</v>
      </c>
      <c r="H221" s="503">
        <v>44509</v>
      </c>
      <c r="I221" s="494">
        <v>10</v>
      </c>
      <c r="J221" s="494">
        <v>0.08</v>
      </c>
      <c r="K221" s="535">
        <f t="shared" si="10"/>
        <v>10.000080000000001</v>
      </c>
      <c r="N221" s="1090" t="s">
        <v>367</v>
      </c>
      <c r="O221" s="1091"/>
      <c r="P221" s="1091"/>
      <c r="Q221" s="879" t="e">
        <f>IF('RT03-F33 # '!C22=60000,"VIBRA",IF('RT03-F33 # '!C22=8100,"RADWAG"))</f>
        <v>#N/A</v>
      </c>
      <c r="R221" s="1092" t="e">
        <f>IF(Q221="VIBRA","5 g a 60 kg",IF(Q221="RADWAG","0,5 g a 8 100 g"))</f>
        <v>#N/A</v>
      </c>
      <c r="S221" s="1093"/>
      <c r="T221" s="1094" t="e">
        <f>IF(Q221="VIBRA","202046001",IF(Q221="RADWAG","641587"))</f>
        <v>#N/A</v>
      </c>
      <c r="U221" s="1091"/>
      <c r="V221" s="1094" t="e">
        <f>IF(Q221="VIBRA",L189,IF(Q221="RADWAG",L178))</f>
        <v>#N/A</v>
      </c>
      <c r="W221" s="1095"/>
    </row>
    <row r="222" spans="1:23" ht="30" customHeight="1" x14ac:dyDescent="0.2">
      <c r="A222" s="1217"/>
      <c r="B222" s="534" t="s">
        <v>368</v>
      </c>
      <c r="C222" s="494" t="s">
        <v>354</v>
      </c>
      <c r="D222" s="494" t="s">
        <v>355</v>
      </c>
      <c r="E222" s="494" t="s">
        <v>356</v>
      </c>
      <c r="F222" s="494" t="s">
        <v>357</v>
      </c>
      <c r="G222" s="494">
        <v>4788</v>
      </c>
      <c r="H222" s="503">
        <v>44509</v>
      </c>
      <c r="I222" s="494">
        <v>20</v>
      </c>
      <c r="J222" s="494">
        <v>0.11</v>
      </c>
      <c r="K222" s="535">
        <f t="shared" si="10"/>
        <v>20.000109999999999</v>
      </c>
      <c r="N222" s="1042" t="s">
        <v>369</v>
      </c>
      <c r="O222" s="1043"/>
      <c r="P222" s="1043"/>
      <c r="Q222" s="880" t="e">
        <f>VLOOKUP('RT03-F33 # '!S8,'DATOS #'!C38:D60,2,FALSE)</f>
        <v>#N/A</v>
      </c>
      <c r="R222" s="1044" t="e">
        <f>IF(Q222="Lufft ","-150 °C a 400 °C",IF(Q222="YOWEXA","-200 °C a 800 °C"))</f>
        <v>#N/A</v>
      </c>
      <c r="S222" s="1045"/>
      <c r="T222" s="1046" t="e">
        <f>VLOOKUP('RT03-F33 # '!S8,'DATOS #'!C38:E60,3,FALSE)</f>
        <v>#N/A</v>
      </c>
      <c r="U222" s="1043"/>
      <c r="V222" s="1046" t="e">
        <f>VLOOKUP('RT03-F33 # '!S8,'DATOS #'!C38:L60,10,FALSE)</f>
        <v>#N/A</v>
      </c>
      <c r="W222" s="1047"/>
    </row>
    <row r="223" spans="1:23" ht="30" customHeight="1" x14ac:dyDescent="0.2">
      <c r="A223" s="1217"/>
      <c r="B223" s="534" t="s">
        <v>370</v>
      </c>
      <c r="C223" s="494" t="s">
        <v>354</v>
      </c>
      <c r="D223" s="494" t="s">
        <v>355</v>
      </c>
      <c r="E223" s="494" t="s">
        <v>356</v>
      </c>
      <c r="F223" s="494" t="s">
        <v>360</v>
      </c>
      <c r="G223" s="494">
        <v>4788</v>
      </c>
      <c r="H223" s="503">
        <v>44509</v>
      </c>
      <c r="I223" s="494">
        <v>20</v>
      </c>
      <c r="J223" s="721">
        <v>0.1</v>
      </c>
      <c r="K223" s="535">
        <f t="shared" ref="K223:K234" si="11">I223+(J223)/1000</f>
        <v>20.0001</v>
      </c>
      <c r="N223" s="1042" t="s">
        <v>371</v>
      </c>
      <c r="O223" s="1043"/>
      <c r="P223" s="1043"/>
      <c r="Q223" s="880" t="e">
        <f>VLOOKUP('RT03-F33 # '!S23,'DATOS #'!C68:L118,2,FALSE)</f>
        <v>#N/A</v>
      </c>
      <c r="R223" s="1044" t="s">
        <v>372</v>
      </c>
      <c r="S223" s="1045"/>
      <c r="T223" s="1046" t="e">
        <f>VLOOKUP('RT03-F33 # '!S23,'DATOS #'!C68:L118,3,FALSE)</f>
        <v>#N/A</v>
      </c>
      <c r="U223" s="1043"/>
      <c r="V223" s="1046" t="e">
        <f>VLOOKUP('RT03-F33 # '!S23,'DATOS #'!C68:M118,11,FALSE)</f>
        <v>#N/A</v>
      </c>
      <c r="W223" s="1047"/>
    </row>
    <row r="224" spans="1:23" ht="30" customHeight="1" thickBot="1" x14ac:dyDescent="0.25">
      <c r="A224" s="1217"/>
      <c r="B224" s="534" t="s">
        <v>373</v>
      </c>
      <c r="C224" s="494" t="s">
        <v>354</v>
      </c>
      <c r="D224" s="494" t="s">
        <v>355</v>
      </c>
      <c r="E224" s="494" t="s">
        <v>356</v>
      </c>
      <c r="F224" s="494" t="s">
        <v>357</v>
      </c>
      <c r="G224" s="494">
        <v>4788</v>
      </c>
      <c r="H224" s="503">
        <v>44509</v>
      </c>
      <c r="I224" s="494">
        <v>50</v>
      </c>
      <c r="J224" s="721">
        <v>0.08</v>
      </c>
      <c r="K224" s="535">
        <f t="shared" si="11"/>
        <v>50.000079999999997</v>
      </c>
      <c r="N224" s="1080" t="s">
        <v>374</v>
      </c>
      <c r="O224" s="1081"/>
      <c r="P224" s="1081"/>
      <c r="Q224" s="881" t="s">
        <v>335</v>
      </c>
      <c r="R224" s="1082" t="s">
        <v>335</v>
      </c>
      <c r="S224" s="1083"/>
      <c r="T224" s="1084" t="s">
        <v>335</v>
      </c>
      <c r="U224" s="1085"/>
      <c r="V224" s="1081" t="s">
        <v>375</v>
      </c>
      <c r="W224" s="1086"/>
    </row>
    <row r="225" spans="1:77" ht="30" customHeight="1" x14ac:dyDescent="0.2">
      <c r="A225" s="1217"/>
      <c r="B225" s="534" t="s">
        <v>376</v>
      </c>
      <c r="C225" s="494" t="s">
        <v>354</v>
      </c>
      <c r="D225" s="494" t="s">
        <v>355</v>
      </c>
      <c r="E225" s="494" t="s">
        <v>356</v>
      </c>
      <c r="F225" s="494" t="s">
        <v>357</v>
      </c>
      <c r="G225" s="494">
        <v>4788</v>
      </c>
      <c r="H225" s="503">
        <v>44509</v>
      </c>
      <c r="I225" s="494">
        <v>100</v>
      </c>
      <c r="J225" s="494">
        <v>0.11</v>
      </c>
      <c r="K225" s="535">
        <f t="shared" si="11"/>
        <v>100.00011000000001</v>
      </c>
    </row>
    <row r="226" spans="1:77" ht="30" customHeight="1" x14ac:dyDescent="0.2">
      <c r="A226" s="1217"/>
      <c r="B226" s="534" t="s">
        <v>377</v>
      </c>
      <c r="C226" s="494" t="s">
        <v>354</v>
      </c>
      <c r="D226" s="494" t="s">
        <v>355</v>
      </c>
      <c r="E226" s="494" t="s">
        <v>356</v>
      </c>
      <c r="F226" s="494" t="s">
        <v>357</v>
      </c>
      <c r="G226" s="494">
        <v>4788</v>
      </c>
      <c r="H226" s="503">
        <v>44509</v>
      </c>
      <c r="I226" s="494">
        <v>200</v>
      </c>
      <c r="J226" s="494">
        <v>0.3</v>
      </c>
      <c r="K226" s="535">
        <f t="shared" si="11"/>
        <v>200.00030000000001</v>
      </c>
    </row>
    <row r="227" spans="1:77" ht="30" customHeight="1" x14ac:dyDescent="0.2">
      <c r="A227" s="1217"/>
      <c r="B227" s="534" t="s">
        <v>378</v>
      </c>
      <c r="C227" s="494" t="s">
        <v>354</v>
      </c>
      <c r="D227" s="494" t="s">
        <v>355</v>
      </c>
      <c r="E227" s="494" t="s">
        <v>356</v>
      </c>
      <c r="F227" s="494" t="s">
        <v>360</v>
      </c>
      <c r="G227" s="494">
        <v>4788</v>
      </c>
      <c r="H227" s="503">
        <v>44509</v>
      </c>
      <c r="I227" s="494">
        <v>200</v>
      </c>
      <c r="J227" s="494">
        <v>0.3</v>
      </c>
      <c r="K227" s="535">
        <f t="shared" si="11"/>
        <v>200.00030000000001</v>
      </c>
    </row>
    <row r="228" spans="1:77" ht="30" customHeight="1" x14ac:dyDescent="0.2">
      <c r="A228" s="1217"/>
      <c r="B228" s="534" t="s">
        <v>379</v>
      </c>
      <c r="C228" s="494" t="s">
        <v>354</v>
      </c>
      <c r="D228" s="494" t="s">
        <v>355</v>
      </c>
      <c r="E228" s="494" t="s">
        <v>356</v>
      </c>
      <c r="F228" s="494" t="s">
        <v>357</v>
      </c>
      <c r="G228" s="494">
        <v>4788</v>
      </c>
      <c r="H228" s="503">
        <v>44509</v>
      </c>
      <c r="I228" s="494">
        <v>500</v>
      </c>
      <c r="J228" s="494">
        <v>0.8</v>
      </c>
      <c r="K228" s="535">
        <f t="shared" si="11"/>
        <v>500.00080000000003</v>
      </c>
    </row>
    <row r="229" spans="1:77" ht="30" customHeight="1" x14ac:dyDescent="0.2">
      <c r="A229" s="1217"/>
      <c r="B229" s="534" t="s">
        <v>380</v>
      </c>
      <c r="C229" s="494" t="s">
        <v>354</v>
      </c>
      <c r="D229" s="494" t="s">
        <v>355</v>
      </c>
      <c r="E229" s="494" t="s">
        <v>356</v>
      </c>
      <c r="F229" s="494" t="s">
        <v>357</v>
      </c>
      <c r="G229" s="494">
        <v>4788</v>
      </c>
      <c r="H229" s="503">
        <v>44509</v>
      </c>
      <c r="I229" s="536">
        <v>1000</v>
      </c>
      <c r="J229" s="500">
        <v>-0.6</v>
      </c>
      <c r="K229" s="535">
        <f t="shared" si="11"/>
        <v>999.99940000000004</v>
      </c>
    </row>
    <row r="230" spans="1:77" ht="30" customHeight="1" x14ac:dyDescent="0.2">
      <c r="A230" s="1217"/>
      <c r="B230" s="534" t="s">
        <v>381</v>
      </c>
      <c r="C230" s="494" t="s">
        <v>354</v>
      </c>
      <c r="D230" s="494" t="s">
        <v>355</v>
      </c>
      <c r="E230" s="494" t="s">
        <v>356</v>
      </c>
      <c r="F230" s="494" t="s">
        <v>357</v>
      </c>
      <c r="G230" s="494">
        <v>4788</v>
      </c>
      <c r="H230" s="503">
        <v>44509</v>
      </c>
      <c r="I230" s="536">
        <v>2000</v>
      </c>
      <c r="J230" s="500">
        <v>3.1</v>
      </c>
      <c r="K230" s="535">
        <f t="shared" si="11"/>
        <v>2000.0030999999999</v>
      </c>
    </row>
    <row r="231" spans="1:77" ht="30" customHeight="1" x14ac:dyDescent="0.2">
      <c r="A231" s="1217"/>
      <c r="B231" s="534" t="s">
        <v>382</v>
      </c>
      <c r="C231" s="494" t="s">
        <v>354</v>
      </c>
      <c r="D231" s="494" t="s">
        <v>355</v>
      </c>
      <c r="E231" s="494" t="s">
        <v>356</v>
      </c>
      <c r="F231" s="494" t="s">
        <v>360</v>
      </c>
      <c r="G231" s="494">
        <v>4788</v>
      </c>
      <c r="H231" s="503">
        <v>44509</v>
      </c>
      <c r="I231" s="536">
        <v>2000</v>
      </c>
      <c r="J231" s="494">
        <v>3.2</v>
      </c>
      <c r="K231" s="535">
        <f t="shared" si="11"/>
        <v>2000.0032000000001</v>
      </c>
    </row>
    <row r="232" spans="1:77" ht="30" customHeight="1" x14ac:dyDescent="0.25">
      <c r="A232" s="1217"/>
      <c r="B232" s="534" t="s">
        <v>383</v>
      </c>
      <c r="C232" s="494" t="s">
        <v>354</v>
      </c>
      <c r="D232" s="494" t="s">
        <v>355</v>
      </c>
      <c r="E232" s="494" t="s">
        <v>356</v>
      </c>
      <c r="F232" s="494" t="s">
        <v>360</v>
      </c>
      <c r="G232" s="494">
        <v>4788</v>
      </c>
      <c r="H232" s="503">
        <v>44509</v>
      </c>
      <c r="I232" s="536">
        <v>4000</v>
      </c>
      <c r="J232" s="500">
        <f>SUM(J230:J231)</f>
        <v>6.3000000000000007</v>
      </c>
      <c r="K232" s="535">
        <f t="shared" si="11"/>
        <v>4000.0063</v>
      </c>
      <c r="BV232" s="595"/>
      <c r="BW232" s="595"/>
      <c r="BX232" s="595"/>
      <c r="BY232" s="595"/>
    </row>
    <row r="233" spans="1:77" ht="30" customHeight="1" x14ac:dyDescent="0.25">
      <c r="A233" s="1217"/>
      <c r="B233" s="534" t="s">
        <v>384</v>
      </c>
      <c r="C233" s="494" t="s">
        <v>354</v>
      </c>
      <c r="D233" s="494" t="s">
        <v>355</v>
      </c>
      <c r="E233" s="494" t="s">
        <v>356</v>
      </c>
      <c r="F233" s="494" t="s">
        <v>357</v>
      </c>
      <c r="G233" s="494">
        <v>4788</v>
      </c>
      <c r="H233" s="503">
        <v>44509</v>
      </c>
      <c r="I233" s="536">
        <v>5000</v>
      </c>
      <c r="J233" s="494">
        <v>7.8</v>
      </c>
      <c r="K233" s="535">
        <f t="shared" si="11"/>
        <v>5000.0078000000003</v>
      </c>
      <c r="BV233" s="595"/>
      <c r="BW233" s="595"/>
      <c r="BX233" s="595"/>
      <c r="BY233" s="595"/>
    </row>
    <row r="234" spans="1:77" ht="30" customHeight="1" x14ac:dyDescent="0.25">
      <c r="A234" s="1217"/>
      <c r="B234" s="534" t="s">
        <v>385</v>
      </c>
      <c r="C234" s="494" t="s">
        <v>354</v>
      </c>
      <c r="D234" s="494" t="s">
        <v>355</v>
      </c>
      <c r="E234" s="494" t="s">
        <v>356</v>
      </c>
      <c r="F234" s="494" t="s">
        <v>360</v>
      </c>
      <c r="G234" s="494">
        <v>4788</v>
      </c>
      <c r="H234" s="503">
        <v>44509</v>
      </c>
      <c r="I234" s="536">
        <v>6000</v>
      </c>
      <c r="J234" s="500">
        <f>J233+J229</f>
        <v>7.2</v>
      </c>
      <c r="K234" s="535">
        <f t="shared" si="11"/>
        <v>6000.0072</v>
      </c>
      <c r="BV234" s="595"/>
      <c r="BW234" s="595"/>
      <c r="BX234" s="595"/>
      <c r="BY234" s="595"/>
    </row>
    <row r="235" spans="1:77" ht="30" customHeight="1" x14ac:dyDescent="0.25">
      <c r="A235" s="1217"/>
      <c r="B235" s="534" t="s">
        <v>386</v>
      </c>
      <c r="C235" s="494" t="s">
        <v>387</v>
      </c>
      <c r="D235" s="494" t="s">
        <v>355</v>
      </c>
      <c r="E235" s="494" t="s">
        <v>356</v>
      </c>
      <c r="F235" s="494" t="s">
        <v>360</v>
      </c>
      <c r="G235" s="494">
        <v>4788</v>
      </c>
      <c r="H235" s="503">
        <v>44509</v>
      </c>
      <c r="I235" s="536">
        <f>I233+I230+I228</f>
        <v>7500</v>
      </c>
      <c r="J235" s="536">
        <f>J233+J230+J228</f>
        <v>11.700000000000001</v>
      </c>
      <c r="K235" s="535">
        <f t="shared" ref="K235" si="12">I235+(J235)/1000</f>
        <v>7500.0117</v>
      </c>
      <c r="BV235" s="595"/>
      <c r="BW235" s="595"/>
      <c r="BX235" s="595"/>
      <c r="BY235" s="595"/>
    </row>
    <row r="236" spans="1:77" ht="30" customHeight="1" thickBot="1" x14ac:dyDescent="0.25">
      <c r="A236" s="1218"/>
      <c r="B236" s="882" t="s">
        <v>388</v>
      </c>
      <c r="C236" s="883" t="s">
        <v>387</v>
      </c>
      <c r="D236" s="883" t="s">
        <v>355</v>
      </c>
      <c r="E236" s="883" t="s">
        <v>356</v>
      </c>
      <c r="F236" s="883" t="s">
        <v>360</v>
      </c>
      <c r="G236" s="494">
        <v>4788</v>
      </c>
      <c r="H236" s="503">
        <v>44509</v>
      </c>
      <c r="I236" s="884">
        <f>I233+I230+I229+I226</f>
        <v>8200</v>
      </c>
      <c r="J236" s="884">
        <f>J233+J230+J229+J226</f>
        <v>10.600000000000001</v>
      </c>
      <c r="K236" s="885">
        <f t="shared" ref="K236:K247" si="13">I236+(J236)/1000</f>
        <v>8200.0105999999996</v>
      </c>
    </row>
    <row r="237" spans="1:77" ht="30" customHeight="1" x14ac:dyDescent="0.2">
      <c r="A237" s="1216" t="s">
        <v>389</v>
      </c>
      <c r="B237" s="532" t="s">
        <v>390</v>
      </c>
      <c r="C237" s="493" t="s">
        <v>391</v>
      </c>
      <c r="D237" s="493" t="s">
        <v>392</v>
      </c>
      <c r="E237" s="493" t="s">
        <v>393</v>
      </c>
      <c r="F237" s="493" t="s">
        <v>357</v>
      </c>
      <c r="G237" s="493">
        <v>5407</v>
      </c>
      <c r="H237" s="502">
        <v>44441</v>
      </c>
      <c r="I237" s="537">
        <v>20000</v>
      </c>
      <c r="J237" s="499">
        <v>2</v>
      </c>
      <c r="K237" s="533">
        <f t="shared" si="13"/>
        <v>20000.002</v>
      </c>
    </row>
    <row r="238" spans="1:77" ht="30" customHeight="1" x14ac:dyDescent="0.2">
      <c r="A238" s="1217"/>
      <c r="B238" s="534" t="s">
        <v>394</v>
      </c>
      <c r="C238" s="494" t="s">
        <v>395</v>
      </c>
      <c r="D238" s="494" t="s">
        <v>392</v>
      </c>
      <c r="E238" s="494" t="s">
        <v>396</v>
      </c>
      <c r="F238" s="494">
        <v>20</v>
      </c>
      <c r="G238" s="494">
        <v>5408</v>
      </c>
      <c r="H238" s="503">
        <v>44441</v>
      </c>
      <c r="I238" s="536">
        <v>20000</v>
      </c>
      <c r="J238" s="500">
        <v>39</v>
      </c>
      <c r="K238" s="535">
        <f t="shared" si="13"/>
        <v>20000.039000000001</v>
      </c>
    </row>
    <row r="239" spans="1:77" ht="30" customHeight="1" x14ac:dyDescent="0.2">
      <c r="A239" s="1217"/>
      <c r="B239" s="534" t="s">
        <v>397</v>
      </c>
      <c r="C239" s="494" t="s">
        <v>395</v>
      </c>
      <c r="D239" s="494" t="s">
        <v>392</v>
      </c>
      <c r="E239" s="494" t="s">
        <v>398</v>
      </c>
      <c r="F239" s="494" t="s">
        <v>399</v>
      </c>
      <c r="G239" s="494">
        <v>5410</v>
      </c>
      <c r="H239" s="503">
        <v>44441</v>
      </c>
      <c r="I239" s="536">
        <v>20000</v>
      </c>
      <c r="J239" s="500">
        <v>5</v>
      </c>
      <c r="K239" s="535">
        <f t="shared" si="13"/>
        <v>20000.005000000001</v>
      </c>
    </row>
    <row r="240" spans="1:77" ht="30" customHeight="1" x14ac:dyDescent="0.2">
      <c r="A240" s="1217"/>
      <c r="B240" s="534" t="s">
        <v>400</v>
      </c>
      <c r="C240" s="494" t="s">
        <v>395</v>
      </c>
      <c r="D240" s="494" t="s">
        <v>392</v>
      </c>
      <c r="E240" s="494" t="s">
        <v>401</v>
      </c>
      <c r="F240" s="494" t="s">
        <v>402</v>
      </c>
      <c r="G240" s="494">
        <v>5411</v>
      </c>
      <c r="H240" s="503">
        <v>44441</v>
      </c>
      <c r="I240" s="536">
        <v>20000</v>
      </c>
      <c r="J240" s="500">
        <v>40</v>
      </c>
      <c r="K240" s="535">
        <f t="shared" si="13"/>
        <v>20000.04</v>
      </c>
    </row>
    <row r="241" spans="1:11" ht="30" customHeight="1" x14ac:dyDescent="0.2">
      <c r="A241" s="1217"/>
      <c r="B241" s="534" t="s">
        <v>403</v>
      </c>
      <c r="C241" s="494" t="s">
        <v>395</v>
      </c>
      <c r="D241" s="494" t="s">
        <v>404</v>
      </c>
      <c r="E241" s="494">
        <v>1913624</v>
      </c>
      <c r="F241" s="494" t="s">
        <v>405</v>
      </c>
      <c r="G241" s="494">
        <v>5264</v>
      </c>
      <c r="H241" s="503">
        <v>44350</v>
      </c>
      <c r="I241" s="536">
        <v>10000</v>
      </c>
      <c r="J241" s="500">
        <v>-8</v>
      </c>
      <c r="K241" s="535">
        <f t="shared" si="13"/>
        <v>9999.9920000000002</v>
      </c>
    </row>
    <row r="242" spans="1:11" ht="30" customHeight="1" x14ac:dyDescent="0.2">
      <c r="A242" s="1217"/>
      <c r="B242" s="534" t="s">
        <v>406</v>
      </c>
      <c r="C242" s="494" t="s">
        <v>395</v>
      </c>
      <c r="D242" s="494" t="s">
        <v>404</v>
      </c>
      <c r="E242" s="494">
        <v>1913626</v>
      </c>
      <c r="F242" s="494" t="s">
        <v>407</v>
      </c>
      <c r="G242" s="494">
        <v>5261</v>
      </c>
      <c r="H242" s="503">
        <v>44347</v>
      </c>
      <c r="I242" s="536">
        <v>10000</v>
      </c>
      <c r="J242" s="500">
        <v>-9</v>
      </c>
      <c r="K242" s="535">
        <f t="shared" si="13"/>
        <v>9999.991</v>
      </c>
    </row>
    <row r="243" spans="1:11" ht="30" customHeight="1" x14ac:dyDescent="0.2">
      <c r="A243" s="1217"/>
      <c r="B243" s="534" t="s">
        <v>408</v>
      </c>
      <c r="C243" s="494" t="s">
        <v>395</v>
      </c>
      <c r="D243" s="494" t="s">
        <v>404</v>
      </c>
      <c r="E243" s="494">
        <v>1913622</v>
      </c>
      <c r="F243" s="494" t="s">
        <v>409</v>
      </c>
      <c r="G243" s="494">
        <v>5266</v>
      </c>
      <c r="H243" s="503">
        <v>44355</v>
      </c>
      <c r="I243" s="536">
        <v>5000</v>
      </c>
      <c r="J243" s="500">
        <v>3</v>
      </c>
      <c r="K243" s="535">
        <f t="shared" si="13"/>
        <v>5000.0029999999997</v>
      </c>
    </row>
    <row r="244" spans="1:11" ht="30" customHeight="1" x14ac:dyDescent="0.2">
      <c r="A244" s="1217"/>
      <c r="B244" s="534" t="s">
        <v>410</v>
      </c>
      <c r="C244" s="494" t="s">
        <v>395</v>
      </c>
      <c r="D244" s="494" t="s">
        <v>404</v>
      </c>
      <c r="E244" s="494" t="s">
        <v>411</v>
      </c>
      <c r="F244" s="494" t="s">
        <v>412</v>
      </c>
      <c r="G244" s="494" t="s">
        <v>413</v>
      </c>
      <c r="H244" s="503" t="s">
        <v>414</v>
      </c>
      <c r="I244" s="536">
        <v>15000</v>
      </c>
      <c r="J244" s="500">
        <f>J241+J243</f>
        <v>-5</v>
      </c>
      <c r="K244" s="535">
        <f t="shared" si="13"/>
        <v>14999.995000000001</v>
      </c>
    </row>
    <row r="245" spans="1:11" ht="30" customHeight="1" x14ac:dyDescent="0.2">
      <c r="A245" s="1217"/>
      <c r="B245" s="534" t="s">
        <v>415</v>
      </c>
      <c r="C245" s="494" t="s">
        <v>395</v>
      </c>
      <c r="D245" s="494" t="s">
        <v>416</v>
      </c>
      <c r="E245" s="494" t="s">
        <v>417</v>
      </c>
      <c r="F245" s="494" t="s">
        <v>418</v>
      </c>
      <c r="G245" s="494" t="s">
        <v>419</v>
      </c>
      <c r="H245" s="503" t="s">
        <v>420</v>
      </c>
      <c r="I245" s="536">
        <v>25000</v>
      </c>
      <c r="J245" s="500">
        <f>J240+J243</f>
        <v>43</v>
      </c>
      <c r="K245" s="535">
        <f t="shared" si="13"/>
        <v>25000.043000000001</v>
      </c>
    </row>
    <row r="246" spans="1:11" ht="30" customHeight="1" x14ac:dyDescent="0.2">
      <c r="A246" s="1217"/>
      <c r="B246" s="534" t="s">
        <v>421</v>
      </c>
      <c r="C246" s="494" t="s">
        <v>395</v>
      </c>
      <c r="D246" s="494" t="s">
        <v>416</v>
      </c>
      <c r="E246" s="494" t="s">
        <v>422</v>
      </c>
      <c r="F246" s="494" t="s">
        <v>423</v>
      </c>
      <c r="G246" s="494" t="s">
        <v>424</v>
      </c>
      <c r="H246" s="503" t="s">
        <v>425</v>
      </c>
      <c r="I246" s="536">
        <v>35000</v>
      </c>
      <c r="J246" s="500">
        <f>J240+J241+J243</f>
        <v>35</v>
      </c>
      <c r="K246" s="535">
        <f t="shared" si="13"/>
        <v>35000.035000000003</v>
      </c>
    </row>
    <row r="247" spans="1:11" ht="35.1" customHeight="1" thickBot="1" x14ac:dyDescent="0.25">
      <c r="A247" s="1218"/>
      <c r="B247" s="538" t="s">
        <v>426</v>
      </c>
      <c r="C247" s="495" t="s">
        <v>395</v>
      </c>
      <c r="D247" s="495" t="s">
        <v>392</v>
      </c>
      <c r="E247" s="495" t="s">
        <v>427</v>
      </c>
      <c r="F247" s="495" t="s">
        <v>428</v>
      </c>
      <c r="G247" s="495" t="s">
        <v>429</v>
      </c>
      <c r="H247" s="504" t="s">
        <v>430</v>
      </c>
      <c r="I247" s="539">
        <v>60000</v>
      </c>
      <c r="J247" s="501">
        <f>J238+J239+J240</f>
        <v>84</v>
      </c>
      <c r="K247" s="540">
        <f t="shared" si="13"/>
        <v>60000.084000000003</v>
      </c>
    </row>
  </sheetData>
  <sheetProtection password="CF5C" sheet="1" objects="1" scenarios="1"/>
  <dataConsolidate link="1"/>
  <mergeCells count="135">
    <mergeCell ref="B175:S175"/>
    <mergeCell ref="A217:A236"/>
    <mergeCell ref="A237:A247"/>
    <mergeCell ref="B203:B204"/>
    <mergeCell ref="B200:R200"/>
    <mergeCell ref="B207:R207"/>
    <mergeCell ref="A107:B109"/>
    <mergeCell ref="A104:B106"/>
    <mergeCell ref="L104:L106"/>
    <mergeCell ref="B210:B211"/>
    <mergeCell ref="D210:D211"/>
    <mergeCell ref="L210:L211"/>
    <mergeCell ref="B178:B187"/>
    <mergeCell ref="D178:D187"/>
    <mergeCell ref="L178:L187"/>
    <mergeCell ref="B189:B198"/>
    <mergeCell ref="D189:D198"/>
    <mergeCell ref="L189:L198"/>
    <mergeCell ref="O172:Q172"/>
    <mergeCell ref="A115:B117"/>
    <mergeCell ref="L115:L117"/>
    <mergeCell ref="B130:W130"/>
    <mergeCell ref="A118:B120"/>
    <mergeCell ref="L118:L120"/>
    <mergeCell ref="A112:B114"/>
    <mergeCell ref="O112:O114"/>
    <mergeCell ref="L112:L114"/>
    <mergeCell ref="AH131:AI131"/>
    <mergeCell ref="O154:Q154"/>
    <mergeCell ref="O160:Q160"/>
    <mergeCell ref="O166:Q166"/>
    <mergeCell ref="AC131:AF131"/>
    <mergeCell ref="AC132:AF132"/>
    <mergeCell ref="N140:O140"/>
    <mergeCell ref="B140:B147"/>
    <mergeCell ref="B131:B137"/>
    <mergeCell ref="B166:B172"/>
    <mergeCell ref="B158:B164"/>
    <mergeCell ref="B155:L155"/>
    <mergeCell ref="D158:D164"/>
    <mergeCell ref="D166:D172"/>
    <mergeCell ref="B150:B152"/>
    <mergeCell ref="O148:Q148"/>
    <mergeCell ref="B149:L149"/>
    <mergeCell ref="B139:AA139"/>
    <mergeCell ref="E112:E120"/>
    <mergeCell ref="A85:B87"/>
    <mergeCell ref="A71:B73"/>
    <mergeCell ref="A79:B81"/>
    <mergeCell ref="E101:E109"/>
    <mergeCell ref="D90:D98"/>
    <mergeCell ref="E90:E98"/>
    <mergeCell ref="E79:E87"/>
    <mergeCell ref="D79:D87"/>
    <mergeCell ref="D68:D76"/>
    <mergeCell ref="E68:E76"/>
    <mergeCell ref="E1:V1"/>
    <mergeCell ref="V30:V31"/>
    <mergeCell ref="S30:S31"/>
    <mergeCell ref="T30:T31"/>
    <mergeCell ref="Q8:U8"/>
    <mergeCell ref="S9:U9"/>
    <mergeCell ref="P7:U7"/>
    <mergeCell ref="Q9:R9"/>
    <mergeCell ref="T14:V14"/>
    <mergeCell ref="D5:N5"/>
    <mergeCell ref="B11:N12"/>
    <mergeCell ref="B28:O28"/>
    <mergeCell ref="B21:O21"/>
    <mergeCell ref="A1:D1"/>
    <mergeCell ref="Q24:W25"/>
    <mergeCell ref="D38:D42"/>
    <mergeCell ref="L38:L42"/>
    <mergeCell ref="B214:K214"/>
    <mergeCell ref="B215:B216"/>
    <mergeCell ref="B29:B32"/>
    <mergeCell ref="B38:B42"/>
    <mergeCell ref="S32:V32"/>
    <mergeCell ref="B35:R35"/>
    <mergeCell ref="B44:B48"/>
    <mergeCell ref="L68:L70"/>
    <mergeCell ref="O66:O67"/>
    <mergeCell ref="P66:R67"/>
    <mergeCell ref="O69:O71"/>
    <mergeCell ref="O79:O81"/>
    <mergeCell ref="D44:D48"/>
    <mergeCell ref="D50:D54"/>
    <mergeCell ref="L50:L54"/>
    <mergeCell ref="L44:L48"/>
    <mergeCell ref="D56:D60"/>
    <mergeCell ref="L56:L60"/>
    <mergeCell ref="C63:R64"/>
    <mergeCell ref="C65:R65"/>
    <mergeCell ref="D112:D120"/>
    <mergeCell ref="D101:D109"/>
    <mergeCell ref="N224:P224"/>
    <mergeCell ref="R224:S224"/>
    <mergeCell ref="T224:U224"/>
    <mergeCell ref="V224:W224"/>
    <mergeCell ref="N220:P220"/>
    <mergeCell ref="R220:S220"/>
    <mergeCell ref="T220:U220"/>
    <mergeCell ref="V220:W220"/>
    <mergeCell ref="N221:P221"/>
    <mergeCell ref="R221:S221"/>
    <mergeCell ref="T221:U221"/>
    <mergeCell ref="V221:W221"/>
    <mergeCell ref="N222:P222"/>
    <mergeCell ref="R222:S222"/>
    <mergeCell ref="T222:U222"/>
    <mergeCell ref="V222:W222"/>
    <mergeCell ref="L107:L109"/>
    <mergeCell ref="O101:O103"/>
    <mergeCell ref="N223:P223"/>
    <mergeCell ref="R223:S223"/>
    <mergeCell ref="T223:U223"/>
    <mergeCell ref="V223:W223"/>
    <mergeCell ref="B50:B54"/>
    <mergeCell ref="B56:B60"/>
    <mergeCell ref="O90:O92"/>
    <mergeCell ref="A74:B76"/>
    <mergeCell ref="A101:B103"/>
    <mergeCell ref="L85:L87"/>
    <mergeCell ref="L96:L98"/>
    <mergeCell ref="L74:L76"/>
    <mergeCell ref="L71:L73"/>
    <mergeCell ref="A93:B95"/>
    <mergeCell ref="L82:L84"/>
    <mergeCell ref="A82:B84"/>
    <mergeCell ref="A96:B98"/>
    <mergeCell ref="L90:L92"/>
    <mergeCell ref="A90:B92"/>
    <mergeCell ref="L93:L95"/>
    <mergeCell ref="L79:L81"/>
    <mergeCell ref="L101:L103"/>
  </mergeCells>
  <dataValidations disablePrompts="1" count="3">
    <dataValidation type="list" allowBlank="1" showInputMessage="1" showErrorMessage="1" sqref="H14">
      <formula1>$AC$134:$AC$139</formula1>
    </dataValidation>
    <dataValidation type="list" allowBlank="1" showInputMessage="1" showErrorMessage="1" sqref="J14">
      <formula1>$AH$135:$AH$137</formula1>
    </dataValidation>
    <dataValidation type="list" allowBlank="1" showInputMessage="1" showErrorMessage="1" sqref="G14">
      <formula1>"L,gal"</formula1>
    </dataValidation>
  </dataValidation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headerFooter>
    <oddFooter>&amp;RRT03-F33 Vr.8 (2023-05-23)</oddFooter>
  </headerFooter>
  <rowBreaks count="2" manualBreakCount="2">
    <brk id="62" max="16383" man="1"/>
    <brk id="12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A207"/>
  <sheetViews>
    <sheetView showGridLines="0" tabSelected="1" view="pageBreakPreview" topLeftCell="A115" zoomScaleNormal="40" zoomScaleSheetLayoutView="100" workbookViewId="0">
      <selection activeCell="C6" sqref="C6"/>
    </sheetView>
  </sheetViews>
  <sheetFormatPr baseColWidth="10" defaultColWidth="11.42578125" defaultRowHeight="15" x14ac:dyDescent="0.2"/>
  <cols>
    <col min="1" max="1" width="52" style="1" customWidth="1"/>
    <col min="2" max="2" width="28" style="1" bestFit="1" customWidth="1"/>
    <col min="3" max="3" width="25.42578125" style="1" customWidth="1"/>
    <col min="4" max="4" width="16.7109375" style="1" customWidth="1"/>
    <col min="5" max="5" width="17.28515625" style="1" customWidth="1"/>
    <col min="6" max="6" width="17.7109375" style="1" bestFit="1" customWidth="1"/>
    <col min="7" max="7" width="19.140625" style="1" customWidth="1"/>
    <col min="8" max="8" width="17.5703125" style="1" customWidth="1"/>
    <col min="9" max="9" width="24.7109375" style="1" customWidth="1"/>
    <col min="10" max="10" width="15.7109375" style="1" customWidth="1"/>
    <col min="11" max="11" width="20.7109375" style="1" customWidth="1"/>
    <col min="12" max="12" width="21.42578125" style="1" customWidth="1"/>
    <col min="13" max="13" width="19.42578125" style="1" customWidth="1"/>
    <col min="14" max="14" width="17.85546875" style="1" customWidth="1"/>
    <col min="15" max="16" width="25" style="1" customWidth="1"/>
    <col min="17" max="17" width="17" style="1" customWidth="1"/>
    <col min="18" max="18" width="16.28515625" style="1" customWidth="1"/>
    <col min="19" max="19" width="18.85546875" style="1" customWidth="1"/>
    <col min="20" max="24" width="11.42578125" style="1"/>
    <col min="25" max="25" width="11.7109375" style="1" customWidth="1"/>
    <col min="26" max="16384" width="11.42578125" style="1"/>
  </cols>
  <sheetData>
    <row r="1" spans="1:19" s="2" customFormat="1" ht="75" customHeight="1" thickBot="1" x14ac:dyDescent="0.3">
      <c r="A1" s="1292"/>
      <c r="B1" s="1293"/>
      <c r="C1" s="1028"/>
      <c r="D1" s="1294" t="s">
        <v>431</v>
      </c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  <c r="R1" s="1296"/>
      <c r="S1" s="1029"/>
    </row>
    <row r="2" spans="1:19" s="2" customFormat="1" ht="5.0999999999999996" customHeight="1" thickBot="1" x14ac:dyDescent="0.35">
      <c r="A2" s="1030"/>
      <c r="B2" s="1030"/>
      <c r="C2" s="103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31"/>
    </row>
    <row r="3" spans="1:19" s="3" customFormat="1" ht="36" customHeight="1" thickBot="1" x14ac:dyDescent="0.3">
      <c r="A3" s="5" t="s">
        <v>432</v>
      </c>
      <c r="B3" s="911" t="e">
        <f>VLOOKUP($S3,'DATOS #'!$D$7:$N$19,2,FALSE)</f>
        <v>#N/A</v>
      </c>
      <c r="C3" s="6" t="s">
        <v>433</v>
      </c>
      <c r="D3" s="1297" t="e">
        <f>VLOOKUP($S$3,'DATOS #'!$D$7:$N$19,3,FALSE)</f>
        <v>#N/A</v>
      </c>
      <c r="E3" s="1298"/>
      <c r="F3" s="6" t="s">
        <v>434</v>
      </c>
      <c r="G3" s="1299" t="e">
        <f>VLOOKUP($S$3,'DATOS #'!$D$7:$N$19,7,FALSE)</f>
        <v>#N/A</v>
      </c>
      <c r="H3" s="1299"/>
      <c r="I3" s="6" t="s">
        <v>669</v>
      </c>
      <c r="J3" s="1299" t="e">
        <f>VLOOKUP($S$3,'DATOS #'!$D$7:$N$19,4,FALSE)</f>
        <v>#N/A</v>
      </c>
      <c r="K3" s="1299"/>
      <c r="L3" s="6" t="s">
        <v>667</v>
      </c>
      <c r="M3" s="1297" t="e">
        <f>VLOOKUP($S$3,'DATOS #'!$D$7:$N$19,6,FALSE)</f>
        <v>#N/A</v>
      </c>
      <c r="N3" s="1298"/>
      <c r="O3" s="18" t="s">
        <v>668</v>
      </c>
      <c r="P3" s="1299" t="e">
        <f>VLOOKUP($S$3,'DATOS #'!$D$7:$N$19,11,FALSE)</f>
        <v>#N/A</v>
      </c>
      <c r="Q3" s="1299"/>
      <c r="R3" s="1300"/>
      <c r="S3" s="21"/>
    </row>
    <row r="4" spans="1:19" s="3" customFormat="1" ht="5.0999999999999996" customHeight="1" thickBot="1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3" customFormat="1" ht="30" customHeight="1" thickBot="1" x14ac:dyDescent="0.35">
      <c r="A5" s="1301" t="s">
        <v>435</v>
      </c>
      <c r="B5" s="1302"/>
      <c r="C5" s="1302"/>
      <c r="D5" s="1302"/>
      <c r="E5" s="1302"/>
      <c r="F5" s="1302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3"/>
      <c r="S5" s="16"/>
    </row>
    <row r="6" spans="1:19" s="2" customFormat="1" ht="67.5" customHeight="1" thickBot="1" x14ac:dyDescent="0.3">
      <c r="A6" s="13" t="s">
        <v>436</v>
      </c>
      <c r="B6" s="893" t="s">
        <v>437</v>
      </c>
      <c r="C6" s="894" t="s">
        <v>438</v>
      </c>
      <c r="D6" s="894" t="s">
        <v>439</v>
      </c>
      <c r="E6" s="894" t="s">
        <v>67</v>
      </c>
      <c r="F6" s="894" t="s">
        <v>439</v>
      </c>
      <c r="G6" s="894" t="s">
        <v>68</v>
      </c>
      <c r="H6" s="894" t="s">
        <v>439</v>
      </c>
      <c r="I6" s="894" t="s">
        <v>69</v>
      </c>
      <c r="J6" s="894" t="s">
        <v>439</v>
      </c>
      <c r="K6" s="895" t="s">
        <v>440</v>
      </c>
      <c r="L6" s="894" t="s">
        <v>439</v>
      </c>
      <c r="M6" s="894" t="s">
        <v>441</v>
      </c>
      <c r="N6" s="894" t="s">
        <v>439</v>
      </c>
      <c r="O6" s="894" t="s">
        <v>70</v>
      </c>
      <c r="P6" s="894" t="s">
        <v>5</v>
      </c>
      <c r="Q6" s="22" t="s">
        <v>442</v>
      </c>
      <c r="R6" s="320"/>
      <c r="S6" s="17"/>
    </row>
    <row r="7" spans="1:19" s="2" customFormat="1" ht="29.25" customHeight="1" thickBot="1" x14ac:dyDescent="0.35">
      <c r="A7" s="886" t="s">
        <v>332</v>
      </c>
      <c r="B7" s="896" t="e">
        <f>VLOOKUP(S7,'DATOS #'!C202:R205,3,FALSE)</f>
        <v>#N/A</v>
      </c>
      <c r="C7" s="23" t="e">
        <f>VLOOKUP(S7,'DATOS #'!C202:R205,4,FALSE)</f>
        <v>#N/A</v>
      </c>
      <c r="D7" s="24" t="s">
        <v>443</v>
      </c>
      <c r="E7" s="25" t="e">
        <f>VLOOKUP(S7,'DATOS #'!C202:R205,5,FALSE)</f>
        <v>#N/A</v>
      </c>
      <c r="F7" s="24" t="s">
        <v>443</v>
      </c>
      <c r="G7" s="26" t="e">
        <f>VLOOKUP(S7,'DATOS #'!C202:R205,6,FALSE)</f>
        <v>#N/A</v>
      </c>
      <c r="H7" s="24" t="s">
        <v>443</v>
      </c>
      <c r="I7" s="27" t="e">
        <f>VLOOKUP(S7,'DATOS #'!C202:R205,7,FALSE)</f>
        <v>#N/A</v>
      </c>
      <c r="J7" s="24" t="s">
        <v>443</v>
      </c>
      <c r="K7" s="28" t="e">
        <f>VLOOKUP(S7,'DATOS #'!C202:R205,16,FALSE)</f>
        <v>#N/A</v>
      </c>
      <c r="L7" s="24" t="s">
        <v>443</v>
      </c>
      <c r="M7" s="27" t="e">
        <f>SQRT((I7/2)^2)</f>
        <v>#N/A</v>
      </c>
      <c r="N7" s="24" t="s">
        <v>443</v>
      </c>
      <c r="O7" s="25" t="e">
        <f>VLOOKUP(S7,'DATOS #'!C202:R205,8,FALSE)</f>
        <v>#N/A</v>
      </c>
      <c r="P7" s="897" t="e">
        <f>VLOOKUP(S7,'DATOS #'!C202:R205,9,FALSE)</f>
        <v>#N/A</v>
      </c>
      <c r="Q7" s="742"/>
      <c r="R7" s="30"/>
      <c r="S7" s="31"/>
    </row>
    <row r="8" spans="1:19" s="2" customFormat="1" ht="15.75" x14ac:dyDescent="0.25">
      <c r="A8" s="1304" t="s">
        <v>444</v>
      </c>
      <c r="B8" s="898" t="str">
        <f>IFERROR(VLOOKUP(S8,'DATOS #'!C37:R60,3,0),"N/A")</f>
        <v>N/A</v>
      </c>
      <c r="C8" s="29" t="str">
        <f>IFERROR(VLOOKUP(S8,'DATOS #'!C37:R60,4,0),"N/A")</f>
        <v>N/A</v>
      </c>
      <c r="D8" s="32" t="s">
        <v>36</v>
      </c>
      <c r="E8" s="29" t="str">
        <f>IFERROR(VLOOKUP(S8,'DATOS #'!C37:R60,5,0),"N/A")</f>
        <v>N/A</v>
      </c>
      <c r="F8" s="33" t="s">
        <v>36</v>
      </c>
      <c r="G8" s="29" t="str">
        <f>IFERROR(VLOOKUP(S8,'DATOS #'!C37:R60,6,0),"N/A")</f>
        <v>N/A</v>
      </c>
      <c r="H8" s="33" t="s">
        <v>36</v>
      </c>
      <c r="I8" s="29" t="str">
        <f>IFERROR(VLOOKUP(S8,'DATOS #'!C37:R60,7,0),"N/A")</f>
        <v>N/A</v>
      </c>
      <c r="J8" s="33" t="s">
        <v>36</v>
      </c>
      <c r="K8" s="34" t="str">
        <f>IFERROR(VLOOKUP(S8,'DATOS #'!C37:R60,16,0),"N/A")</f>
        <v>N/A</v>
      </c>
      <c r="L8" s="33" t="s">
        <v>36</v>
      </c>
      <c r="M8" s="35" t="e">
        <f t="shared" ref="M8:M22" si="0">SQRT((I8/2)^2+(K8/SQRT(12))^2)</f>
        <v>#VALUE!</v>
      </c>
      <c r="N8" s="33" t="s">
        <v>36</v>
      </c>
      <c r="O8" s="36" t="str">
        <f>IFERROR(VLOOKUP(S8,'DATOS #'!C37:R60,8,0),"N/A")</f>
        <v>N/A</v>
      </c>
      <c r="P8" s="899" t="str">
        <f>IFERROR(VLOOKUP(S8,'DATOS #'!C37:R60,9,0),"N/A")</f>
        <v>N/A</v>
      </c>
      <c r="Q8" s="37"/>
      <c r="R8" s="38"/>
      <c r="S8" s="39"/>
    </row>
    <row r="9" spans="1:19" s="2" customFormat="1" ht="15.75" x14ac:dyDescent="0.25">
      <c r="A9" s="1305"/>
      <c r="B9" s="898" t="str">
        <f>IFERROR(VLOOKUP(S9,'DATOS #'!C37:R60,3,0),"N/A")</f>
        <v>N/A</v>
      </c>
      <c r="C9" s="29" t="str">
        <f>IFERROR(VLOOKUP(S9,'DATOS #'!C37:R60,4,0),"N/A")</f>
        <v>N/A</v>
      </c>
      <c r="D9" s="32" t="s">
        <v>36</v>
      </c>
      <c r="E9" s="29" t="str">
        <f>IFERROR(VLOOKUP(S9,'DATOS #'!C37:R60,5,0),"N/A")</f>
        <v>N/A</v>
      </c>
      <c r="F9" s="33" t="s">
        <v>36</v>
      </c>
      <c r="G9" s="29" t="str">
        <f>IFERROR(VLOOKUP(S9,'DATOS #'!C37:R60,6,0),"N/A")</f>
        <v>N/A</v>
      </c>
      <c r="H9" s="33" t="s">
        <v>36</v>
      </c>
      <c r="I9" s="29" t="str">
        <f>IFERROR(VLOOKUP(S9,'DATOS #'!C37:R60,7,0),"N/A")</f>
        <v>N/A</v>
      </c>
      <c r="J9" s="33" t="s">
        <v>36</v>
      </c>
      <c r="K9" s="34" t="str">
        <f>IFERROR(VLOOKUP(S9,'DATOS #'!C37:R60,16,0),"N/A")</f>
        <v>N/A</v>
      </c>
      <c r="L9" s="33" t="s">
        <v>36</v>
      </c>
      <c r="M9" s="35" t="e">
        <f t="shared" si="0"/>
        <v>#VALUE!</v>
      </c>
      <c r="N9" s="33" t="s">
        <v>36</v>
      </c>
      <c r="O9" s="36" t="str">
        <f>IFERROR(VLOOKUP(S9,'DATOS #'!C37:R60,8,0),"N/A")</f>
        <v>N/A</v>
      </c>
      <c r="P9" s="899" t="str">
        <f>IFERROR(VLOOKUP(S9,'DATOS #'!C37:R60,9,0),"N/A")</f>
        <v>N/A</v>
      </c>
      <c r="Q9" s="37"/>
      <c r="R9" s="40"/>
      <c r="S9" s="41"/>
    </row>
    <row r="10" spans="1:19" s="2" customFormat="1" ht="15.75" x14ac:dyDescent="0.25">
      <c r="A10" s="1305"/>
      <c r="B10" s="898" t="str">
        <f>IFERROR(VLOOKUP(S10,'DATOS #'!C37:R60,3,0),"N/A")</f>
        <v>N/A</v>
      </c>
      <c r="C10" s="29" t="str">
        <f>IFERROR(VLOOKUP(S10,'DATOS #'!C37:R60,4,0),"N/A")</f>
        <v>N/A</v>
      </c>
      <c r="D10" s="32" t="s">
        <v>36</v>
      </c>
      <c r="E10" s="29" t="str">
        <f>IFERROR(VLOOKUP(S10,'DATOS #'!C37:R60,5,0),"N/A")</f>
        <v>N/A</v>
      </c>
      <c r="F10" s="33" t="s">
        <v>445</v>
      </c>
      <c r="G10" s="29" t="str">
        <f>IFERROR(VLOOKUP(S10,'DATOS #'!C37:R60,6,0),"N/A")</f>
        <v>N/A</v>
      </c>
      <c r="H10" s="33" t="s">
        <v>36</v>
      </c>
      <c r="I10" s="29" t="str">
        <f>IFERROR(VLOOKUP(S10,'DATOS #'!C37:R60,7,0),"N/A")</f>
        <v>N/A</v>
      </c>
      <c r="J10" s="33" t="s">
        <v>36</v>
      </c>
      <c r="K10" s="34" t="str">
        <f>IFERROR(VLOOKUP(S10,'DATOS #'!C37:R60,16,0),"N/A")</f>
        <v>N/A</v>
      </c>
      <c r="L10" s="33" t="s">
        <v>36</v>
      </c>
      <c r="M10" s="35" t="e">
        <f t="shared" si="0"/>
        <v>#VALUE!</v>
      </c>
      <c r="N10" s="33" t="s">
        <v>36</v>
      </c>
      <c r="O10" s="36" t="str">
        <f>IFERROR(VLOOKUP(S10,'DATOS #'!C37:R60,8,0),"N/A")</f>
        <v>N/A</v>
      </c>
      <c r="P10" s="899" t="str">
        <f>IFERROR(VLOOKUP(S10,'DATOS #'!C37:R60,9,0),"N/A")</f>
        <v>N/A</v>
      </c>
      <c r="Q10" s="37"/>
      <c r="R10" s="38"/>
      <c r="S10" s="41"/>
    </row>
    <row r="11" spans="1:19" s="2" customFormat="1" ht="15.75" x14ac:dyDescent="0.25">
      <c r="A11" s="1305"/>
      <c r="B11" s="898" t="str">
        <f>IFERROR(VLOOKUP(S11,'DATOS #'!C37:R60,3,0),"N/A")</f>
        <v>N/A</v>
      </c>
      <c r="C11" s="29" t="str">
        <f>IFERROR(VLOOKUP(S11,'DATOS #'!C37:R60,4,0),"N/A")</f>
        <v>N/A</v>
      </c>
      <c r="D11" s="32" t="s">
        <v>36</v>
      </c>
      <c r="E11" s="29" t="str">
        <f>IFERROR(VLOOKUP(S11,'DATOS #'!C37:R60,5,0),"N/A")</f>
        <v>N/A</v>
      </c>
      <c r="F11" s="33" t="s">
        <v>445</v>
      </c>
      <c r="G11" s="29" t="str">
        <f>IFERROR(VLOOKUP(S11,'DATOS #'!C37:R60,6,0),"N/A")</f>
        <v>N/A</v>
      </c>
      <c r="H11" s="33" t="s">
        <v>36</v>
      </c>
      <c r="I11" s="29" t="str">
        <f>IFERROR(VLOOKUP(S11,'DATOS #'!C37:R60,7,0),"N/A")</f>
        <v>N/A</v>
      </c>
      <c r="J11" s="33" t="s">
        <v>36</v>
      </c>
      <c r="K11" s="34" t="str">
        <f>IFERROR(VLOOKUP(S11,'DATOS #'!C37:R60,16,0),"N/A")</f>
        <v>N/A</v>
      </c>
      <c r="L11" s="33" t="s">
        <v>36</v>
      </c>
      <c r="M11" s="35" t="e">
        <f t="shared" si="0"/>
        <v>#VALUE!</v>
      </c>
      <c r="N11" s="33" t="s">
        <v>36</v>
      </c>
      <c r="O11" s="36" t="str">
        <f>IFERROR(VLOOKUP(S11,'DATOS #'!C37:R60,8,0),"N/A")</f>
        <v>N/A</v>
      </c>
      <c r="P11" s="899" t="str">
        <f>IFERROR(VLOOKUP(S11,'DATOS #'!C37:R60,9,0),"N/A")</f>
        <v>N/A</v>
      </c>
      <c r="Q11" s="37"/>
      <c r="R11" s="38"/>
      <c r="S11" s="41"/>
    </row>
    <row r="12" spans="1:19" s="2" customFormat="1" ht="16.5" thickBot="1" x14ac:dyDescent="0.3">
      <c r="A12" s="1306"/>
      <c r="B12" s="898" t="str">
        <f>IFERROR(VLOOKUP(S12,'DATOS #'!C37:R60,3,0),"N/A")</f>
        <v>N/A</v>
      </c>
      <c r="C12" s="29" t="str">
        <f>IFERROR(VLOOKUP(S12,'DATOS #'!C37:R60,4,0),"N/A")</f>
        <v>N/A</v>
      </c>
      <c r="D12" s="32" t="s">
        <v>36</v>
      </c>
      <c r="E12" s="29" t="str">
        <f>IFERROR(VLOOKUP(S12,'DATOS #'!C37:R60,5,0),"N/A")</f>
        <v>N/A</v>
      </c>
      <c r="F12" s="33" t="s">
        <v>445</v>
      </c>
      <c r="G12" s="29" t="str">
        <f>IFERROR(VLOOKUP(S12,'DATOS #'!C37:R60,6,0),"N/A")</f>
        <v>N/A</v>
      </c>
      <c r="H12" s="33" t="s">
        <v>36</v>
      </c>
      <c r="I12" s="29" t="str">
        <f>IFERROR(VLOOKUP(S12,'DATOS #'!C37:R60,7,0),"N/A")</f>
        <v>N/A</v>
      </c>
      <c r="J12" s="33" t="s">
        <v>36</v>
      </c>
      <c r="K12" s="34" t="str">
        <f>IFERROR(VLOOKUP(S12,'DATOS #'!C37:R60,16,0),"N/A")</f>
        <v>N/A</v>
      </c>
      <c r="L12" s="33" t="s">
        <v>36</v>
      </c>
      <c r="M12" s="35" t="e">
        <f t="shared" si="0"/>
        <v>#VALUE!</v>
      </c>
      <c r="N12" s="33" t="s">
        <v>36</v>
      </c>
      <c r="O12" s="36" t="str">
        <f>IFERROR(VLOOKUP(S12,'DATOS #'!C37:R60,8,0),"N/A")</f>
        <v>N/A</v>
      </c>
      <c r="P12" s="899" t="str">
        <f>IFERROR(VLOOKUP(S12,'DATOS #'!C37:R60,9,0),"N/A")</f>
        <v>N/A</v>
      </c>
      <c r="Q12" s="37"/>
      <c r="R12" s="38"/>
      <c r="S12" s="41"/>
    </row>
    <row r="13" spans="1:19" s="2" customFormat="1" ht="30" customHeight="1" x14ac:dyDescent="0.25">
      <c r="A13" s="1283" t="s">
        <v>367</v>
      </c>
      <c r="B13" s="900" t="e">
        <f>VLOOKUP(S13,'DATOS #'!$C$177:$R$198,3,FALSE)</f>
        <v>#N/A</v>
      </c>
      <c r="C13" s="36" t="e">
        <f>VLOOKUP(S13,'DATOS #'!$C$177:$R$198,4,FALSE)</f>
        <v>#N/A</v>
      </c>
      <c r="D13" s="32" t="s">
        <v>446</v>
      </c>
      <c r="E13" s="42" t="e">
        <f>VLOOKUP(S13,'DATOS #'!$C$177:$R$198,5,FALSE)</f>
        <v>#N/A</v>
      </c>
      <c r="F13" s="33" t="s">
        <v>446</v>
      </c>
      <c r="G13" s="42" t="e">
        <f>VLOOKUP(S13,'DATOS #'!$C$177:$R$198,6,FALSE)</f>
        <v>#N/A</v>
      </c>
      <c r="H13" s="33" t="s">
        <v>446</v>
      </c>
      <c r="I13" s="44" t="e">
        <f>VLOOKUP(S13,'DATOS #'!$C$177:$R$198,7,FALSE)</f>
        <v>#N/A</v>
      </c>
      <c r="J13" s="33" t="s">
        <v>446</v>
      </c>
      <c r="K13" s="43" t="e">
        <f>VLOOKUP(S13,'DATOS #'!$C$177:$R$198,16,FALSE)</f>
        <v>#N/A</v>
      </c>
      <c r="L13" s="33" t="s">
        <v>446</v>
      </c>
      <c r="M13" s="35" t="e">
        <f t="shared" si="0"/>
        <v>#N/A</v>
      </c>
      <c r="N13" s="33" t="s">
        <v>446</v>
      </c>
      <c r="O13" s="36" t="e">
        <f>VLOOKUP(S13,'DATOS #'!$C$177:$R$198,8,FALSE)</f>
        <v>#N/A</v>
      </c>
      <c r="P13" s="899" t="e">
        <f>VLOOKUP(S13,'DATOS #'!$C$177:$R$198,9,FALSE)</f>
        <v>#N/A</v>
      </c>
      <c r="Q13" s="37"/>
      <c r="R13" s="37"/>
      <c r="S13" s="39"/>
    </row>
    <row r="14" spans="1:19" s="2" customFormat="1" ht="30" customHeight="1" x14ac:dyDescent="0.25">
      <c r="A14" s="1284"/>
      <c r="B14" s="900" t="e">
        <f>VLOOKUP(S14,'DATOS #'!$C$177:$R$198,3,FALSE)</f>
        <v>#N/A</v>
      </c>
      <c r="C14" s="36" t="e">
        <f>VLOOKUP(S14,'DATOS #'!$C$177:$R$198,4,FALSE)</f>
        <v>#N/A</v>
      </c>
      <c r="D14" s="32" t="s">
        <v>446</v>
      </c>
      <c r="E14" s="42" t="e">
        <f>VLOOKUP(S14,'DATOS #'!$C$177:$R$198,5,FALSE)</f>
        <v>#N/A</v>
      </c>
      <c r="F14" s="33" t="s">
        <v>446</v>
      </c>
      <c r="G14" s="42" t="e">
        <f>VLOOKUP(S14,'DATOS #'!$C$177:$R$198,6,FALSE)</f>
        <v>#N/A</v>
      </c>
      <c r="H14" s="33" t="s">
        <v>446</v>
      </c>
      <c r="I14" s="44" t="e">
        <f>VLOOKUP(S14,'DATOS #'!$C$177:$R$198,7,FALSE)</f>
        <v>#N/A</v>
      </c>
      <c r="J14" s="33" t="s">
        <v>446</v>
      </c>
      <c r="K14" s="43" t="e">
        <f>VLOOKUP(S14,'DATOS #'!$C$177:$R$198,16,FALSE)</f>
        <v>#N/A</v>
      </c>
      <c r="L14" s="33" t="s">
        <v>446</v>
      </c>
      <c r="M14" s="35" t="e">
        <f t="shared" si="0"/>
        <v>#N/A</v>
      </c>
      <c r="N14" s="33" t="s">
        <v>446</v>
      </c>
      <c r="O14" s="36" t="e">
        <f>VLOOKUP(S14,'DATOS #'!$C$177:$R$198,8,FALSE)</f>
        <v>#N/A</v>
      </c>
      <c r="P14" s="899" t="e">
        <f>VLOOKUP(S14,'DATOS #'!$C$177:$R$198,9,FALSE)</f>
        <v>#N/A</v>
      </c>
      <c r="Q14" s="37"/>
      <c r="R14" s="37"/>
      <c r="S14" s="41"/>
    </row>
    <row r="15" spans="1:19" s="2" customFormat="1" ht="30" customHeight="1" x14ac:dyDescent="0.25">
      <c r="A15" s="1284"/>
      <c r="B15" s="900" t="e">
        <f>VLOOKUP(S15,'DATOS #'!$C$177:$R$198,3,FALSE)</f>
        <v>#N/A</v>
      </c>
      <c r="C15" s="36" t="e">
        <f>VLOOKUP(S15,'DATOS #'!$C$177:$R$198,4,FALSE)</f>
        <v>#N/A</v>
      </c>
      <c r="D15" s="32" t="s">
        <v>446</v>
      </c>
      <c r="E15" s="42" t="e">
        <f>VLOOKUP(S15,'DATOS #'!$C$177:$R$198,5,FALSE)</f>
        <v>#N/A</v>
      </c>
      <c r="F15" s="33" t="s">
        <v>446</v>
      </c>
      <c r="G15" s="42" t="e">
        <f>VLOOKUP(S15,'DATOS #'!$C$177:$R$198,6,FALSE)</f>
        <v>#N/A</v>
      </c>
      <c r="H15" s="33" t="s">
        <v>446</v>
      </c>
      <c r="I15" s="44" t="e">
        <f>VLOOKUP(S15,'DATOS #'!$C$177:$R$198,7,FALSE)</f>
        <v>#N/A</v>
      </c>
      <c r="J15" s="33" t="s">
        <v>446</v>
      </c>
      <c r="K15" s="43" t="e">
        <f>VLOOKUP(S15,'DATOS #'!$C$177:$R$198,16,FALSE)</f>
        <v>#N/A</v>
      </c>
      <c r="L15" s="33" t="s">
        <v>446</v>
      </c>
      <c r="M15" s="44" t="e">
        <f t="shared" si="0"/>
        <v>#N/A</v>
      </c>
      <c r="N15" s="33" t="s">
        <v>446</v>
      </c>
      <c r="O15" s="36" t="e">
        <f>VLOOKUP(S15,'DATOS #'!$C$177:$R$198,8,FALSE)</f>
        <v>#N/A</v>
      </c>
      <c r="P15" s="899" t="e">
        <f>VLOOKUP(S15,'DATOS #'!$C$177:$R$198,9,FALSE)</f>
        <v>#N/A</v>
      </c>
      <c r="Q15" s="37"/>
      <c r="R15" s="37"/>
      <c r="S15" s="41"/>
    </row>
    <row r="16" spans="1:19" s="2" customFormat="1" ht="30" customHeight="1" x14ac:dyDescent="0.25">
      <c r="A16" s="1284"/>
      <c r="B16" s="900" t="e">
        <f>VLOOKUP(S16,'DATOS #'!$C$177:$R$198,3,FALSE)</f>
        <v>#N/A</v>
      </c>
      <c r="C16" s="36" t="e">
        <f>VLOOKUP(S16,'DATOS #'!$C$177:$R$198,4,FALSE)</f>
        <v>#N/A</v>
      </c>
      <c r="D16" s="32" t="s">
        <v>446</v>
      </c>
      <c r="E16" s="42" t="e">
        <f>VLOOKUP(S16,'DATOS #'!$C$177:$R$198,5,FALSE)</f>
        <v>#N/A</v>
      </c>
      <c r="F16" s="33" t="s">
        <v>446</v>
      </c>
      <c r="G16" s="42" t="e">
        <f>VLOOKUP(S16,'DATOS #'!$C$177:$R$198,6,FALSE)</f>
        <v>#N/A</v>
      </c>
      <c r="H16" s="33" t="s">
        <v>446</v>
      </c>
      <c r="I16" s="44" t="e">
        <f>VLOOKUP(S16,'DATOS #'!$C$177:$R$198,7,FALSE)</f>
        <v>#N/A</v>
      </c>
      <c r="J16" s="33" t="s">
        <v>446</v>
      </c>
      <c r="K16" s="43" t="e">
        <f>VLOOKUP(S16,'DATOS #'!$C$177:$R$198,16,FALSE)</f>
        <v>#N/A</v>
      </c>
      <c r="L16" s="33" t="s">
        <v>446</v>
      </c>
      <c r="M16" s="44" t="e">
        <f t="shared" si="0"/>
        <v>#N/A</v>
      </c>
      <c r="N16" s="33" t="s">
        <v>446</v>
      </c>
      <c r="O16" s="36" t="e">
        <f>VLOOKUP(S16,'DATOS #'!$C$177:$R$198,8,FALSE)</f>
        <v>#N/A</v>
      </c>
      <c r="P16" s="899" t="e">
        <f>VLOOKUP(S16,'DATOS #'!$C$177:$R$198,9,FALSE)</f>
        <v>#N/A</v>
      </c>
      <c r="Q16" s="37"/>
      <c r="R16" s="37"/>
      <c r="S16" s="41"/>
    </row>
    <row r="17" spans="1:19" s="2" customFormat="1" ht="30" customHeight="1" x14ac:dyDescent="0.25">
      <c r="A17" s="1284"/>
      <c r="B17" s="900" t="e">
        <f>VLOOKUP(S17,'DATOS #'!$C$177:$R$198,3,FALSE)</f>
        <v>#N/A</v>
      </c>
      <c r="C17" s="36" t="e">
        <f>VLOOKUP(S17,'DATOS #'!$C$177:$R$198,4,FALSE)</f>
        <v>#N/A</v>
      </c>
      <c r="D17" s="32" t="s">
        <v>446</v>
      </c>
      <c r="E17" s="42" t="e">
        <f>VLOOKUP(S17,'DATOS #'!$C$177:$R$198,5,FALSE)</f>
        <v>#N/A</v>
      </c>
      <c r="F17" s="33" t="s">
        <v>446</v>
      </c>
      <c r="G17" s="42" t="e">
        <f>VLOOKUP(S17,'DATOS #'!$C$177:$R$198,6,FALSE)</f>
        <v>#N/A</v>
      </c>
      <c r="H17" s="33" t="s">
        <v>446</v>
      </c>
      <c r="I17" s="44" t="e">
        <f>VLOOKUP(S17,'DATOS #'!$C$177:$R$198,7,FALSE)</f>
        <v>#N/A</v>
      </c>
      <c r="J17" s="33" t="s">
        <v>446</v>
      </c>
      <c r="K17" s="43" t="e">
        <f>VLOOKUP(S17,'DATOS #'!$C$177:$R$198,16,FALSE)</f>
        <v>#N/A</v>
      </c>
      <c r="L17" s="33" t="s">
        <v>446</v>
      </c>
      <c r="M17" s="44" t="e">
        <f t="shared" si="0"/>
        <v>#N/A</v>
      </c>
      <c r="N17" s="33" t="s">
        <v>446</v>
      </c>
      <c r="O17" s="36" t="e">
        <f>VLOOKUP(S17,'DATOS #'!$C$177:$R$198,8,FALSE)</f>
        <v>#N/A</v>
      </c>
      <c r="P17" s="899" t="e">
        <f>VLOOKUP(S17,'DATOS #'!$C$177:$R$198,9,FALSE)</f>
        <v>#N/A</v>
      </c>
      <c r="Q17" s="37"/>
      <c r="R17" s="37"/>
      <c r="S17" s="41"/>
    </row>
    <row r="18" spans="1:19" s="2" customFormat="1" ht="30" customHeight="1" x14ac:dyDescent="0.25">
      <c r="A18" s="1284"/>
      <c r="B18" s="900" t="e">
        <f>VLOOKUP(S18,'DATOS #'!$C$177:$R$198,3,FALSE)</f>
        <v>#N/A</v>
      </c>
      <c r="C18" s="36" t="e">
        <f>VLOOKUP(S18,'DATOS #'!$C$177:$R$198,4,FALSE)</f>
        <v>#N/A</v>
      </c>
      <c r="D18" s="32" t="s">
        <v>446</v>
      </c>
      <c r="E18" s="42" t="e">
        <f>VLOOKUP(S18,'DATOS #'!$C$177:$R$198,5,FALSE)</f>
        <v>#N/A</v>
      </c>
      <c r="F18" s="33" t="s">
        <v>446</v>
      </c>
      <c r="G18" s="42" t="e">
        <f>VLOOKUP(S18,'DATOS #'!$C$177:$R$198,6,FALSE)</f>
        <v>#N/A</v>
      </c>
      <c r="H18" s="33" t="s">
        <v>446</v>
      </c>
      <c r="I18" s="44" t="e">
        <f>VLOOKUP(S18,'DATOS #'!$C$177:$R$198,7,FALSE)</f>
        <v>#N/A</v>
      </c>
      <c r="J18" s="33" t="s">
        <v>446</v>
      </c>
      <c r="K18" s="43" t="e">
        <f>VLOOKUP(S18,'DATOS #'!$C$177:$R$198,16,FALSE)</f>
        <v>#N/A</v>
      </c>
      <c r="L18" s="33" t="s">
        <v>446</v>
      </c>
      <c r="M18" s="44" t="e">
        <f t="shared" si="0"/>
        <v>#N/A</v>
      </c>
      <c r="N18" s="33" t="s">
        <v>446</v>
      </c>
      <c r="O18" s="36" t="e">
        <f>VLOOKUP(S18,'DATOS #'!$C$177:$R$198,8,FALSE)</f>
        <v>#N/A</v>
      </c>
      <c r="P18" s="903" t="e">
        <f>VLOOKUP(S18,'DATOS #'!$C$177:$R$198,9,FALSE)</f>
        <v>#N/A</v>
      </c>
      <c r="Q18" s="904" t="e">
        <f>VLOOKUP(S18,'DATOS #'!$C$177:$S$198,17,FALSE)</f>
        <v>#N/A</v>
      </c>
      <c r="R18" s="37"/>
      <c r="S18" s="41"/>
    </row>
    <row r="19" spans="1:19" s="2" customFormat="1" ht="30" customHeight="1" x14ac:dyDescent="0.25">
      <c r="A19" s="1284"/>
      <c r="B19" s="900" t="e">
        <f>VLOOKUP(S19,'DATOS #'!$C$177:$R$198,3,FALSE)</f>
        <v>#N/A</v>
      </c>
      <c r="C19" s="36" t="e">
        <f>VLOOKUP(S19,'DATOS #'!$C$177:$R$198,4,FALSE)</f>
        <v>#N/A</v>
      </c>
      <c r="D19" s="32" t="s">
        <v>446</v>
      </c>
      <c r="E19" s="42" t="e">
        <f>VLOOKUP(S19,'DATOS #'!$C$177:$R$198,5,FALSE)</f>
        <v>#N/A</v>
      </c>
      <c r="F19" s="33" t="s">
        <v>446</v>
      </c>
      <c r="G19" s="42" t="e">
        <f>VLOOKUP(S19,'DATOS #'!$C$177:$R$198,6,FALSE)</f>
        <v>#N/A</v>
      </c>
      <c r="H19" s="33" t="s">
        <v>446</v>
      </c>
      <c r="I19" s="44" t="e">
        <f>VLOOKUP(S19,'DATOS #'!$C$177:$R$198,7,FALSE)</f>
        <v>#N/A</v>
      </c>
      <c r="J19" s="33" t="s">
        <v>446</v>
      </c>
      <c r="K19" s="43" t="e">
        <f>VLOOKUP(S19,'DATOS #'!$C$177:$R$198,16,FALSE)</f>
        <v>#N/A</v>
      </c>
      <c r="L19" s="33" t="s">
        <v>446</v>
      </c>
      <c r="M19" s="44" t="e">
        <f t="shared" si="0"/>
        <v>#N/A</v>
      </c>
      <c r="N19" s="33" t="s">
        <v>446</v>
      </c>
      <c r="O19" s="36" t="e">
        <f>VLOOKUP(S19,'DATOS #'!$C$177:$R$198,8,FALSE)</f>
        <v>#N/A</v>
      </c>
      <c r="P19" s="899" t="e">
        <f>VLOOKUP(S19,'DATOS #'!$C$177:$R$198,9,FALSE)</f>
        <v>#N/A</v>
      </c>
      <c r="Q19" s="37"/>
      <c r="R19" s="37"/>
      <c r="S19" s="41"/>
    </row>
    <row r="20" spans="1:19" s="2" customFormat="1" ht="30" customHeight="1" x14ac:dyDescent="0.25">
      <c r="A20" s="1284"/>
      <c r="B20" s="900" t="e">
        <f>VLOOKUP(S20,'DATOS #'!$C$177:$R$198,3,FALSE)</f>
        <v>#N/A</v>
      </c>
      <c r="C20" s="36" t="e">
        <f>VLOOKUP(S20,'DATOS #'!$C$177:$R$198,4,FALSE)</f>
        <v>#N/A</v>
      </c>
      <c r="D20" s="32" t="s">
        <v>446</v>
      </c>
      <c r="E20" s="42" t="e">
        <f>VLOOKUP(S20,'DATOS #'!$C$177:$R$198,5,FALSE)</f>
        <v>#N/A</v>
      </c>
      <c r="F20" s="33" t="s">
        <v>446</v>
      </c>
      <c r="G20" s="42" t="e">
        <f>VLOOKUP(S20,'DATOS #'!$C$177:$R$198,6,FALSE)</f>
        <v>#N/A</v>
      </c>
      <c r="H20" s="33" t="s">
        <v>446</v>
      </c>
      <c r="I20" s="44" t="e">
        <f>VLOOKUP(S20,'DATOS #'!$C$177:$R$198,7,FALSE)</f>
        <v>#N/A</v>
      </c>
      <c r="J20" s="33" t="s">
        <v>446</v>
      </c>
      <c r="K20" s="43" t="e">
        <f>VLOOKUP(S20,'DATOS #'!$C$177:$R$198,16,FALSE)</f>
        <v>#N/A</v>
      </c>
      <c r="L20" s="33" t="s">
        <v>446</v>
      </c>
      <c r="M20" s="44" t="e">
        <f t="shared" si="0"/>
        <v>#N/A</v>
      </c>
      <c r="N20" s="33" t="s">
        <v>446</v>
      </c>
      <c r="O20" s="36" t="e">
        <f>VLOOKUP(S20,'DATOS #'!$C$177:$R$198,8,FALSE)</f>
        <v>#N/A</v>
      </c>
      <c r="P20" s="899" t="e">
        <f>VLOOKUP(S20,'DATOS #'!$C$177:$R$198,9,FALSE)</f>
        <v>#N/A</v>
      </c>
      <c r="Q20" s="37"/>
      <c r="R20" s="37"/>
      <c r="S20" s="41"/>
    </row>
    <row r="21" spans="1:19" s="2" customFormat="1" ht="30" customHeight="1" x14ac:dyDescent="0.25">
      <c r="A21" s="1284"/>
      <c r="B21" s="900" t="e">
        <f>VLOOKUP(S21,'DATOS #'!$C$177:$R$198,3,FALSE)</f>
        <v>#N/A</v>
      </c>
      <c r="C21" s="36" t="e">
        <f>VLOOKUP(S21,'DATOS #'!$C$177:$R$198,4,FALSE)</f>
        <v>#N/A</v>
      </c>
      <c r="D21" s="32" t="s">
        <v>446</v>
      </c>
      <c r="E21" s="42" t="e">
        <f>VLOOKUP(S21,'DATOS #'!$C$177:$R$198,5,FALSE)</f>
        <v>#N/A</v>
      </c>
      <c r="F21" s="33" t="s">
        <v>446</v>
      </c>
      <c r="G21" s="42" t="e">
        <f>VLOOKUP(S21,'DATOS #'!$C$177:$R$198,6,FALSE)</f>
        <v>#N/A</v>
      </c>
      <c r="H21" s="33" t="s">
        <v>446</v>
      </c>
      <c r="I21" s="44" t="e">
        <f>VLOOKUP(S21,'DATOS #'!$C$177:$R$198,7,FALSE)</f>
        <v>#N/A</v>
      </c>
      <c r="J21" s="33" t="s">
        <v>446</v>
      </c>
      <c r="K21" s="43" t="e">
        <f>VLOOKUP(S21,'DATOS #'!$C$177:$R$198,16,FALSE)</f>
        <v>#N/A</v>
      </c>
      <c r="L21" s="33" t="s">
        <v>446</v>
      </c>
      <c r="M21" s="44" t="e">
        <f t="shared" si="0"/>
        <v>#N/A</v>
      </c>
      <c r="N21" s="33" t="s">
        <v>446</v>
      </c>
      <c r="O21" s="36" t="e">
        <f>VLOOKUP(S21,'DATOS #'!$C$177:$R$198,8,FALSE)</f>
        <v>#N/A</v>
      </c>
      <c r="P21" s="899" t="e">
        <f>VLOOKUP(S21,'DATOS #'!$C$177:$R$198,9,FALSE)</f>
        <v>#N/A</v>
      </c>
      <c r="Q21" s="37"/>
      <c r="R21" s="37"/>
      <c r="S21" s="41"/>
    </row>
    <row r="22" spans="1:19" s="2" customFormat="1" ht="30" customHeight="1" thickBot="1" x14ac:dyDescent="0.3">
      <c r="A22" s="1285"/>
      <c r="B22" s="900" t="e">
        <f>VLOOKUP(S22,'DATOS #'!$C$177:$R$198,3,FALSE)</f>
        <v>#N/A</v>
      </c>
      <c r="C22" s="36" t="e">
        <f>VLOOKUP(S22,'DATOS #'!$C$177:$R$198,4,FALSE)</f>
        <v>#N/A</v>
      </c>
      <c r="D22" s="32" t="s">
        <v>446</v>
      </c>
      <c r="E22" s="42" t="e">
        <f>VLOOKUP(S22,'DATOS #'!$C$177:$R$198,5,FALSE)</f>
        <v>#N/A</v>
      </c>
      <c r="F22" s="33" t="s">
        <v>446</v>
      </c>
      <c r="G22" s="42" t="e">
        <f>VLOOKUP(S22,'DATOS #'!$C$177:$R$198,6,FALSE)</f>
        <v>#N/A</v>
      </c>
      <c r="H22" s="33" t="s">
        <v>446</v>
      </c>
      <c r="I22" s="44" t="e">
        <f>VLOOKUP(S22,'DATOS #'!$C$177:$R$198,7,FALSE)</f>
        <v>#N/A</v>
      </c>
      <c r="J22" s="33" t="s">
        <v>446</v>
      </c>
      <c r="K22" s="43" t="e">
        <f>VLOOKUP(S22,'DATOS #'!$C$177:$R$198,16,FALSE)</f>
        <v>#N/A</v>
      </c>
      <c r="L22" s="33" t="s">
        <v>446</v>
      </c>
      <c r="M22" s="44" t="e">
        <f t="shared" si="0"/>
        <v>#N/A</v>
      </c>
      <c r="N22" s="33" t="s">
        <v>446</v>
      </c>
      <c r="O22" s="36" t="e">
        <f>VLOOKUP(S22,'DATOS #'!$C$177:$R$198,8,FALSE)</f>
        <v>#N/A</v>
      </c>
      <c r="P22" s="899" t="e">
        <f>VLOOKUP(S22,'DATOS #'!$C$177:$R$198,9,FALSE)</f>
        <v>#N/A</v>
      </c>
      <c r="Q22" s="37"/>
      <c r="R22" s="37"/>
      <c r="S22" s="41"/>
    </row>
    <row r="23" spans="1:19" s="2" customFormat="1" ht="30" customHeight="1" x14ac:dyDescent="0.25">
      <c r="A23" s="1283" t="s">
        <v>371</v>
      </c>
      <c r="B23" s="900" t="e">
        <f>VLOOKUP(S23,'DATOS #'!$C$67:$L$129,3,FALSE)</f>
        <v>#N/A</v>
      </c>
      <c r="C23" s="36" t="e">
        <f>VLOOKUP(S23,'DATOS #'!$C$67:$L$129,4,FALSE)</f>
        <v>#N/A</v>
      </c>
      <c r="D23" s="32" t="s">
        <v>36</v>
      </c>
      <c r="E23" s="42" t="e">
        <f>VLOOKUP(S23,'DATOS #'!$C$67:$L$129,5,FALSE)</f>
        <v>#N/A</v>
      </c>
      <c r="F23" s="32" t="s">
        <v>36</v>
      </c>
      <c r="G23" s="42" t="e">
        <f>VLOOKUP(S23,'DATOS #'!$C$67:$L$129,6,FALSE)</f>
        <v>#N/A</v>
      </c>
      <c r="H23" s="32" t="s">
        <v>36</v>
      </c>
      <c r="I23" s="42" t="e">
        <f>VLOOKUP(S23,'DATOS #'!$C$67:$L$129,7,FALSE)</f>
        <v>#N/A</v>
      </c>
      <c r="J23" s="32" t="s">
        <v>36</v>
      </c>
      <c r="K23" s="43"/>
      <c r="L23" s="33"/>
      <c r="M23" s="35"/>
      <c r="N23" s="33"/>
      <c r="O23" s="44" t="e">
        <f>VLOOKUP(S23,'DATOS #'!$C$67:$L$129,8,FALSE)</f>
        <v>#N/A</v>
      </c>
      <c r="P23" s="899" t="e">
        <f>VLOOKUP(S23,'DATOS #'!$C$67:$L$129,9,FALSE)</f>
        <v>#N/A</v>
      </c>
      <c r="Q23" s="37"/>
      <c r="R23" s="37"/>
      <c r="S23" s="39"/>
    </row>
    <row r="24" spans="1:19" s="2" customFormat="1" ht="30" customHeight="1" x14ac:dyDescent="0.25">
      <c r="A24" s="1284"/>
      <c r="B24" s="900" t="e">
        <f>VLOOKUP(S23,'DATOS #'!$C$67:$L$129,3,FALSE)</f>
        <v>#N/A</v>
      </c>
      <c r="C24" s="36" t="e">
        <f>VLOOKUP(S24,'DATOS #'!$C$67:$L$129,4,FALSE)</f>
        <v>#N/A</v>
      </c>
      <c r="D24" s="32" t="s">
        <v>36</v>
      </c>
      <c r="E24" s="42" t="e">
        <f>VLOOKUP(S24,'DATOS #'!$C$67:$L$129,5,FALSE)</f>
        <v>#N/A</v>
      </c>
      <c r="F24" s="32" t="s">
        <v>36</v>
      </c>
      <c r="G24" s="42" t="e">
        <f>VLOOKUP(S24,'DATOS #'!$C$67:$L$129,6,FALSE)</f>
        <v>#N/A</v>
      </c>
      <c r="H24" s="32" t="s">
        <v>36</v>
      </c>
      <c r="I24" s="42" t="e">
        <f>VLOOKUP(S24,'DATOS #'!$C$67:$L$129,7,FALSE)</f>
        <v>#N/A</v>
      </c>
      <c r="J24" s="32" t="s">
        <v>36</v>
      </c>
      <c r="K24" s="43"/>
      <c r="L24" s="33"/>
      <c r="M24" s="35"/>
      <c r="N24" s="33"/>
      <c r="O24" s="44" t="e">
        <f>VLOOKUP(S24,'DATOS #'!$C$67:$L$129,8,FALSE)</f>
        <v>#N/A</v>
      </c>
      <c r="P24" s="899" t="e">
        <f>VLOOKUP(S24,'DATOS #'!$C$67:$L$129,9,FALSE)</f>
        <v>#N/A</v>
      </c>
      <c r="Q24" s="37"/>
      <c r="R24" s="37"/>
      <c r="S24" s="41"/>
    </row>
    <row r="25" spans="1:19" s="2" customFormat="1" ht="30" customHeight="1" x14ac:dyDescent="0.25">
      <c r="A25" s="1284"/>
      <c r="B25" s="900" t="e">
        <f>VLOOKUP(S23,'DATOS #'!$C$67:$L$129,3,FALSE)</f>
        <v>#N/A</v>
      </c>
      <c r="C25" s="36" t="e">
        <f>VLOOKUP(S25,'DATOS #'!$C$67:$L$129,4,FALSE)</f>
        <v>#N/A</v>
      </c>
      <c r="D25" s="32" t="s">
        <v>36</v>
      </c>
      <c r="E25" s="42" t="e">
        <f>VLOOKUP(S25,'DATOS #'!$C$67:$L$129,5,FALSE)</f>
        <v>#N/A</v>
      </c>
      <c r="F25" s="32" t="s">
        <v>36</v>
      </c>
      <c r="G25" s="42" t="e">
        <f>VLOOKUP(S25,'DATOS #'!$C$67:$L$129,6,FALSE)</f>
        <v>#N/A</v>
      </c>
      <c r="H25" s="32" t="s">
        <v>36</v>
      </c>
      <c r="I25" s="42" t="e">
        <f>VLOOKUP(S25,'DATOS #'!$C$67:$L$129,7,FALSE)</f>
        <v>#N/A</v>
      </c>
      <c r="J25" s="32" t="s">
        <v>36</v>
      </c>
      <c r="K25" s="43"/>
      <c r="L25" s="33"/>
      <c r="M25" s="35"/>
      <c r="N25" s="33"/>
      <c r="O25" s="44" t="e">
        <f>VLOOKUP(S25,'DATOS #'!$C$67:$L$129,8,FALSE)</f>
        <v>#N/A</v>
      </c>
      <c r="P25" s="899" t="e">
        <f>VLOOKUP(S25,'DATOS #'!$C$67:$L$129,9,FALSE)</f>
        <v>#N/A</v>
      </c>
      <c r="Q25" s="37"/>
      <c r="R25" s="37"/>
      <c r="S25" s="41"/>
    </row>
    <row r="26" spans="1:19" s="2" customFormat="1" ht="30" customHeight="1" x14ac:dyDescent="0.25">
      <c r="A26" s="1284"/>
      <c r="B26" s="900" t="e">
        <f>VLOOKUP(S23,'DATOS #'!$C$67:$L$129,3,FALSE)</f>
        <v>#N/A</v>
      </c>
      <c r="C26" s="42" t="e">
        <f>VLOOKUP(S26,'DATOS #'!$C$67:$L$129,4,FALSE)</f>
        <v>#N/A</v>
      </c>
      <c r="D26" s="32" t="s">
        <v>199</v>
      </c>
      <c r="E26" s="42" t="e">
        <f>VLOOKUP(S26,'DATOS #'!$C$67:$L$129,5,FALSE)</f>
        <v>#N/A</v>
      </c>
      <c r="F26" s="32" t="s">
        <v>199</v>
      </c>
      <c r="G26" s="42" t="e">
        <f>VLOOKUP(S26,'DATOS #'!$C$67:$L$129,6,FALSE)</f>
        <v>#N/A</v>
      </c>
      <c r="H26" s="32" t="s">
        <v>199</v>
      </c>
      <c r="I26" s="42" t="e">
        <f>VLOOKUP(S26,'DATOS #'!$C$67:$L$129,7,FALSE)</f>
        <v>#N/A</v>
      </c>
      <c r="J26" s="32" t="s">
        <v>199</v>
      </c>
      <c r="K26" s="43"/>
      <c r="L26" s="33"/>
      <c r="M26" s="35"/>
      <c r="N26" s="33"/>
      <c r="O26" s="36" t="e">
        <f>VLOOKUP(S26,'DATOS #'!$C$67:$L$129,8,FALSE)</f>
        <v>#N/A</v>
      </c>
      <c r="P26" s="899" t="e">
        <f>VLOOKUP(S26,'DATOS #'!$C$67:$L$129,9,FALSE)</f>
        <v>#N/A</v>
      </c>
      <c r="Q26" s="37"/>
      <c r="R26" s="37"/>
      <c r="S26" s="41"/>
    </row>
    <row r="27" spans="1:19" s="2" customFormat="1" ht="30" customHeight="1" x14ac:dyDescent="0.25">
      <c r="A27" s="1284"/>
      <c r="B27" s="900" t="e">
        <f>VLOOKUP(S23,'DATOS #'!$C$67:$L$129,3,FALSE)</f>
        <v>#N/A</v>
      </c>
      <c r="C27" s="42" t="e">
        <f>VLOOKUP(S27,'DATOS #'!$C$67:$L$129,4,FALSE)</f>
        <v>#N/A</v>
      </c>
      <c r="D27" s="32" t="s">
        <v>199</v>
      </c>
      <c r="E27" s="42" t="e">
        <f>VLOOKUP(S27,'DATOS #'!$C$67:$L$129,5,FALSE)</f>
        <v>#N/A</v>
      </c>
      <c r="F27" s="32" t="s">
        <v>199</v>
      </c>
      <c r="G27" s="42" t="e">
        <f>VLOOKUP(S27,'DATOS #'!$C$67:$L$129,6,FALSE)</f>
        <v>#N/A</v>
      </c>
      <c r="H27" s="32" t="s">
        <v>199</v>
      </c>
      <c r="I27" s="42" t="e">
        <f>VLOOKUP(S27,'DATOS #'!$C$67:$L$129,7,FALSE)</f>
        <v>#N/A</v>
      </c>
      <c r="J27" s="32" t="s">
        <v>199</v>
      </c>
      <c r="K27" s="43"/>
      <c r="L27" s="33"/>
      <c r="M27" s="35"/>
      <c r="N27" s="33"/>
      <c r="O27" s="36" t="e">
        <f>VLOOKUP(S27,'DATOS #'!$C$67:$L$129,8,FALSE)</f>
        <v>#N/A</v>
      </c>
      <c r="P27" s="899" t="e">
        <f>VLOOKUP(S27,'DATOS #'!$C$67:$L$129,9,FALSE)</f>
        <v>#N/A</v>
      </c>
      <c r="Q27" s="37"/>
      <c r="R27" s="37"/>
      <c r="S27" s="41"/>
    </row>
    <row r="28" spans="1:19" s="2" customFormat="1" ht="30" customHeight="1" x14ac:dyDescent="0.25">
      <c r="A28" s="1284"/>
      <c r="B28" s="900" t="e">
        <f>VLOOKUP(S23,'DATOS #'!$C$67:$L$129,3,FALSE)</f>
        <v>#N/A</v>
      </c>
      <c r="C28" s="42" t="e">
        <f>VLOOKUP(S28,'DATOS #'!$C$67:$L$129,4,FALSE)</f>
        <v>#N/A</v>
      </c>
      <c r="D28" s="32" t="s">
        <v>199</v>
      </c>
      <c r="E28" s="42" t="e">
        <f>VLOOKUP(S28,'DATOS #'!$C$67:$L$129,5,FALSE)</f>
        <v>#N/A</v>
      </c>
      <c r="F28" s="32" t="s">
        <v>199</v>
      </c>
      <c r="G28" s="42" t="e">
        <f>VLOOKUP(S28,'DATOS #'!$C$67:$L$129,6,FALSE)</f>
        <v>#N/A</v>
      </c>
      <c r="H28" s="32" t="s">
        <v>199</v>
      </c>
      <c r="I28" s="42" t="e">
        <f>VLOOKUP(S28,'DATOS #'!$C$67:$L$129,7,FALSE)</f>
        <v>#N/A</v>
      </c>
      <c r="J28" s="32" t="s">
        <v>199</v>
      </c>
      <c r="K28" s="43"/>
      <c r="L28" s="33"/>
      <c r="M28" s="35"/>
      <c r="N28" s="33"/>
      <c r="O28" s="36" t="e">
        <f>VLOOKUP(S28,'DATOS #'!$C$67:$L$129,8,FALSE)</f>
        <v>#N/A</v>
      </c>
      <c r="P28" s="899" t="e">
        <f>VLOOKUP(S28,'DATOS #'!$C$67:$L$129,9,FALSE)</f>
        <v>#N/A</v>
      </c>
      <c r="Q28" s="37"/>
      <c r="R28" s="37"/>
      <c r="S28" s="41"/>
    </row>
    <row r="29" spans="1:19" s="2" customFormat="1" ht="30" customHeight="1" x14ac:dyDescent="0.25">
      <c r="A29" s="1284"/>
      <c r="B29" s="900" t="e">
        <f>VLOOKUP(S23,'DATOS #'!$C$67:$L$129,3,FALSE)</f>
        <v>#N/A</v>
      </c>
      <c r="C29" s="29" t="e">
        <f>VLOOKUP(S29,'DATOS #'!$C$67:$L$129,4,FALSE)</f>
        <v>#N/A</v>
      </c>
      <c r="D29" s="32" t="s">
        <v>133</v>
      </c>
      <c r="E29" s="42" t="e">
        <f>VLOOKUP(S29,'DATOS #'!$C$67:$L$129,5,FALSE)</f>
        <v>#N/A</v>
      </c>
      <c r="F29" s="32" t="s">
        <v>133</v>
      </c>
      <c r="G29" s="29" t="e">
        <f>VLOOKUP(S29,'DATOS #'!$C$67:$L$129,6,FALSE)</f>
        <v>#N/A</v>
      </c>
      <c r="H29" s="32" t="s">
        <v>133</v>
      </c>
      <c r="I29" s="29" t="e">
        <f>VLOOKUP(S29,'DATOS #'!$C$67:$L$129,7,FALSE)</f>
        <v>#N/A</v>
      </c>
      <c r="J29" s="32" t="s">
        <v>133</v>
      </c>
      <c r="K29" s="43"/>
      <c r="L29" s="33"/>
      <c r="M29" s="35"/>
      <c r="N29" s="33"/>
      <c r="O29" s="36" t="e">
        <f>VLOOKUP(S29,'DATOS #'!$C$67:$L$129,8,FALSE)</f>
        <v>#N/A</v>
      </c>
      <c r="P29" s="899" t="e">
        <f>VLOOKUP(S29,'DATOS #'!$C$67:$L$129,9,FALSE)</f>
        <v>#N/A</v>
      </c>
      <c r="Q29" s="37"/>
      <c r="R29" s="37"/>
      <c r="S29" s="41"/>
    </row>
    <row r="30" spans="1:19" s="2" customFormat="1" ht="30" customHeight="1" x14ac:dyDescent="0.25">
      <c r="A30" s="1284"/>
      <c r="B30" s="900" t="e">
        <f>VLOOKUP(S23,'DATOS #'!$C$67:$L$129,3,FALSE)</f>
        <v>#N/A</v>
      </c>
      <c r="C30" s="29" t="e">
        <f>VLOOKUP(S30,'DATOS #'!$C$67:$L$129,4,FALSE)</f>
        <v>#N/A</v>
      </c>
      <c r="D30" s="32" t="s">
        <v>133</v>
      </c>
      <c r="E30" s="42" t="e">
        <f>VLOOKUP(S30,'DATOS #'!$C$67:$L$129,5,FALSE)</f>
        <v>#N/A</v>
      </c>
      <c r="F30" s="32" t="s">
        <v>133</v>
      </c>
      <c r="G30" s="29" t="e">
        <f>VLOOKUP(S30,'DATOS #'!$C$67:$L$129,6,FALSE)</f>
        <v>#N/A</v>
      </c>
      <c r="H30" s="32" t="s">
        <v>133</v>
      </c>
      <c r="I30" s="29" t="e">
        <f>VLOOKUP(S30,'DATOS #'!$C$67:$L$129,7,FALSE)</f>
        <v>#N/A</v>
      </c>
      <c r="J30" s="32" t="s">
        <v>133</v>
      </c>
      <c r="K30" s="43"/>
      <c r="L30" s="33"/>
      <c r="M30" s="35"/>
      <c r="N30" s="33"/>
      <c r="O30" s="36" t="e">
        <f>VLOOKUP(S30,'DATOS #'!$C$67:$L$129,8,FALSE)</f>
        <v>#N/A</v>
      </c>
      <c r="P30" s="899" t="e">
        <f>VLOOKUP(S30,'DATOS #'!$C$67:$L$129,9,FALSE)</f>
        <v>#N/A</v>
      </c>
      <c r="Q30" s="37"/>
      <c r="R30" s="37"/>
      <c r="S30" s="41"/>
    </row>
    <row r="31" spans="1:19" s="2" customFormat="1" ht="30" customHeight="1" thickBot="1" x14ac:dyDescent="0.3">
      <c r="A31" s="1285"/>
      <c r="B31" s="900" t="e">
        <f>VLOOKUP(S23,'DATOS #'!$C$67:$L$129,3,FALSE)</f>
        <v>#N/A</v>
      </c>
      <c r="C31" s="29" t="e">
        <f>VLOOKUP(S31,'DATOS #'!$C$67:$L$129,4,FALSE)</f>
        <v>#N/A</v>
      </c>
      <c r="D31" s="32" t="s">
        <v>133</v>
      </c>
      <c r="E31" s="42" t="e">
        <f>VLOOKUP(S31,'DATOS #'!$C$67:$L$129,5,FALSE)</f>
        <v>#N/A</v>
      </c>
      <c r="F31" s="32" t="s">
        <v>133</v>
      </c>
      <c r="G31" s="29" t="e">
        <f>VLOOKUP(S31,'DATOS #'!$C$67:$L$129,6,FALSE)</f>
        <v>#N/A</v>
      </c>
      <c r="H31" s="32" t="s">
        <v>133</v>
      </c>
      <c r="I31" s="29" t="e">
        <f>VLOOKUP(S31,'DATOS #'!$C$67:$L$129,7,FALSE)</f>
        <v>#N/A</v>
      </c>
      <c r="J31" s="32" t="s">
        <v>133</v>
      </c>
      <c r="K31" s="43"/>
      <c r="L31" s="33"/>
      <c r="M31" s="35"/>
      <c r="N31" s="33"/>
      <c r="O31" s="36" t="e">
        <f>VLOOKUP(S31,'DATOS #'!$C$67:$L$129,8,FALSE)</f>
        <v>#N/A</v>
      </c>
      <c r="P31" s="899" t="e">
        <f>VLOOKUP(S31,'DATOS #'!$C$67:$L$129,9,FALSE)</f>
        <v>#N/A</v>
      </c>
      <c r="Q31" s="37"/>
      <c r="R31" s="37"/>
      <c r="S31" s="45"/>
    </row>
    <row r="32" spans="1:19" s="2" customFormat="1" ht="30" customHeight="1" thickBot="1" x14ac:dyDescent="0.3">
      <c r="A32" s="887" t="s">
        <v>447</v>
      </c>
      <c r="B32" s="900" t="e">
        <f>VLOOKUP(S32,'DATOS #'!$C$209:$R$212,3,FALSE)</f>
        <v>#N/A</v>
      </c>
      <c r="C32" s="29" t="e">
        <f>VLOOKUP(S32,'DATOS #'!$C$209:$R$212,4,FALSE)</f>
        <v>#N/A</v>
      </c>
      <c r="D32" s="32"/>
      <c r="E32" s="46" t="e">
        <f>VLOOKUP(S32,'DATOS #'!$C$209:$R$212,5,FALSE)</f>
        <v>#N/A</v>
      </c>
      <c r="F32" s="32" t="s">
        <v>443</v>
      </c>
      <c r="G32" s="29" t="e">
        <f>VLOOKUP(S32,'DATOS #'!$C$209:$R$212,6,FALSE)</f>
        <v>#N/A</v>
      </c>
      <c r="H32" s="32"/>
      <c r="I32" s="302" t="e">
        <f>VLOOKUP(S32,'DATOS #'!$C$209:$R$212,7,FALSE)</f>
        <v>#N/A</v>
      </c>
      <c r="J32" s="32" t="s">
        <v>443</v>
      </c>
      <c r="K32" s="43"/>
      <c r="L32" s="33"/>
      <c r="M32" s="35"/>
      <c r="N32" s="33"/>
      <c r="O32" s="36" t="e">
        <f>VLOOKUP(S32,'DATOS #'!$C$209:$R$212,8,FALSE)</f>
        <v>#N/A</v>
      </c>
      <c r="P32" s="899" t="e">
        <f>VLOOKUP(S32,'DATOS #'!$C$209:$R$212,9,FALSE)</f>
        <v>#N/A</v>
      </c>
      <c r="Q32" s="37"/>
      <c r="R32" s="38"/>
      <c r="S32" s="47"/>
    </row>
    <row r="33" spans="1:19" s="2" customFormat="1" ht="81" customHeight="1" thickBot="1" x14ac:dyDescent="0.3">
      <c r="A33" s="888" t="s">
        <v>448</v>
      </c>
      <c r="B33" s="900" t="e">
        <f>VLOOKUP(S33,'DATOS #'!$C$132:$W$138,3,FALSE)</f>
        <v>#N/A</v>
      </c>
      <c r="C33" s="44" t="e">
        <f>VLOOKUP(S33,'DATOS #'!$C$132:$W$138,4,FALSE)</f>
        <v>#N/A</v>
      </c>
      <c r="D33" s="32" t="s">
        <v>224</v>
      </c>
      <c r="E33" s="44" t="e">
        <f>VLOOKUP(S33,'DATOS #'!$C$132:$W$138,5,FALSE)</f>
        <v>#N/A</v>
      </c>
      <c r="F33" s="32" t="s">
        <v>224</v>
      </c>
      <c r="G33" s="44" t="e">
        <f>VLOOKUP(S33,'DATOS #'!$C$132:$W$138,6,FALSE)</f>
        <v>#N/A</v>
      </c>
      <c r="H33" s="32" t="s">
        <v>224</v>
      </c>
      <c r="I33" s="44" t="e">
        <f>VLOOKUP(S33,'DATOS #'!$C$132:$W$138,7,FALSE)</f>
        <v>#N/A</v>
      </c>
      <c r="J33" s="32" t="s">
        <v>224</v>
      </c>
      <c r="K33" s="48" t="e">
        <f>VLOOKUP(S33,'DATOS #'!$C$132:$W$138,21,FALSE)</f>
        <v>#N/A</v>
      </c>
      <c r="L33" s="32" t="s">
        <v>224</v>
      </c>
      <c r="M33" s="35" t="e">
        <f>SQRT((I33/2)^2+(K33/SQRT(12))^2)</f>
        <v>#N/A</v>
      </c>
      <c r="N33" s="32" t="s">
        <v>224</v>
      </c>
      <c r="O33" s="36" t="e">
        <f>VLOOKUP(S33,'DATOS #'!$C$132:$W$138,8,FALSE)</f>
        <v>#N/A</v>
      </c>
      <c r="P33" s="899" t="e">
        <f>VLOOKUP(S33,'DATOS #'!$C$132:$W$138,9,FALSE)</f>
        <v>#N/A</v>
      </c>
      <c r="Q33" s="892" t="s">
        <v>449</v>
      </c>
      <c r="R33" s="49" t="s">
        <v>450</v>
      </c>
      <c r="S33" s="50"/>
    </row>
    <row r="34" spans="1:19" s="2" customFormat="1" ht="30" customHeight="1" x14ac:dyDescent="0.25">
      <c r="A34" s="888" t="s">
        <v>451</v>
      </c>
      <c r="B34" s="1315" t="e">
        <f>VLOOKUP(S34,'DATOS #'!$C$141:$AA$148,3,FALSE)</f>
        <v>#N/A</v>
      </c>
      <c r="C34" s="1289" t="e">
        <f>VLOOKUP(S34,'DATOS #'!$C$141:$AA$148,4,FALSE)</f>
        <v>#N/A</v>
      </c>
      <c r="D34" s="1287" t="s">
        <v>224</v>
      </c>
      <c r="E34" s="1288" t="e">
        <f>VLOOKUP(S34,'DATOS #'!$C$141:$AA$148,5,FALSE)</f>
        <v>#N/A</v>
      </c>
      <c r="F34" s="1287" t="s">
        <v>224</v>
      </c>
      <c r="G34" s="1289" t="e">
        <f>VLOOKUP(S34,'DATOS #'!$C$141:$AA$148,6,FALSE)</f>
        <v>#N/A</v>
      </c>
      <c r="H34" s="1287" t="s">
        <v>224</v>
      </c>
      <c r="I34" s="1288" t="e">
        <f>VLOOKUP(S34,'DATOS #'!$C$141:$AA$148,7,FALSE)</f>
        <v>#N/A</v>
      </c>
      <c r="J34" s="1287" t="s">
        <v>224</v>
      </c>
      <c r="K34" s="1314" t="e">
        <f>VLOOKUP(S34,'DATOS #'!$C$141:$AA$148,25,FALSE)</f>
        <v>#N/A</v>
      </c>
      <c r="L34" s="1290" t="s">
        <v>224</v>
      </c>
      <c r="M34" s="1291" t="e">
        <f>SQRT((I34/2)^2+(K34/SQRT(12))^2)</f>
        <v>#N/A</v>
      </c>
      <c r="N34" s="1290" t="s">
        <v>224</v>
      </c>
      <c r="O34" s="1288" t="e">
        <f>VLOOKUP(S34,'DATOS #'!$C$141:$AA$148,8,FALSE)</f>
        <v>#N/A</v>
      </c>
      <c r="P34" s="1286" t="e">
        <f>VLOOKUP(S34,'DATOS #'!$C$141:$AA$148,9,FALSE)</f>
        <v>#N/A</v>
      </c>
      <c r="Q34" s="912" t="e">
        <f>VLOOKUP(S34,'DATOS #'!$C$141:$AA$148,12,FALSE)</f>
        <v>#N/A</v>
      </c>
      <c r="R34" s="913" t="e">
        <f>VLOOKUP(S34,'DATOS #'!$C$141:$AA$148,14,FALSE)</f>
        <v>#N/A</v>
      </c>
      <c r="S34" s="1307"/>
    </row>
    <row r="35" spans="1:19" s="2" customFormat="1" ht="30" customHeight="1" thickBot="1" x14ac:dyDescent="0.3">
      <c r="A35" s="889"/>
      <c r="B35" s="1315"/>
      <c r="C35" s="1289"/>
      <c r="D35" s="1287"/>
      <c r="E35" s="1288"/>
      <c r="F35" s="1287"/>
      <c r="G35" s="1289"/>
      <c r="H35" s="1287"/>
      <c r="I35" s="1288"/>
      <c r="J35" s="1287"/>
      <c r="K35" s="1314"/>
      <c r="L35" s="1290"/>
      <c r="M35" s="1291"/>
      <c r="N35" s="1290"/>
      <c r="O35" s="1288"/>
      <c r="P35" s="1286"/>
      <c r="Q35" s="914" t="e">
        <f>VLOOKUP(S34,'DATOS #'!$C$141:$AA$148,13,FALSE)</f>
        <v>#N/A</v>
      </c>
      <c r="R35" s="915" t="e">
        <f>VLOOKUP(S34,'DATOS #'!$C$141:$AA$148,15,FALSE)</f>
        <v>#N/A</v>
      </c>
      <c r="S35" s="1308"/>
    </row>
    <row r="36" spans="1:19" s="3" customFormat="1" ht="27.75" customHeight="1" thickBot="1" x14ac:dyDescent="0.3">
      <c r="A36" s="890" t="s">
        <v>452</v>
      </c>
      <c r="B36" s="900" t="e">
        <f>VLOOKUP(S36,'DATOS #'!$C$151:$K$152,3,FALSE)</f>
        <v>#N/A</v>
      </c>
      <c r="C36" s="36" t="e">
        <f>VLOOKUP(S36,'DATOS #'!$C$151:$K$152,4,FALSE)</f>
        <v>#N/A</v>
      </c>
      <c r="D36" s="32" t="s">
        <v>453</v>
      </c>
      <c r="E36" s="51" t="e">
        <f>VLOOKUP(S36,'DATOS #'!$C$151:$K$152,5,FALSE)</f>
        <v>#N/A</v>
      </c>
      <c r="F36" s="32" t="s">
        <v>453</v>
      </c>
      <c r="G36" s="52" t="e">
        <f>VLOOKUP(S36,'DATOS #'!$C$151:$K$152,6,FALSE)</f>
        <v>#N/A</v>
      </c>
      <c r="H36" s="32" t="s">
        <v>453</v>
      </c>
      <c r="I36" s="52" t="e">
        <f>VLOOKUP(S36,'DATOS #'!$C$151:$K$152,7,FALSE)</f>
        <v>#N/A</v>
      </c>
      <c r="J36" s="32" t="s">
        <v>453</v>
      </c>
      <c r="K36" s="53" t="e">
        <f>(I36/2)/SQRT(12)</f>
        <v>#N/A</v>
      </c>
      <c r="L36" s="32" t="s">
        <v>453</v>
      </c>
      <c r="M36" s="35" t="e">
        <f>SQRT((I36/2)^2+(K36)^2)</f>
        <v>#N/A</v>
      </c>
      <c r="N36" s="54" t="s">
        <v>453</v>
      </c>
      <c r="O36" s="42" t="e">
        <f>VLOOKUP(S36,'DATOS #'!$C$151:$K$152,8,FALSE)</f>
        <v>#N/A</v>
      </c>
      <c r="P36" s="899" t="e">
        <f>VLOOKUP(S36,'DATOS #'!$C$151:$K$152,9,FALSE)</f>
        <v>#N/A</v>
      </c>
      <c r="Q36" s="14"/>
      <c r="R36" s="55"/>
      <c r="S36" s="31"/>
    </row>
    <row r="37" spans="1:19" s="2" customFormat="1" ht="30" customHeight="1" thickBot="1" x14ac:dyDescent="0.3">
      <c r="A37" s="891" t="s">
        <v>454</v>
      </c>
      <c r="B37" s="901" t="e">
        <f>VLOOKUP(S37,'DATOS #'!$C$157:$K$172,3,FALSE)</f>
        <v>#N/A</v>
      </c>
      <c r="C37" s="56" t="e">
        <f>VLOOKUP(S37,'DATOS #'!$C$157:$K$172,4,FALSE)</f>
        <v>#N/A</v>
      </c>
      <c r="D37" s="57" t="s">
        <v>455</v>
      </c>
      <c r="E37" s="58" t="e">
        <f>VLOOKUP(S37,'DATOS #'!$C$157:$K$172,5,FALSE)</f>
        <v>#N/A</v>
      </c>
      <c r="F37" s="57" t="s">
        <v>455</v>
      </c>
      <c r="G37" s="59" t="e">
        <f>VLOOKUP(S37,'DATOS #'!$C$157:$K$172,6,FALSE)</f>
        <v>#N/A</v>
      </c>
      <c r="H37" s="57" t="s">
        <v>455</v>
      </c>
      <c r="I37" s="60" t="e">
        <f>VLOOKUP(S37,'DATOS #'!$C$157:$K$172,7,FALSE)</f>
        <v>#N/A</v>
      </c>
      <c r="J37" s="57" t="s">
        <v>455</v>
      </c>
      <c r="K37" s="61" t="e">
        <f>(I37/2)/SQRT(12)</f>
        <v>#N/A</v>
      </c>
      <c r="L37" s="57" t="s">
        <v>455</v>
      </c>
      <c r="M37" s="62" t="e">
        <f>SQRT((I37/2)^2+(K37)^2)</f>
        <v>#N/A</v>
      </c>
      <c r="N37" s="57" t="s">
        <v>455</v>
      </c>
      <c r="O37" s="56" t="e">
        <f>VLOOKUP(S37,'DATOS #'!$C$157:$K$172,8,FALSE)</f>
        <v>#N/A</v>
      </c>
      <c r="P37" s="902" t="e">
        <f>VLOOKUP(S37,'DATOS #'!$C$157:$K$172,9,FALSE)</f>
        <v>#N/A</v>
      </c>
      <c r="Q37" s="746"/>
      <c r="R37" s="63"/>
      <c r="S37" s="45"/>
    </row>
    <row r="38" spans="1:19" s="2" customFormat="1" ht="30" customHeight="1" thickBot="1" x14ac:dyDescent="0.3">
      <c r="A38" s="64"/>
      <c r="B38" s="65"/>
      <c r="C38" s="65"/>
      <c r="D38" s="66"/>
      <c r="E38" s="67"/>
      <c r="F38" s="66"/>
      <c r="G38" s="68"/>
      <c r="H38" s="66"/>
      <c r="I38" s="69"/>
      <c r="J38" s="66"/>
      <c r="K38" s="70"/>
      <c r="L38" s="66"/>
      <c r="M38" s="14"/>
      <c r="N38" s="66"/>
      <c r="O38" s="65"/>
      <c r="P38" s="71"/>
      <c r="Q38" s="14"/>
      <c r="R38" s="14"/>
      <c r="S38" s="72"/>
    </row>
    <row r="39" spans="1:19" s="2" customFormat="1" ht="30" customHeight="1" thickBot="1" x14ac:dyDescent="0.3">
      <c r="A39" s="1261" t="s">
        <v>456</v>
      </c>
      <c r="B39" s="1262"/>
      <c r="C39" s="1262"/>
      <c r="D39" s="1319"/>
      <c r="E39" s="17"/>
      <c r="F39" s="73"/>
      <c r="G39" s="68"/>
      <c r="H39" s="66"/>
      <c r="I39" s="69"/>
      <c r="J39" s="66"/>
      <c r="K39" s="70"/>
      <c r="L39" s="66"/>
      <c r="M39" s="14"/>
      <c r="N39" s="66"/>
      <c r="O39" s="65"/>
      <c r="P39" s="71"/>
      <c r="Q39" s="14"/>
      <c r="R39" s="14"/>
      <c r="S39" s="72"/>
    </row>
    <row r="40" spans="1:19" s="2" customFormat="1" ht="30" customHeight="1" thickBot="1" x14ac:dyDescent="0.3">
      <c r="A40" s="74" t="s">
        <v>457</v>
      </c>
      <c r="B40" s="75"/>
      <c r="C40" s="1309" t="s">
        <v>458</v>
      </c>
      <c r="D40" s="1318"/>
      <c r="E40" s="16"/>
      <c r="F40" s="66"/>
      <c r="G40" s="68"/>
      <c r="H40" s="66"/>
      <c r="I40" s="69"/>
      <c r="J40" s="66"/>
      <c r="K40" s="70"/>
      <c r="L40" s="66"/>
      <c r="M40" s="14"/>
      <c r="N40" s="66"/>
      <c r="O40" s="65"/>
      <c r="P40" s="71"/>
      <c r="Q40" s="14"/>
      <c r="R40" s="14"/>
      <c r="S40" s="72"/>
    </row>
    <row r="41" spans="1:19" s="2" customFormat="1" ht="30" customHeight="1" thickBot="1" x14ac:dyDescent="0.3">
      <c r="A41" s="1241" t="s">
        <v>24</v>
      </c>
      <c r="B41" s="1242"/>
      <c r="C41" s="1320" t="e">
        <f>VLOOKUP($E$41,'DATOS #'!$B$14:$N$16,2,FALSE)</f>
        <v>#N/A</v>
      </c>
      <c r="D41" s="1321"/>
      <c r="E41" s="76"/>
      <c r="F41" s="66"/>
      <c r="G41" s="68"/>
      <c r="H41" s="66"/>
      <c r="I41" s="69"/>
      <c r="J41" s="66"/>
      <c r="K41" s="70"/>
      <c r="L41" s="66"/>
      <c r="M41" s="14"/>
      <c r="N41" s="66"/>
      <c r="O41" s="65"/>
      <c r="P41" s="71"/>
      <c r="Q41" s="14"/>
      <c r="R41" s="14"/>
      <c r="S41" s="72"/>
    </row>
    <row r="42" spans="1:19" s="2" customFormat="1" ht="30" customHeight="1" thickBot="1" x14ac:dyDescent="0.3">
      <c r="A42" s="1241" t="s">
        <v>25</v>
      </c>
      <c r="B42" s="1242"/>
      <c r="C42" s="1322" t="e">
        <f>VLOOKUP($E$41,'DATOS #'!$B$14:$N$16,3,FALSE)</f>
        <v>#N/A</v>
      </c>
      <c r="D42" s="1323"/>
      <c r="E42" s="16"/>
      <c r="F42" s="66"/>
      <c r="G42" s="68"/>
      <c r="H42" s="66"/>
      <c r="I42" s="69"/>
      <c r="J42" s="66"/>
      <c r="K42" s="70"/>
      <c r="L42" s="66"/>
      <c r="M42" s="14"/>
      <c r="N42" s="66"/>
      <c r="O42" s="65"/>
      <c r="P42" s="71"/>
      <c r="Q42" s="14"/>
      <c r="R42" s="14"/>
      <c r="S42" s="72"/>
    </row>
    <row r="43" spans="1:19" s="2" customFormat="1" ht="30" customHeight="1" thickBot="1" x14ac:dyDescent="0.3">
      <c r="A43" s="1241" t="s">
        <v>459</v>
      </c>
      <c r="B43" s="1242"/>
      <c r="C43" s="1322" t="e">
        <f>VLOOKUP($E$41,'DATOS #'!$B$14:$N$16,4,FALSE)</f>
        <v>#N/A</v>
      </c>
      <c r="D43" s="1323"/>
      <c r="E43" s="16"/>
      <c r="F43" s="66"/>
      <c r="G43" s="68"/>
      <c r="H43" s="66"/>
      <c r="I43" s="69"/>
      <c r="J43" s="66"/>
      <c r="K43" s="70"/>
      <c r="L43" s="66"/>
      <c r="M43" s="14"/>
      <c r="N43" s="66"/>
      <c r="O43" s="65"/>
      <c r="P43" s="71"/>
      <c r="Q43" s="14"/>
      <c r="R43" s="14"/>
      <c r="S43" s="72"/>
    </row>
    <row r="44" spans="1:19" s="2" customFormat="1" ht="30" customHeight="1" thickBot="1" x14ac:dyDescent="0.3">
      <c r="A44" s="1241" t="s">
        <v>460</v>
      </c>
      <c r="B44" s="1242"/>
      <c r="C44" s="77" t="e">
        <f>VLOOKUP($E$41,'DATOS #'!$B$14:$N$16,5,FALSE)</f>
        <v>#N/A</v>
      </c>
      <c r="D44" s="78" t="s">
        <v>36</v>
      </c>
      <c r="E44" s="16"/>
      <c r="F44" s="66"/>
      <c r="G44" s="68"/>
      <c r="H44" s="66"/>
      <c r="I44" s="69"/>
      <c r="J44" s="66"/>
      <c r="K44" s="70"/>
      <c r="L44" s="66"/>
      <c r="M44" s="14"/>
      <c r="N44" s="66"/>
      <c r="O44" s="65"/>
      <c r="P44" s="71"/>
      <c r="Q44" s="14"/>
      <c r="R44" s="14"/>
      <c r="S44" s="72"/>
    </row>
    <row r="45" spans="1:19" s="2" customFormat="1" ht="30" customHeight="1" thickBot="1" x14ac:dyDescent="0.3">
      <c r="A45" s="1241" t="s">
        <v>461</v>
      </c>
      <c r="B45" s="1242"/>
      <c r="C45" s="77" t="e">
        <f>VLOOKUP($E$41,'DATOS #'!$B$14:$N$16,6,FALSE)</f>
        <v>#N/A</v>
      </c>
      <c r="D45" s="313">
        <f>'DATOS #'!G14</f>
        <v>0</v>
      </c>
      <c r="E45" s="17"/>
      <c r="F45" s="17"/>
      <c r="G45" s="68"/>
      <c r="H45" s="66"/>
      <c r="I45" s="69"/>
      <c r="J45" s="66"/>
      <c r="K45" s="70"/>
      <c r="L45" s="66"/>
      <c r="M45" s="14"/>
      <c r="N45" s="66"/>
      <c r="O45" s="65"/>
      <c r="P45" s="71"/>
      <c r="Q45" s="14"/>
      <c r="R45" s="14"/>
      <c r="S45" s="72"/>
    </row>
    <row r="46" spans="1:19" s="2" customFormat="1" ht="30" customHeight="1" thickBot="1" x14ac:dyDescent="0.3">
      <c r="A46" s="1241" t="s">
        <v>462</v>
      </c>
      <c r="B46" s="1242"/>
      <c r="C46" s="79" t="e">
        <f>VLOOKUP($E$41,'DATOS #'!$B$14:$N$16,7,FALSE)</f>
        <v>#N/A</v>
      </c>
      <c r="D46" s="78" t="s">
        <v>224</v>
      </c>
      <c r="E46" s="16"/>
      <c r="F46" s="66"/>
      <c r="G46" s="68"/>
      <c r="H46" s="66"/>
      <c r="I46" s="69"/>
      <c r="J46" s="66"/>
      <c r="K46" s="70"/>
      <c r="L46" s="66"/>
      <c r="M46" s="14"/>
      <c r="N46" s="66"/>
      <c r="O46" s="65"/>
      <c r="P46" s="71"/>
      <c r="Q46" s="14"/>
      <c r="R46" s="14"/>
      <c r="S46" s="72"/>
    </row>
    <row r="47" spans="1:19" s="2" customFormat="1" ht="30" customHeight="1" thickBot="1" x14ac:dyDescent="0.3">
      <c r="A47" s="1241" t="s">
        <v>463</v>
      </c>
      <c r="B47" s="1242"/>
      <c r="C47" s="77" t="e">
        <f>VLOOKUP($E$41,'DATOS #'!$B$14:$N$16,8,FALSE)</f>
        <v>#N/A</v>
      </c>
      <c r="D47" s="78" t="s">
        <v>224</v>
      </c>
      <c r="E47" s="16"/>
      <c r="F47" s="66"/>
      <c r="G47" s="68"/>
      <c r="H47" s="66"/>
      <c r="I47" s="69"/>
      <c r="J47" s="66"/>
      <c r="K47" s="70"/>
      <c r="L47" s="66"/>
      <c r="M47" s="14"/>
      <c r="N47" s="66"/>
      <c r="O47" s="65"/>
      <c r="P47" s="71"/>
      <c r="Q47" s="14"/>
      <c r="R47" s="14"/>
      <c r="S47" s="72"/>
    </row>
    <row r="48" spans="1:19" s="2" customFormat="1" ht="30" customHeight="1" thickBot="1" x14ac:dyDescent="0.3">
      <c r="A48" s="1241" t="s">
        <v>464</v>
      </c>
      <c r="B48" s="1242"/>
      <c r="C48" s="77" t="e">
        <f>VLOOKUP($E$41,'DATOS #'!$B$14:$N$16,9,FALSE)</f>
        <v>#N/A</v>
      </c>
      <c r="D48" s="78" t="s">
        <v>465</v>
      </c>
      <c r="E48" s="16"/>
      <c r="F48" s="66"/>
      <c r="G48" s="68"/>
      <c r="H48" s="66"/>
      <c r="I48" s="69"/>
      <c r="J48" s="66"/>
      <c r="K48" s="70"/>
      <c r="L48" s="66"/>
      <c r="M48" s="14"/>
      <c r="N48" s="66"/>
      <c r="O48" s="65"/>
      <c r="P48" s="71"/>
      <c r="Q48" s="14"/>
      <c r="R48" s="14"/>
      <c r="S48" s="72"/>
    </row>
    <row r="49" spans="1:20" s="2" customFormat="1" ht="30" customHeight="1" thickBot="1" x14ac:dyDescent="0.3">
      <c r="A49" s="1241" t="s">
        <v>466</v>
      </c>
      <c r="B49" s="1242"/>
      <c r="C49" s="559" t="e">
        <f>VLOOKUP($E$41,'DATOS #'!$B$14:$N$16,10,FALSE)</f>
        <v>#N/A</v>
      </c>
      <c r="D49" s="78" t="s">
        <v>467</v>
      </c>
      <c r="E49" s="16"/>
      <c r="F49" s="66"/>
      <c r="G49" s="68"/>
      <c r="H49" s="66"/>
      <c r="I49" s="69"/>
      <c r="J49" s="66"/>
      <c r="K49" s="70"/>
      <c r="L49" s="66"/>
      <c r="M49" s="14"/>
      <c r="N49" s="66"/>
      <c r="O49" s="65"/>
      <c r="P49" s="71"/>
      <c r="Q49" s="14"/>
      <c r="R49" s="14"/>
      <c r="S49" s="72"/>
      <c r="T49" s="1031"/>
    </row>
    <row r="50" spans="1:20" s="2" customFormat="1" ht="30" customHeight="1" thickBot="1" x14ac:dyDescent="0.3">
      <c r="A50" s="1241" t="s">
        <v>468</v>
      </c>
      <c r="B50" s="1242"/>
      <c r="C50" s="77" t="e">
        <f>VLOOKUP($E$41,'DATOS #'!$B$14:$N$16,11,FALSE)</f>
        <v>#N/A</v>
      </c>
      <c r="D50" s="78" t="s">
        <v>467</v>
      </c>
      <c r="E50" s="16"/>
      <c r="F50" s="66"/>
      <c r="G50" s="68"/>
      <c r="H50" s="66"/>
      <c r="I50" s="69"/>
      <c r="J50" s="66"/>
      <c r="K50" s="70"/>
      <c r="L50" s="66"/>
      <c r="M50" s="14"/>
      <c r="N50" s="66"/>
      <c r="O50" s="65"/>
      <c r="P50" s="71"/>
      <c r="Q50" s="14"/>
      <c r="R50" s="14"/>
      <c r="S50" s="72"/>
      <c r="T50" s="1031"/>
    </row>
    <row r="51" spans="1:20" s="2" customFormat="1" ht="39.75" customHeight="1" thickBot="1" x14ac:dyDescent="0.3">
      <c r="A51" s="1316" t="s">
        <v>469</v>
      </c>
      <c r="B51" s="1317"/>
      <c r="C51" s="80">
        <f>'DATOS #'!M25</f>
        <v>9.9000000000000001E-6</v>
      </c>
      <c r="D51" s="78" t="s">
        <v>465</v>
      </c>
      <c r="E51" s="16"/>
      <c r="F51" s="66"/>
      <c r="G51" s="68"/>
      <c r="H51" s="66"/>
      <c r="I51" s="69"/>
      <c r="J51" s="66"/>
      <c r="K51" s="70"/>
      <c r="L51" s="66"/>
      <c r="M51" s="14"/>
      <c r="N51" s="66"/>
      <c r="O51" s="65"/>
      <c r="P51" s="71"/>
      <c r="Q51" s="14"/>
      <c r="R51" s="14"/>
      <c r="S51" s="72"/>
      <c r="T51" s="1031"/>
    </row>
    <row r="52" spans="1:20" s="2" customFormat="1" ht="30" customHeight="1" thickBot="1" x14ac:dyDescent="0.3">
      <c r="A52" s="17"/>
      <c r="B52" s="17"/>
      <c r="C52" s="81" t="e">
        <f>IF(C45=0.5,1892.706,IF(C45=5,18927.06,IF(C45=20,20000,IF(C45=2,2000))))</f>
        <v>#N/A</v>
      </c>
      <c r="D52" s="82" t="s">
        <v>224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031"/>
    </row>
    <row r="53" spans="1:20" s="2" customFormat="1" ht="30" customHeight="1" thickBot="1" x14ac:dyDescent="0.3">
      <c r="A53" s="1247" t="s">
        <v>470</v>
      </c>
      <c r="B53" s="1248"/>
      <c r="C53" s="429"/>
      <c r="D53" s="83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031"/>
    </row>
    <row r="54" spans="1:20" s="2" customFormat="1" ht="30" customHeight="1" thickBo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032"/>
    </row>
    <row r="55" spans="1:20" s="2" customFormat="1" ht="30" customHeight="1" thickBot="1" x14ac:dyDescent="0.3">
      <c r="A55" s="1309" t="s">
        <v>471</v>
      </c>
      <c r="B55" s="1310"/>
      <c r="C55" s="1311" t="e">
        <f>VLOOKUP(G55,'DATOS #'!P9:R13,2,FALSE)</f>
        <v>#N/A</v>
      </c>
      <c r="D55" s="1312"/>
      <c r="E55" s="1312"/>
      <c r="F55" s="1313"/>
      <c r="G55" s="21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031"/>
    </row>
    <row r="56" spans="1:20" s="2" customFormat="1" ht="30" customHeight="1" thickBo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031"/>
    </row>
    <row r="57" spans="1:20" s="2" customFormat="1" ht="30" customHeight="1" thickBot="1" x14ac:dyDescent="0.3">
      <c r="A57" s="1256" t="s">
        <v>472</v>
      </c>
      <c r="B57" s="1257"/>
      <c r="C57" s="1257"/>
      <c r="D57" s="1257"/>
      <c r="E57" s="1258"/>
      <c r="F57" s="1031"/>
      <c r="G57" s="1031"/>
      <c r="H57" s="73"/>
      <c r="I57" s="1031"/>
      <c r="J57" s="1031"/>
      <c r="K57" s="1031"/>
      <c r="L57" s="1031"/>
      <c r="M57" s="1031"/>
      <c r="N57" s="1031"/>
      <c r="O57" s="1031"/>
      <c r="P57" s="17"/>
      <c r="Q57" s="17"/>
      <c r="R57" s="17"/>
      <c r="S57" s="17"/>
      <c r="T57" s="1031"/>
    </row>
    <row r="58" spans="1:20" s="2" customFormat="1" ht="30" customHeight="1" thickBot="1" x14ac:dyDescent="0.3">
      <c r="A58" s="331"/>
      <c r="B58" s="563" t="s">
        <v>473</v>
      </c>
      <c r="C58" s="329"/>
      <c r="D58" s="564" t="s">
        <v>473</v>
      </c>
      <c r="E58" s="330"/>
      <c r="F58" s="1031"/>
      <c r="G58" s="1031"/>
      <c r="H58" s="17"/>
      <c r="I58" s="1031"/>
      <c r="J58" s="1031"/>
      <c r="K58" s="1031"/>
      <c r="L58" s="1031"/>
      <c r="M58" s="1031"/>
      <c r="N58" s="1031"/>
      <c r="O58" s="1031"/>
      <c r="P58" s="17"/>
      <c r="Q58" s="17"/>
      <c r="R58" s="17"/>
      <c r="S58" s="17"/>
      <c r="T58" s="1031"/>
    </row>
    <row r="59" spans="1:20" s="2" customFormat="1" ht="30" customHeight="1" x14ac:dyDescent="0.25">
      <c r="A59" s="332" t="s">
        <v>474</v>
      </c>
      <c r="B59" s="336" t="e">
        <f>VLOOKUP(C58,'DATOS #'!B217:K248,8,FALSE)</f>
        <v>#N/A</v>
      </c>
      <c r="C59" s="328" t="e">
        <f>(VLOOKUP(C58,'DATOS #'!B217:K248,9,FALSE))/1000</f>
        <v>#N/A</v>
      </c>
      <c r="D59" s="335" t="e">
        <f>VLOOKUP(E58,'DATOS #'!B217:K248,8,FALSE)</f>
        <v>#N/A</v>
      </c>
      <c r="E59" s="337" t="e">
        <f>(VLOOKUP(E58,'DATOS #'!B217:K248,9,FALSE))/1000</f>
        <v>#N/A</v>
      </c>
      <c r="F59" s="1031"/>
      <c r="G59" s="1031"/>
      <c r="H59" s="17"/>
      <c r="I59" s="1031"/>
      <c r="J59" s="1031"/>
      <c r="K59" s="1031"/>
      <c r="L59" s="1031"/>
      <c r="M59" s="1031"/>
      <c r="N59" s="1031"/>
      <c r="O59" s="1031"/>
      <c r="P59" s="17"/>
      <c r="Q59" s="17"/>
      <c r="R59" s="17"/>
      <c r="S59" s="17"/>
      <c r="T59" s="1033"/>
    </row>
    <row r="60" spans="1:20" s="2" customFormat="1" ht="30" customHeight="1" x14ac:dyDescent="0.25">
      <c r="A60" s="333">
        <v>1</v>
      </c>
      <c r="B60" s="553"/>
      <c r="C60" s="552" t="e">
        <f>B60-$C$59</f>
        <v>#N/A</v>
      </c>
      <c r="D60" s="556"/>
      <c r="E60" s="313" t="e">
        <f>D60+$E$59</f>
        <v>#N/A</v>
      </c>
      <c r="F60" s="1031"/>
      <c r="G60" s="1031"/>
      <c r="H60" s="1031"/>
      <c r="I60" s="1031"/>
      <c r="J60" s="1031"/>
      <c r="K60" s="1031"/>
      <c r="L60" s="1031"/>
      <c r="M60" s="1031"/>
      <c r="N60" s="1031"/>
      <c r="O60" s="1031"/>
      <c r="P60" s="1031"/>
      <c r="Q60" s="17"/>
      <c r="R60" s="17"/>
      <c r="S60" s="17"/>
      <c r="T60" s="1033"/>
    </row>
    <row r="61" spans="1:20" s="2" customFormat="1" ht="30" customHeight="1" x14ac:dyDescent="0.25">
      <c r="A61" s="333">
        <v>2</v>
      </c>
      <c r="B61" s="553"/>
      <c r="C61" s="552" t="e">
        <f>B61-$C$59</f>
        <v>#N/A</v>
      </c>
      <c r="D61" s="556"/>
      <c r="E61" s="313" t="e">
        <f>D61+$E$59</f>
        <v>#N/A</v>
      </c>
      <c r="F61" s="1031"/>
      <c r="G61" s="1031"/>
      <c r="H61" s="1031"/>
      <c r="I61" s="1031"/>
      <c r="J61" s="1031"/>
      <c r="K61" s="1031"/>
      <c r="L61" s="1031"/>
      <c r="M61" s="1031"/>
      <c r="N61" s="1031"/>
      <c r="O61" s="1031"/>
      <c r="P61" s="1031"/>
      <c r="Q61" s="106"/>
      <c r="R61" s="85"/>
      <c r="S61" s="17"/>
      <c r="T61" s="1033"/>
    </row>
    <row r="62" spans="1:20" s="2" customFormat="1" ht="30" customHeight="1" x14ac:dyDescent="0.25">
      <c r="A62" s="333">
        <v>3</v>
      </c>
      <c r="B62" s="553"/>
      <c r="C62" s="552" t="e">
        <f>B62-$C$59</f>
        <v>#N/A</v>
      </c>
      <c r="D62" s="556"/>
      <c r="E62" s="313" t="e">
        <f>D62+$E$59</f>
        <v>#N/A</v>
      </c>
      <c r="F62" s="1031"/>
      <c r="G62" s="1031"/>
      <c r="H62" s="1031"/>
      <c r="I62" s="17"/>
      <c r="J62" s="1031"/>
      <c r="K62" s="1031"/>
      <c r="L62" s="1031"/>
      <c r="M62" s="1031"/>
      <c r="N62" s="1031"/>
      <c r="O62" s="1031"/>
      <c r="P62" s="1031"/>
      <c r="Q62" s="17"/>
      <c r="R62" s="17"/>
      <c r="S62" s="17"/>
      <c r="T62" s="1031"/>
    </row>
    <row r="63" spans="1:20" s="2" customFormat="1" ht="33.75" customHeight="1" x14ac:dyDescent="0.25">
      <c r="A63" s="333">
        <v>4</v>
      </c>
      <c r="B63" s="553"/>
      <c r="C63" s="552" t="e">
        <f>B63-$C$59</f>
        <v>#N/A</v>
      </c>
      <c r="D63" s="556"/>
      <c r="E63" s="313" t="e">
        <f>D63+$E$59</f>
        <v>#N/A</v>
      </c>
      <c r="F63" s="1031"/>
      <c r="G63" s="1031"/>
      <c r="H63" s="1031"/>
      <c r="I63" s="1031"/>
      <c r="J63" s="1031"/>
      <c r="K63" s="1031"/>
      <c r="L63" s="1031"/>
      <c r="M63" s="1031"/>
      <c r="N63" s="1031"/>
      <c r="O63" s="1031"/>
      <c r="P63" s="1031"/>
      <c r="Q63" s="17"/>
      <c r="R63" s="17"/>
      <c r="S63" s="17"/>
      <c r="T63" s="1031"/>
    </row>
    <row r="64" spans="1:20" s="2" customFormat="1" ht="48" customHeight="1" thickBot="1" x14ac:dyDescent="0.25">
      <c r="A64" s="334">
        <v>5</v>
      </c>
      <c r="B64" s="554"/>
      <c r="C64" s="555" t="e">
        <f>B64-$C$59</f>
        <v>#N/A</v>
      </c>
      <c r="D64" s="557"/>
      <c r="E64" s="558" t="e">
        <f>D64+$E$59</f>
        <v>#N/A</v>
      </c>
      <c r="F64" s="1034"/>
      <c r="G64" s="1031"/>
      <c r="H64" s="1031"/>
      <c r="I64" s="1031"/>
      <c r="J64" s="1031"/>
      <c r="K64" s="1031"/>
      <c r="L64" s="1031"/>
      <c r="M64" s="1031"/>
      <c r="N64" s="1031"/>
      <c r="O64" s="1031"/>
      <c r="P64" s="64"/>
      <c r="Q64" s="17"/>
      <c r="R64" s="17"/>
      <c r="S64" s="17"/>
      <c r="T64" s="1031"/>
    </row>
    <row r="65" spans="1:19" s="2" customFormat="1" ht="63.75" customHeight="1" thickBot="1" x14ac:dyDescent="0.3">
      <c r="A65" s="1031"/>
      <c r="B65" s="905" t="s">
        <v>475</v>
      </c>
      <c r="C65" s="906" t="e">
        <f>AVERAGE(C60:C64)</f>
        <v>#N/A</v>
      </c>
      <c r="D65" s="906" t="s">
        <v>475</v>
      </c>
      <c r="E65" s="907" t="e">
        <f>AVERAGE(E60:E64)</f>
        <v>#N/A</v>
      </c>
      <c r="F65" s="1031"/>
      <c r="G65" s="1031"/>
      <c r="H65" s="1031"/>
      <c r="I65" s="1031"/>
      <c r="J65" s="421"/>
      <c r="K65" s="1031"/>
      <c r="L65" s="1031"/>
      <c r="M65" s="1031"/>
      <c r="N65" s="1031"/>
      <c r="O65" s="1031"/>
      <c r="P65" s="90"/>
      <c r="Q65" s="17"/>
      <c r="R65" s="17"/>
      <c r="S65" s="17"/>
    </row>
    <row r="66" spans="1:19" s="2" customFormat="1" ht="41.1" customHeight="1" thickBot="1" x14ac:dyDescent="0.3">
      <c r="A66" s="1261" t="s">
        <v>476</v>
      </c>
      <c r="B66" s="1262"/>
      <c r="C66" s="1262"/>
      <c r="D66" s="1319"/>
      <c r="E66" s="1335" t="s">
        <v>477</v>
      </c>
      <c r="F66" s="1336"/>
      <c r="G66" s="1031"/>
      <c r="H66" s="1031"/>
      <c r="I66" s="1031"/>
      <c r="J66" s="421"/>
      <c r="K66" s="1031"/>
      <c r="L66" s="1031"/>
      <c r="M66" s="1031"/>
      <c r="N66" s="1031"/>
      <c r="O66" s="1031"/>
      <c r="P66" s="90"/>
      <c r="Q66" s="17"/>
      <c r="R66" s="17"/>
      <c r="S66" s="17"/>
    </row>
    <row r="67" spans="1:19" s="2" customFormat="1" ht="41.1" customHeight="1" thickBot="1" x14ac:dyDescent="0.3">
      <c r="A67" s="86" t="s">
        <v>478</v>
      </c>
      <c r="B67" s="87" t="e">
        <f>B82+((VLOOKUP($H$81,'DATOS #'!$B$123:$O$129,9,FALSE))*B82+(VLOOKUP($H$81,'DATOS #'!$B$123:$O$173,10,FALSE)))</f>
        <v>#N/A</v>
      </c>
      <c r="C67" s="87" t="e">
        <f>C82+((VLOOKUP($H$81,'DATOS #'!$B$123:$O$129,9,FALSE))*C82+(VLOOKUP($H$81,'DATOS #'!$B$123:$O$129,10,FALSE)))</f>
        <v>#N/A</v>
      </c>
      <c r="D67" s="314" t="e">
        <f>D82+((VLOOKUP($H$81,'DATOS #'!$B$123:$O$129,9,FALSE))*D82+(VLOOKUP($H$81,'DATOS #'!$B$123:$O$129,10,FALSE)))</f>
        <v>#N/A</v>
      </c>
      <c r="E67" s="1329"/>
      <c r="F67" s="1330"/>
      <c r="G67" s="1259" t="e">
        <f>IF(AND(18&lt;=B67, 18&lt;=C67, 18&lt;=D67, B67&lt;=22,C67&lt;=22,D67&lt;=22),"La temperatura está dentro del intervalo de condiciones ambientales","La temperatura de al menos una medición está fuera del intervalo")</f>
        <v>#N/A</v>
      </c>
      <c r="H67" s="1260"/>
      <c r="I67" s="1260"/>
      <c r="J67" s="1260"/>
      <c r="K67" s="1031"/>
      <c r="L67" s="1031"/>
      <c r="M67" s="1031"/>
      <c r="N67" s="1031"/>
      <c r="O67" s="1031"/>
      <c r="P67" s="90"/>
      <c r="Q67" s="17"/>
      <c r="R67" s="17"/>
      <c r="S67" s="17"/>
    </row>
    <row r="68" spans="1:19" s="2" customFormat="1" ht="41.1" customHeight="1" thickBot="1" x14ac:dyDescent="0.3">
      <c r="A68" s="86" t="s">
        <v>479</v>
      </c>
      <c r="B68" s="87" t="e">
        <f>B83+((VLOOKUP($H$81,'DATOS #'!$B$123:$O$129,11,FALSE))*B83+(VLOOKUP($H$81,'DATOS #'!$B$123:$O$129,12,FALSE)))</f>
        <v>#N/A</v>
      </c>
      <c r="C68" s="87" t="e">
        <f>C83+((VLOOKUP($H$81,'DATOS #'!$B$123:$O$129,11,FALSE))*C83+(VLOOKUP($H$81,'DATOS #'!$B$123:$O$129,12,FALSE)))</f>
        <v>#N/A</v>
      </c>
      <c r="D68" s="314" t="e">
        <f>D83+((VLOOKUP($H$81,'DATOS #'!$B$123:$O$129,11,FALSE))*D83+(VLOOKUP($H$81,'DATOS #'!$B$123:$O$129,12,FALSE)))</f>
        <v>#N/A</v>
      </c>
      <c r="E68" s="1331"/>
      <c r="F68" s="1332"/>
      <c r="G68" s="1259" t="e">
        <f>IF(AND(30&lt;=B68, 30&lt;=C68, 30&lt;=D68, B68&lt;=80, C68&lt;=80, D68&lt;=80),"La humedad está dentro del intervalo de condiciones ambientales","La humedad de al menos una medición está fuera del intervalo")</f>
        <v>#N/A</v>
      </c>
      <c r="H68" s="1260"/>
      <c r="I68" s="1260"/>
      <c r="J68" s="1260"/>
      <c r="K68" s="1031"/>
      <c r="L68" s="1031"/>
      <c r="M68" s="1031"/>
      <c r="N68" s="1031"/>
      <c r="O68" s="1031"/>
      <c r="P68" s="90"/>
      <c r="Q68" s="17"/>
      <c r="R68" s="17"/>
      <c r="S68" s="17"/>
    </row>
    <row r="69" spans="1:19" s="2" customFormat="1" ht="41.1" customHeight="1" thickBot="1" x14ac:dyDescent="0.3">
      <c r="A69" s="91" t="s">
        <v>525</v>
      </c>
      <c r="B69" s="92" t="e">
        <f>B84+((VLOOKUP($H$81,'DATOS #'!$B$123:$O$129,13,FALSE))*B84+(VLOOKUP($H$81,'DATOS #'!$B$123:$O$129,14,FALSE)))</f>
        <v>#N/A</v>
      </c>
      <c r="C69" s="92" t="e">
        <f>C84+((VLOOKUP($H$81,'DATOS #'!$B$123:$O$129,13,FALSE))*C84+(VLOOKUP($H$81,'DATOS #'!$B$123:$O$129,14,FALSE)))</f>
        <v>#N/A</v>
      </c>
      <c r="D69" s="315" t="e">
        <f>D84+((VLOOKUP($H$81,'DATOS #'!$B$123:$O$129,13,FALSE))*D84+(VLOOKUP($H$81,'DATOS #'!$B$123:$O$129,14,FALSE)))</f>
        <v>#N/A</v>
      </c>
      <c r="E69" s="1333"/>
      <c r="F69" s="1334"/>
      <c r="G69" s="1031"/>
      <c r="H69" s="1031"/>
      <c r="I69" s="1031"/>
      <c r="J69" s="1031"/>
      <c r="K69" s="1031"/>
      <c r="L69" s="1031"/>
      <c r="M69" s="1031"/>
      <c r="N69" s="1031"/>
      <c r="O69" s="1031"/>
      <c r="P69" s="90"/>
      <c r="Q69" s="17"/>
      <c r="R69" s="17"/>
      <c r="S69" s="17"/>
    </row>
    <row r="70" spans="1:19" s="2" customFormat="1" ht="13.5" customHeight="1" thickBot="1" x14ac:dyDescent="0.3">
      <c r="A70" s="1031"/>
      <c r="B70" s="1031"/>
      <c r="C70" s="1031"/>
      <c r="D70" s="1031"/>
      <c r="E70" s="1031"/>
      <c r="F70" s="64"/>
      <c r="G70" s="1031"/>
      <c r="H70" s="1031"/>
      <c r="I70" s="1031"/>
      <c r="J70" s="1031"/>
      <c r="K70" s="1031"/>
      <c r="L70" s="1031"/>
      <c r="M70" s="1031"/>
      <c r="N70" s="1031"/>
      <c r="O70" s="1031"/>
      <c r="P70" s="90"/>
      <c r="Q70" s="17"/>
      <c r="R70" s="17"/>
      <c r="S70" s="17"/>
    </row>
    <row r="71" spans="1:19" s="2" customFormat="1" ht="41.1" customHeight="1" thickBot="1" x14ac:dyDescent="0.3">
      <c r="A71" s="1335" t="s">
        <v>480</v>
      </c>
      <c r="B71" s="1337"/>
      <c r="C71" s="1337"/>
      <c r="D71" s="1336"/>
      <c r="E71" s="1335" t="s">
        <v>477</v>
      </c>
      <c r="F71" s="1336"/>
      <c r="G71" s="1031"/>
      <c r="H71" s="1031"/>
      <c r="I71" s="1031"/>
      <c r="J71" s="1031"/>
      <c r="K71" s="1031"/>
      <c r="L71" s="1031"/>
      <c r="M71" s="1031"/>
      <c r="N71" s="1031"/>
      <c r="O71" s="1031"/>
      <c r="P71" s="90"/>
      <c r="Q71" s="17"/>
      <c r="R71" s="17"/>
      <c r="S71" s="17"/>
    </row>
    <row r="72" spans="1:19" s="2" customFormat="1" ht="41.1" customHeight="1" x14ac:dyDescent="0.25">
      <c r="A72" s="1251"/>
      <c r="B72" s="455">
        <v>1</v>
      </c>
      <c r="C72" s="455">
        <v>2</v>
      </c>
      <c r="D72" s="456">
        <v>3</v>
      </c>
      <c r="E72" s="317"/>
      <c r="F72" s="318"/>
      <c r="G72" s="1031"/>
      <c r="H72" s="1031"/>
      <c r="I72" s="1031"/>
      <c r="J72" s="1031"/>
      <c r="K72" s="1031"/>
      <c r="L72" s="1031"/>
      <c r="M72" s="1031"/>
      <c r="N72" s="1031"/>
      <c r="O72" s="1031"/>
      <c r="P72" s="90"/>
      <c r="Q72" s="17"/>
      <c r="R72" s="17"/>
      <c r="S72" s="17"/>
    </row>
    <row r="73" spans="1:19" s="2" customFormat="1" ht="41.1" customHeight="1" thickBot="1" x14ac:dyDescent="0.3">
      <c r="A73" s="1252"/>
      <c r="B73" s="93" t="e">
        <f>(((0.34848*(B69))-(0.009*(B68)*(EXP(0.061*(B67)))))/(273.15+(B67)))/1000</f>
        <v>#N/A</v>
      </c>
      <c r="C73" s="93" t="e">
        <f>(((0.34848*(C69))-(0.009*(C68)*(EXP(0.061*(C67)))))/(273.15+(C67)))/1000</f>
        <v>#N/A</v>
      </c>
      <c r="D73" s="316" t="e">
        <f>(((0.34848*(D69))-(0.009*(D68)*(EXP(0.061*(D67)))))/(273.15+(D67)))/1000</f>
        <v>#N/A</v>
      </c>
      <c r="E73" s="309"/>
      <c r="F73" s="319"/>
      <c r="G73" s="1031"/>
      <c r="H73" s="1031"/>
      <c r="I73" s="1031"/>
      <c r="J73" s="1031"/>
      <c r="K73" s="1031"/>
      <c r="L73" s="1031"/>
      <c r="M73" s="1031"/>
      <c r="N73" s="1031"/>
      <c r="O73" s="89"/>
      <c r="P73" s="90"/>
      <c r="Q73" s="17"/>
      <c r="R73" s="17"/>
      <c r="S73" s="17"/>
    </row>
    <row r="74" spans="1:19" s="2" customFormat="1" ht="14.25" customHeight="1" thickBot="1" x14ac:dyDescent="0.3">
      <c r="A74" s="1031"/>
      <c r="B74" s="1031"/>
      <c r="C74" s="1031"/>
      <c r="D74" s="1031"/>
      <c r="E74" s="1031"/>
      <c r="F74" s="1031"/>
      <c r="G74" s="1031"/>
      <c r="H74" s="1031"/>
      <c r="I74" s="1031"/>
      <c r="J74" s="1031"/>
      <c r="K74" s="1031"/>
      <c r="L74" s="1031"/>
      <c r="M74" s="1031"/>
      <c r="N74" s="1031"/>
      <c r="O74" s="1031"/>
      <c r="P74" s="90"/>
      <c r="Q74" s="17"/>
      <c r="R74" s="17"/>
      <c r="S74" s="17"/>
    </row>
    <row r="75" spans="1:19" s="2" customFormat="1" ht="41.1" customHeight="1" thickBot="1" x14ac:dyDescent="0.3">
      <c r="A75" s="1261" t="s">
        <v>481</v>
      </c>
      <c r="B75" s="1262"/>
      <c r="C75" s="1262"/>
      <c r="D75" s="1319"/>
      <c r="E75" s="1261" t="s">
        <v>477</v>
      </c>
      <c r="F75" s="1319"/>
      <c r="G75" s="1031"/>
      <c r="H75" s="1031"/>
      <c r="I75" s="1031"/>
      <c r="J75" s="1031"/>
      <c r="K75" s="1031"/>
      <c r="L75" s="1031"/>
      <c r="M75" s="1031"/>
      <c r="N75" s="1031"/>
      <c r="O75" s="1031"/>
      <c r="P75" s="90"/>
      <c r="Q75" s="17"/>
      <c r="R75" s="17"/>
      <c r="S75" s="17"/>
    </row>
    <row r="76" spans="1:19" s="2" customFormat="1" ht="41.1" customHeight="1" x14ac:dyDescent="0.25">
      <c r="A76" s="1253"/>
      <c r="B76" s="455">
        <v>1</v>
      </c>
      <c r="C76" s="455">
        <v>2</v>
      </c>
      <c r="D76" s="456">
        <v>3</v>
      </c>
      <c r="E76" s="317"/>
      <c r="F76" s="318"/>
      <c r="G76" s="1031"/>
      <c r="H76" s="1031"/>
      <c r="I76" s="1031"/>
      <c r="J76" s="1031"/>
      <c r="K76" s="1031"/>
      <c r="L76" s="1031"/>
      <c r="M76" s="1031"/>
      <c r="N76" s="1031"/>
      <c r="O76" s="1031"/>
      <c r="P76" s="90"/>
      <c r="Q76" s="17"/>
      <c r="R76" s="17"/>
      <c r="S76" s="17"/>
    </row>
    <row r="77" spans="1:19" s="2" customFormat="1" ht="63" customHeight="1" thickBot="1" x14ac:dyDescent="0.3">
      <c r="A77" s="1254"/>
      <c r="B77" s="93" t="e">
        <f>(((999.972*(1-(((B88+(-3.983035))^2*(B88+301.797))/(522528.9*(B88+69.34881)))))*(1+((0.0000000005074+((-0.00000000000326)*B88)+(0.0000000000000416*B88^2))*((B69*100)-101325))))+((-0.004612)+(0.000106*B88)))/1000</f>
        <v>#VALUE!</v>
      </c>
      <c r="C77" s="93" t="e">
        <f>(((999.972*(1-(((C88+(-3.983035))^2*(C88+301.797))/(522528.9*(C88+69.34881)))))*(1+((0.0000000005074+((-0.00000000000326)*C88)+(0.0000000000000416*C88^2))*((C69*100)-101325))))+((-0.004612)+(0.000106*C88)))/1000</f>
        <v>#VALUE!</v>
      </c>
      <c r="D77" s="316" t="e">
        <f>(((999.972*(1-(((D88+(-3.983035))^2*(D88+301.797))/(522528.9*(D88+69.34881)))))*(1+((0.0000000005074+((-0.00000000000326)*D88)+(0.0000000000000416*D88^2))*((D69*100)-101325))))+((-0.004612)+(0.000106*D88)))/1000</f>
        <v>#VALUE!</v>
      </c>
      <c r="E77" s="309"/>
      <c r="F77" s="319"/>
      <c r="G77" s="1031"/>
      <c r="H77" s="1031"/>
      <c r="I77" s="1031"/>
      <c r="J77" s="1031"/>
      <c r="K77" s="1031"/>
      <c r="L77" s="1031"/>
      <c r="M77" s="1031"/>
      <c r="N77" s="1031"/>
      <c r="O77" s="89"/>
      <c r="P77" s="90"/>
      <c r="Q77" s="17"/>
      <c r="R77" s="17"/>
      <c r="S77" s="17"/>
    </row>
    <row r="78" spans="1:19" s="2" customFormat="1" ht="51" customHeight="1" x14ac:dyDescent="0.25">
      <c r="A78" s="1031"/>
      <c r="B78" s="1031"/>
      <c r="C78" s="1031"/>
      <c r="D78" s="1031"/>
      <c r="E78" s="1031"/>
      <c r="F78" s="1031"/>
      <c r="G78" s="1031"/>
      <c r="H78" s="1031"/>
      <c r="I78" s="14"/>
      <c r="J78" s="14"/>
      <c r="K78" s="88"/>
      <c r="L78" s="14"/>
      <c r="M78" s="14"/>
      <c r="N78" s="88"/>
      <c r="O78" s="89"/>
      <c r="P78" s="90"/>
      <c r="Q78" s="17"/>
      <c r="R78" s="17"/>
      <c r="S78" s="17"/>
    </row>
    <row r="79" spans="1:19" s="2" customFormat="1" ht="42" customHeight="1" thickBot="1" x14ac:dyDescent="0.3">
      <c r="A79" s="1031"/>
      <c r="B79" s="1031"/>
      <c r="C79" s="1031"/>
      <c r="D79" s="1031"/>
      <c r="E79" s="1031"/>
      <c r="F79" s="1031"/>
      <c r="G79" s="1031"/>
      <c r="H79" s="1031"/>
      <c r="I79" s="1031"/>
      <c r="J79" s="1031"/>
      <c r="K79" s="1031"/>
      <c r="L79" s="1031"/>
      <c r="M79" s="1031"/>
      <c r="N79" s="1031"/>
      <c r="O79" s="89"/>
      <c r="P79" s="90"/>
      <c r="Q79" s="17"/>
      <c r="R79" s="17"/>
      <c r="S79" s="17"/>
    </row>
    <row r="80" spans="1:19" s="2" customFormat="1" ht="42" customHeight="1" thickBot="1" x14ac:dyDescent="0.25">
      <c r="A80" s="1261" t="s">
        <v>482</v>
      </c>
      <c r="B80" s="1262"/>
      <c r="C80" s="1262"/>
      <c r="D80" s="1262"/>
      <c r="E80" s="1263"/>
      <c r="F80" s="1263"/>
      <c r="G80" s="1264"/>
      <c r="H80" s="483" t="s">
        <v>123</v>
      </c>
      <c r="I80" s="1031"/>
      <c r="J80" s="376"/>
      <c r="K80" s="376"/>
      <c r="L80" s="1344" t="s">
        <v>483</v>
      </c>
      <c r="M80" s="1345"/>
      <c r="N80" s="1346"/>
      <c r="O80" s="89"/>
      <c r="P80" s="90"/>
      <c r="Q80" s="17"/>
      <c r="R80" s="17"/>
      <c r="S80" s="17"/>
    </row>
    <row r="81" spans="1:19" s="2" customFormat="1" ht="42" customHeight="1" thickBot="1" x14ac:dyDescent="0.3">
      <c r="A81" s="471"/>
      <c r="B81" s="472">
        <v>1</v>
      </c>
      <c r="C81" s="472">
        <v>2</v>
      </c>
      <c r="D81" s="473">
        <v>3</v>
      </c>
      <c r="E81" s="1269" t="s">
        <v>477</v>
      </c>
      <c r="F81" s="1270"/>
      <c r="G81" s="1271"/>
      <c r="H81" s="546"/>
      <c r="I81" s="1031"/>
      <c r="J81" s="376"/>
      <c r="K81" s="376"/>
      <c r="L81" s="484" t="s">
        <v>484</v>
      </c>
      <c r="M81" s="485" t="s">
        <v>485</v>
      </c>
      <c r="N81" s="486" t="s">
        <v>486</v>
      </c>
      <c r="O81" s="89"/>
      <c r="P81" s="90"/>
      <c r="Q81" s="17"/>
      <c r="R81" s="17"/>
      <c r="S81" s="17"/>
    </row>
    <row r="82" spans="1:19" s="2" customFormat="1" ht="42" customHeight="1" thickBot="1" x14ac:dyDescent="0.25">
      <c r="A82" s="547" t="s">
        <v>478</v>
      </c>
      <c r="B82" s="469"/>
      <c r="C82" s="469"/>
      <c r="D82" s="470"/>
      <c r="E82" s="1272"/>
      <c r="F82" s="1273"/>
      <c r="G82" s="1274"/>
      <c r="H82" s="16"/>
      <c r="I82" s="14"/>
      <c r="J82" s="376"/>
      <c r="K82" s="376"/>
      <c r="L82" s="457" t="e">
        <f>B98</f>
        <v>#N/A</v>
      </c>
      <c r="M82" s="458" t="e">
        <f>C98</f>
        <v>#N/A</v>
      </c>
      <c r="N82" s="459" t="e">
        <f>D98</f>
        <v>#N/A</v>
      </c>
      <c r="O82" s="89"/>
      <c r="P82" s="90"/>
      <c r="Q82" s="17"/>
      <c r="R82" s="17"/>
      <c r="S82" s="17"/>
    </row>
    <row r="83" spans="1:19" s="2" customFormat="1" ht="42" customHeight="1" x14ac:dyDescent="0.25">
      <c r="A83" s="548" t="s">
        <v>479</v>
      </c>
      <c r="B83" s="84"/>
      <c r="C83" s="84"/>
      <c r="D83" s="84"/>
      <c r="E83" s="1275"/>
      <c r="F83" s="1276"/>
      <c r="G83" s="1277"/>
      <c r="H83" s="16"/>
      <c r="I83" s="14"/>
      <c r="J83" s="487" t="s">
        <v>484</v>
      </c>
      <c r="K83" s="460" t="e">
        <f>+L82</f>
        <v>#N/A</v>
      </c>
      <c r="L83" s="463" t="e">
        <f>ABS(K83-L82)</f>
        <v>#N/A</v>
      </c>
      <c r="M83" s="463" t="e">
        <f>+ABS(M82-K83)</f>
        <v>#N/A</v>
      </c>
      <c r="N83" s="464" t="e">
        <f>+ABS(N82-K83)</f>
        <v>#N/A</v>
      </c>
      <c r="O83" s="89"/>
      <c r="P83" s="90"/>
      <c r="Q83" s="17"/>
      <c r="R83" s="17"/>
      <c r="S83" s="17"/>
    </row>
    <row r="84" spans="1:19" s="2" customFormat="1" ht="42" customHeight="1" thickBot="1" x14ac:dyDescent="0.3">
      <c r="A84" s="549" t="s">
        <v>525</v>
      </c>
      <c r="B84" s="341"/>
      <c r="C84" s="341"/>
      <c r="D84" s="342"/>
      <c r="E84" s="1278"/>
      <c r="F84" s="1279"/>
      <c r="G84" s="1280"/>
      <c r="H84" s="16"/>
      <c r="I84" s="14"/>
      <c r="J84" s="488" t="s">
        <v>485</v>
      </c>
      <c r="K84" s="461" t="e">
        <f>+M82</f>
        <v>#N/A</v>
      </c>
      <c r="L84" s="465"/>
      <c r="M84" s="465" t="e">
        <f>+ABS(K84-M82)</f>
        <v>#N/A</v>
      </c>
      <c r="N84" s="466" t="e">
        <f>+ABS(K84-N82)</f>
        <v>#N/A</v>
      </c>
      <c r="O84" s="89"/>
      <c r="P84" s="90"/>
      <c r="Q84" s="17"/>
      <c r="R84" s="17"/>
      <c r="S84" s="17"/>
    </row>
    <row r="85" spans="1:19" s="2" customFormat="1" ht="42" customHeight="1" thickBot="1" x14ac:dyDescent="0.3">
      <c r="A85" s="435"/>
      <c r="B85" s="551"/>
      <c r="C85" s="551"/>
      <c r="D85" s="551"/>
      <c r="E85" s="343"/>
      <c r="F85" s="343"/>
      <c r="G85" s="344" t="s">
        <v>446</v>
      </c>
      <c r="H85" s="546"/>
      <c r="I85" s="1031"/>
      <c r="J85" s="489" t="s">
        <v>486</v>
      </c>
      <c r="K85" s="462" t="e">
        <f>+N82</f>
        <v>#N/A</v>
      </c>
      <c r="L85" s="467"/>
      <c r="M85" s="467"/>
      <c r="N85" s="468" t="e">
        <f>+ABS(K85-N82)</f>
        <v>#N/A</v>
      </c>
      <c r="O85" s="89"/>
      <c r="P85" s="90"/>
      <c r="Q85" s="17"/>
      <c r="R85" s="17"/>
      <c r="S85" s="17"/>
    </row>
    <row r="86" spans="1:19" s="2" customFormat="1" ht="42" customHeight="1" x14ac:dyDescent="0.25">
      <c r="A86" s="436"/>
      <c r="B86" s="430" t="e">
        <f>B85+((VLOOKUP($H$85,'DATOS #'!$A$177:$N$199,13,FALSE))*B85+(VLOOKUP($H$85,'DATOS #'!$A$177:$N$199,14,FALSE)))</f>
        <v>#N/A</v>
      </c>
      <c r="C86" s="94" t="e">
        <f>C85+((VLOOKUP($H$85,'DATOS #'!$A$177:$N$199,13,FALSE))*C85+(VLOOKUP($H$85,'DATOS #'!$A$177:$N$199,14,FALSE)))</f>
        <v>#N/A</v>
      </c>
      <c r="D86" s="94" t="e">
        <f>D85+((VLOOKUP($H$85,'DATOS #'!$A$177:$N$199,13,FALSE))*D85+(VLOOKUP($H$85,'DATOS #'!$A$177:$N$199,14,FALSE)))</f>
        <v>#N/A</v>
      </c>
      <c r="E86" s="94"/>
      <c r="F86" s="94"/>
      <c r="G86" s="95" t="s">
        <v>446</v>
      </c>
      <c r="H86" s="17"/>
      <c r="I86" s="1031"/>
      <c r="J86" s="1031"/>
      <c r="K86" s="1031"/>
      <c r="L86" s="14"/>
      <c r="M86" s="14"/>
      <c r="N86" s="88"/>
      <c r="O86" s="89"/>
      <c r="P86" s="90"/>
      <c r="Q86" s="17"/>
      <c r="R86" s="17"/>
      <c r="S86" s="17"/>
    </row>
    <row r="87" spans="1:19" s="2" customFormat="1" ht="42" customHeight="1" x14ac:dyDescent="0.25">
      <c r="A87" s="436"/>
      <c r="B87" s="474"/>
      <c r="C87" s="475"/>
      <c r="D87" s="475"/>
      <c r="E87" s="94"/>
      <c r="F87" s="94"/>
      <c r="G87" s="95" t="s">
        <v>446</v>
      </c>
      <c r="H87" s="17"/>
      <c r="I87" s="1031"/>
      <c r="J87" s="1031"/>
      <c r="K87" s="1031"/>
      <c r="L87" s="14"/>
      <c r="M87" s="14"/>
      <c r="N87" s="88"/>
      <c r="O87" s="89"/>
      <c r="P87" s="90"/>
      <c r="Q87" s="17"/>
      <c r="R87" s="17"/>
      <c r="S87" s="17"/>
    </row>
    <row r="88" spans="1:19" s="2" customFormat="1" ht="42" customHeight="1" x14ac:dyDescent="0.25">
      <c r="A88" s="436"/>
      <c r="B88" s="431" t="str">
        <f>IFERROR(B87+((VLOOKUP($H$90,'DATOS #'!$A$37:$N$62,13,FALSE))*B87+(VLOOKUP($H$90,'DATOS #'!$A$37:$N$62,14,FALSE))),"error")</f>
        <v>error</v>
      </c>
      <c r="C88" s="96" t="str">
        <f>IFERROR(C87+((VLOOKUP($H$90,'DATOS #'!$A$37:$N$62,13,FALSE))*C87+(VLOOKUP($H$90,'DATOS #'!$A$37:$N$62,14,FALSE))),"error")</f>
        <v>error</v>
      </c>
      <c r="D88" s="96" t="str">
        <f>IFERROR(D87+((VLOOKUP($H$90,'DATOS #'!$A$37:$N$62,13,FALSE))*D87+(VLOOKUP($H$90,'DATOS #'!$A$37:$N$62,14,FALSE))),"error")</f>
        <v>error</v>
      </c>
      <c r="E88" s="94"/>
      <c r="F88" s="94"/>
      <c r="G88" s="95" t="s">
        <v>446</v>
      </c>
      <c r="H88" s="17"/>
      <c r="I88" s="1031"/>
      <c r="J88" s="1031"/>
      <c r="K88" s="1031"/>
      <c r="L88" s="17"/>
      <c r="M88" s="17"/>
      <c r="N88" s="17"/>
      <c r="O88" s="17"/>
      <c r="P88" s="17"/>
      <c r="Q88" s="17"/>
      <c r="R88" s="17"/>
      <c r="S88" s="17"/>
    </row>
    <row r="89" spans="1:19" s="3" customFormat="1" ht="42" customHeight="1" thickBot="1" x14ac:dyDescent="0.3">
      <c r="A89" s="436" t="s">
        <v>487</v>
      </c>
      <c r="B89" s="476"/>
      <c r="C89" s="477"/>
      <c r="D89" s="477"/>
      <c r="E89" s="94"/>
      <c r="F89" s="94"/>
      <c r="G89" s="95" t="s">
        <v>36</v>
      </c>
      <c r="H89" s="17"/>
      <c r="I89" s="73"/>
      <c r="J89" s="73"/>
      <c r="K89" s="73"/>
      <c r="L89" s="73"/>
      <c r="M89" s="73"/>
      <c r="N89" s="73"/>
      <c r="O89" s="17"/>
      <c r="P89" s="17"/>
      <c r="Q89" s="16"/>
      <c r="R89" s="16"/>
      <c r="S89" s="16"/>
    </row>
    <row r="90" spans="1:19" s="3" customFormat="1" ht="42" customHeight="1" thickBot="1" x14ac:dyDescent="0.3">
      <c r="A90" s="436" t="s">
        <v>488</v>
      </c>
      <c r="B90" s="476"/>
      <c r="C90" s="477"/>
      <c r="D90" s="477"/>
      <c r="E90" s="96"/>
      <c r="F90" s="96"/>
      <c r="G90" s="95" t="s">
        <v>36</v>
      </c>
      <c r="H90" s="546"/>
      <c r="I90" s="73"/>
      <c r="J90" s="1035"/>
      <c r="K90" s="427" t="e">
        <f>IF(AND('PC #'!H5&gt;=97.5%,'PC #'!I5&lt;=2.5%),"NO AJUSTAR","AJUSTAR")</f>
        <v>#N/A</v>
      </c>
      <c r="L90" s="73"/>
      <c r="M90" s="73"/>
      <c r="N90" s="73"/>
      <c r="O90" s="17"/>
      <c r="P90" s="17"/>
      <c r="Q90" s="16"/>
      <c r="R90" s="16"/>
      <c r="S90" s="16"/>
    </row>
    <row r="91" spans="1:19" s="2" customFormat="1" ht="42" customHeight="1" x14ac:dyDescent="0.25">
      <c r="A91" s="436"/>
      <c r="B91" s="550"/>
      <c r="C91" s="550"/>
      <c r="D91" s="550"/>
      <c r="E91" s="97"/>
      <c r="F91" s="97"/>
      <c r="G91" s="95" t="s">
        <v>36</v>
      </c>
      <c r="H91" s="17"/>
      <c r="I91" s="64"/>
      <c r="J91" s="64"/>
      <c r="K91" s="64"/>
      <c r="L91" s="64"/>
      <c r="M91" s="64"/>
      <c r="N91" s="64"/>
      <c r="O91" s="101"/>
      <c r="P91" s="17"/>
      <c r="Q91" s="17"/>
      <c r="R91" s="17"/>
      <c r="S91" s="17"/>
    </row>
    <row r="92" spans="1:19" s="2" customFormat="1" ht="42" customHeight="1" x14ac:dyDescent="0.35">
      <c r="A92" s="437"/>
      <c r="B92" s="430" t="e">
        <f>B91+((VLOOKUP($H$85,'DATOS #'!$A$177:$N$199,13,FALSE))*B91+(VLOOKUP($H$85,'DATOS #'!$A$177:$N$199,14,FALSE)))</f>
        <v>#N/A</v>
      </c>
      <c r="C92" s="94" t="e">
        <f>C91+((VLOOKUP($H$85,'DATOS #'!$A$177:$N$199,13,FALSE))*C91+(VLOOKUP($H$85,'DATOS #'!$A$177:$N$199,14,FALSE)))</f>
        <v>#N/A</v>
      </c>
      <c r="D92" s="94" t="e">
        <f>D91+((VLOOKUP($H$85,'DATOS #'!$A$177:$N$199,13,FALSE))*D91+(VLOOKUP($H$85,'DATOS #'!$A$177:$N$199,14,FALSE)))</f>
        <v>#N/A</v>
      </c>
      <c r="E92" s="96"/>
      <c r="F92" s="96"/>
      <c r="G92" s="95" t="s">
        <v>453</v>
      </c>
      <c r="H92" s="17"/>
      <c r="I92" s="103"/>
      <c r="J92" s="104"/>
      <c r="K92" s="105"/>
      <c r="L92" s="106"/>
      <c r="M92" s="65"/>
      <c r="N92" s="106"/>
      <c r="O92" s="1031"/>
      <c r="P92" s="17"/>
      <c r="Q92" s="17"/>
      <c r="R92" s="17"/>
      <c r="S92" s="17"/>
    </row>
    <row r="93" spans="1:19" s="2" customFormat="1" ht="30" customHeight="1" x14ac:dyDescent="0.35">
      <c r="A93" s="437"/>
      <c r="B93" s="432" t="e">
        <f>C44</f>
        <v>#N/A</v>
      </c>
      <c r="C93" s="97" t="e">
        <f>B93</f>
        <v>#N/A</v>
      </c>
      <c r="D93" s="97" t="e">
        <f>B93</f>
        <v>#N/A</v>
      </c>
      <c r="E93" s="97"/>
      <c r="F93" s="97"/>
      <c r="G93" s="95" t="s">
        <v>453</v>
      </c>
      <c r="H93" s="17"/>
      <c r="I93" s="103"/>
      <c r="J93" s="104"/>
      <c r="K93" s="105"/>
      <c r="L93" s="106"/>
      <c r="M93" s="65"/>
      <c r="N93" s="106"/>
      <c r="O93" s="17"/>
      <c r="P93" s="17"/>
      <c r="Q93" s="17"/>
      <c r="R93" s="17"/>
      <c r="S93" s="17"/>
    </row>
    <row r="94" spans="1:19" s="2" customFormat="1" ht="30" customHeight="1" x14ac:dyDescent="0.35">
      <c r="A94" s="436"/>
      <c r="B94" s="433" t="e">
        <f>(B86-B92)</f>
        <v>#N/A</v>
      </c>
      <c r="C94" s="98" t="e">
        <f t="shared" ref="C94:D94" si="1">(C86-C92)</f>
        <v>#N/A</v>
      </c>
      <c r="D94" s="98" t="e">
        <f t="shared" si="1"/>
        <v>#N/A</v>
      </c>
      <c r="E94" s="98"/>
      <c r="F94" s="98"/>
      <c r="G94" s="99" t="s">
        <v>446</v>
      </c>
      <c r="H94" s="16"/>
      <c r="I94" s="103"/>
      <c r="J94" s="104"/>
      <c r="K94" s="105"/>
      <c r="L94" s="106"/>
      <c r="M94" s="65"/>
      <c r="N94" s="106"/>
      <c r="O94" s="17"/>
      <c r="P94" s="17"/>
      <c r="Q94" s="17"/>
      <c r="R94" s="17"/>
      <c r="S94" s="17"/>
    </row>
    <row r="95" spans="1:19" s="2" customFormat="1" ht="33.75" customHeight="1" x14ac:dyDescent="0.25">
      <c r="A95" s="436"/>
      <c r="B95" s="434" t="e">
        <f>1/(B77-B73)</f>
        <v>#VALUE!</v>
      </c>
      <c r="C95" s="100" t="e">
        <f>1/(C77-C73)</f>
        <v>#VALUE!</v>
      </c>
      <c r="D95" s="100" t="e">
        <f>1/(D77-D73)</f>
        <v>#VALUE!</v>
      </c>
      <c r="E95" s="100"/>
      <c r="F95" s="100"/>
      <c r="G95" s="99" t="s">
        <v>489</v>
      </c>
      <c r="H95" s="73"/>
      <c r="I95" s="73"/>
      <c r="J95" s="73"/>
      <c r="K95" s="73"/>
      <c r="L95" s="73"/>
      <c r="M95" s="73"/>
      <c r="N95" s="110"/>
      <c r="O95" s="17"/>
      <c r="P95" s="17"/>
      <c r="Q95" s="17"/>
      <c r="R95" s="17"/>
      <c r="S95" s="17"/>
    </row>
    <row r="96" spans="1:19" s="2" customFormat="1" ht="45" customHeight="1" x14ac:dyDescent="0.25">
      <c r="A96" s="436"/>
      <c r="B96" s="434" t="e">
        <f>1-(B73/$C$7)</f>
        <v>#N/A</v>
      </c>
      <c r="C96" s="100" t="e">
        <f>1-(C73/$C$7)</f>
        <v>#N/A</v>
      </c>
      <c r="D96" s="100" t="e">
        <f>1-(D73/$C$7)</f>
        <v>#N/A</v>
      </c>
      <c r="E96" s="100"/>
      <c r="F96" s="100"/>
      <c r="G96" s="99" t="s">
        <v>489</v>
      </c>
      <c r="H96" s="17"/>
      <c r="I96" s="17"/>
      <c r="J96" s="17"/>
      <c r="K96" s="17"/>
      <c r="L96" s="17"/>
      <c r="M96" s="17"/>
      <c r="N96" s="17"/>
      <c r="O96" s="16"/>
      <c r="P96" s="17"/>
      <c r="Q96" s="17"/>
      <c r="R96" s="17"/>
      <c r="S96" s="17"/>
    </row>
    <row r="97" spans="1:22" s="2" customFormat="1" ht="45" customHeight="1" x14ac:dyDescent="0.25">
      <c r="A97" s="436"/>
      <c r="B97" s="434" t="e">
        <f>1-$C$48*(B88-B93)</f>
        <v>#N/A</v>
      </c>
      <c r="C97" s="100" t="e">
        <f>1-$C$48*(C88-C93)</f>
        <v>#N/A</v>
      </c>
      <c r="D97" s="100" t="e">
        <f>1-$C$48*(D88-D93)</f>
        <v>#N/A</v>
      </c>
      <c r="E97" s="100"/>
      <c r="F97" s="100"/>
      <c r="G97" s="345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031"/>
      <c r="U97" s="1031"/>
      <c r="V97" s="1031"/>
    </row>
    <row r="98" spans="1:22" s="2" customFormat="1" ht="30" customHeight="1" thickBot="1" x14ac:dyDescent="0.3">
      <c r="A98" s="438"/>
      <c r="B98" s="560" t="e">
        <f>B94*B95*B96*B97</f>
        <v>#N/A</v>
      </c>
      <c r="C98" s="561" t="e">
        <f>C94*C95*C96*C97</f>
        <v>#N/A</v>
      </c>
      <c r="D98" s="561" t="e">
        <f>D94*D95*D96*D97</f>
        <v>#N/A</v>
      </c>
      <c r="E98" s="102"/>
      <c r="F98" s="102"/>
      <c r="G98" s="346" t="e">
        <f>AVERAGE(B98:D98)</f>
        <v>#N/A</v>
      </c>
      <c r="H98" s="17" t="s">
        <v>224</v>
      </c>
      <c r="I98" s="371"/>
      <c r="J98" s="370"/>
      <c r="K98" s="16"/>
      <c r="L98" s="16"/>
      <c r="M98" s="16"/>
      <c r="N98" s="16"/>
      <c r="O98" s="16"/>
      <c r="P98" s="16"/>
      <c r="Q98" s="16"/>
      <c r="R98" s="16"/>
      <c r="S98" s="17"/>
      <c r="T98" s="1031"/>
      <c r="U98" s="1031"/>
      <c r="V98" s="1031"/>
    </row>
    <row r="99" spans="1:22" s="2" customFormat="1" ht="30" customHeight="1" thickBot="1" x14ac:dyDescent="0.3">
      <c r="A99" s="17"/>
      <c r="B99" s="64"/>
      <c r="C99" s="107"/>
      <c r="D99" s="69"/>
      <c r="E99" s="108"/>
      <c r="F99" s="108"/>
      <c r="G99" s="109" t="e">
        <f>G98/1000</f>
        <v>#N/A</v>
      </c>
      <c r="H99" s="17" t="s">
        <v>490</v>
      </c>
      <c r="I99" s="17"/>
      <c r="J99" s="17"/>
      <c r="K99" s="17"/>
      <c r="L99" s="17"/>
      <c r="M99" s="17"/>
      <c r="N99" s="16"/>
      <c r="O99" s="16"/>
      <c r="P99" s="16"/>
      <c r="Q99" s="16"/>
      <c r="R99" s="16"/>
      <c r="S99" s="17"/>
      <c r="T99" s="1031"/>
      <c r="U99" s="1031"/>
      <c r="V99" s="1031"/>
    </row>
    <row r="100" spans="1:22" s="3" customFormat="1" ht="25.5" customHeight="1" thickBot="1" x14ac:dyDescent="0.3">
      <c r="A100" s="338" t="s">
        <v>491</v>
      </c>
      <c r="B100" s="339"/>
      <c r="C100" s="428"/>
      <c r="D100" s="69"/>
      <c r="E100" s="108"/>
      <c r="F100" s="108"/>
      <c r="G100" s="109" t="e">
        <f>G99/3.785412</f>
        <v>#N/A</v>
      </c>
      <c r="H100" s="17" t="s">
        <v>492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035"/>
      <c r="U100" s="1035"/>
      <c r="V100" s="1035"/>
    </row>
    <row r="101" spans="1:22" s="2" customFormat="1" ht="30" customHeight="1" thickBot="1" x14ac:dyDescent="0.3">
      <c r="A101" s="17"/>
      <c r="B101" s="17"/>
      <c r="C101" s="17"/>
      <c r="D101" s="17"/>
      <c r="E101" s="1281"/>
      <c r="F101" s="1281"/>
      <c r="G101" s="1281"/>
      <c r="H101" s="1281"/>
      <c r="I101" s="1281"/>
      <c r="J101" s="1281"/>
      <c r="K101" s="1281"/>
      <c r="L101" s="1281"/>
      <c r="M101" s="1031"/>
      <c r="N101" s="16"/>
      <c r="O101" s="16"/>
      <c r="P101" s="16"/>
      <c r="Q101" s="16"/>
      <c r="R101" s="17"/>
      <c r="S101" s="17"/>
      <c r="T101" s="1031"/>
      <c r="U101" s="1031"/>
      <c r="V101" s="1031"/>
    </row>
    <row r="102" spans="1:22" s="2" customFormat="1" ht="30" customHeight="1" thickBot="1" x14ac:dyDescent="0.3">
      <c r="A102" s="1337" t="s">
        <v>477</v>
      </c>
      <c r="B102" s="1337"/>
      <c r="C102" s="1337"/>
      <c r="D102" s="1337"/>
      <c r="E102" s="1337"/>
      <c r="F102" s="1337"/>
      <c r="G102" s="1337"/>
      <c r="H102" s="1337"/>
      <c r="I102" s="1336"/>
      <c r="J102" s="14"/>
      <c r="K102" s="14"/>
      <c r="L102" s="14"/>
      <c r="M102" s="16"/>
      <c r="N102" s="17"/>
      <c r="O102" s="17"/>
      <c r="P102" s="17"/>
      <c r="Q102" s="17"/>
      <c r="R102" s="17"/>
      <c r="S102" s="17"/>
      <c r="T102" s="1031"/>
      <c r="U102" s="1031"/>
      <c r="V102" s="1031"/>
    </row>
    <row r="103" spans="1:22" s="2" customFormat="1" ht="30" customHeight="1" x14ac:dyDescent="0.25">
      <c r="A103" s="111"/>
      <c r="B103" s="111"/>
      <c r="C103" s="111"/>
      <c r="D103" s="111"/>
      <c r="E103" s="111"/>
      <c r="F103" s="111"/>
      <c r="G103" s="111"/>
      <c r="H103" s="111"/>
      <c r="I103" s="112"/>
      <c r="J103" s="64"/>
      <c r="K103" s="113"/>
      <c r="L103" s="14"/>
      <c r="M103" s="16"/>
      <c r="N103" s="17"/>
      <c r="O103" s="17"/>
      <c r="P103" s="17"/>
      <c r="Q103" s="17"/>
      <c r="R103" s="17"/>
      <c r="S103" s="17"/>
      <c r="T103" s="1031"/>
      <c r="U103" s="1030"/>
      <c r="V103" s="1033"/>
    </row>
    <row r="104" spans="1:22" s="2" customFormat="1" ht="30" customHeight="1" x14ac:dyDescent="0.25">
      <c r="A104" s="111"/>
      <c r="B104" s="111"/>
      <c r="C104" s="111"/>
      <c r="D104" s="111"/>
      <c r="E104" s="111"/>
      <c r="F104" s="111"/>
      <c r="G104" s="111"/>
      <c r="H104" s="111"/>
      <c r="I104" s="112"/>
      <c r="J104" s="64"/>
      <c r="K104" s="113"/>
      <c r="L104" s="14"/>
      <c r="M104" s="17"/>
      <c r="N104" s="17"/>
      <c r="O104" s="17"/>
      <c r="P104" s="17"/>
      <c r="Q104" s="17"/>
      <c r="R104" s="17"/>
      <c r="S104" s="17"/>
      <c r="T104" s="1031"/>
      <c r="U104" s="1033"/>
      <c r="V104" s="1031"/>
    </row>
    <row r="105" spans="1:22" s="2" customFormat="1" ht="30" customHeight="1" thickBot="1" x14ac:dyDescent="0.3">
      <c r="A105" s="114"/>
      <c r="B105" s="115"/>
      <c r="C105" s="115"/>
      <c r="D105" s="115"/>
      <c r="E105" s="115"/>
      <c r="F105" s="115"/>
      <c r="G105" s="115"/>
      <c r="H105" s="115"/>
      <c r="I105" s="116"/>
      <c r="J105" s="64"/>
      <c r="K105" s="113"/>
      <c r="L105" s="14"/>
      <c r="M105" s="17"/>
      <c r="N105" s="17"/>
      <c r="O105" s="17"/>
      <c r="P105" s="17"/>
      <c r="Q105" s="17"/>
      <c r="R105" s="17"/>
      <c r="S105" s="17"/>
      <c r="T105" s="1031"/>
      <c r="U105" s="1031"/>
      <c r="V105" s="1031"/>
    </row>
    <row r="106" spans="1:22" s="2" customFormat="1" ht="30" customHeight="1" x14ac:dyDescent="0.25">
      <c r="A106" s="17"/>
      <c r="B106" s="17"/>
      <c r="C106" s="17"/>
      <c r="D106" s="17"/>
      <c r="E106" s="73"/>
      <c r="F106" s="73"/>
      <c r="G106" s="73"/>
      <c r="H106" s="67"/>
      <c r="I106" s="17"/>
      <c r="J106" s="64"/>
      <c r="K106" s="113"/>
      <c r="L106" s="14"/>
      <c r="M106" s="17"/>
      <c r="N106" s="17"/>
      <c r="O106" s="17"/>
      <c r="P106" s="17"/>
      <c r="Q106" s="17"/>
      <c r="R106" s="17"/>
      <c r="S106" s="17"/>
      <c r="T106" s="1033"/>
      <c r="U106" s="1031"/>
      <c r="V106" s="1031"/>
    </row>
    <row r="107" spans="1:22" s="2" customFormat="1" ht="30" customHeight="1" thickBot="1" x14ac:dyDescent="0.3">
      <c r="A107" s="17"/>
      <c r="B107" s="17"/>
      <c r="C107" s="17"/>
      <c r="D107" s="17"/>
      <c r="E107" s="1281"/>
      <c r="F107" s="1281"/>
      <c r="G107" s="1281"/>
      <c r="H107" s="6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031"/>
      <c r="U107" s="1031"/>
      <c r="V107" s="1031"/>
    </row>
    <row r="108" spans="1:22" s="2" customFormat="1" ht="30" customHeight="1" x14ac:dyDescent="0.25">
      <c r="A108" s="1265" t="s">
        <v>493</v>
      </c>
      <c r="B108" s="1266"/>
      <c r="C108" s="1266"/>
      <c r="D108" s="1266"/>
      <c r="E108" s="1266"/>
      <c r="F108" s="1266"/>
      <c r="G108" s="1266"/>
      <c r="H108" s="1266"/>
      <c r="I108" s="1266"/>
      <c r="J108" s="1266"/>
      <c r="K108" s="1266"/>
      <c r="L108" s="1266"/>
      <c r="M108" s="1266"/>
      <c r="N108" s="1266"/>
      <c r="O108" s="1266"/>
      <c r="P108" s="1267"/>
      <c r="Q108" s="16"/>
      <c r="R108" s="16"/>
      <c r="S108" s="17"/>
      <c r="T108" s="1031"/>
      <c r="U108" s="1031"/>
      <c r="V108" s="1031"/>
    </row>
    <row r="109" spans="1:22" s="2" customFormat="1" ht="30" customHeight="1" thickBot="1" x14ac:dyDescent="0.3">
      <c r="A109" s="1232"/>
      <c r="B109" s="1233"/>
      <c r="C109" s="1233"/>
      <c r="D109" s="1233"/>
      <c r="E109" s="1233"/>
      <c r="F109" s="1233"/>
      <c r="G109" s="1233"/>
      <c r="H109" s="1233"/>
      <c r="I109" s="1233"/>
      <c r="J109" s="1233"/>
      <c r="K109" s="1233"/>
      <c r="L109" s="1233"/>
      <c r="M109" s="1233"/>
      <c r="N109" s="1233"/>
      <c r="O109" s="1233"/>
      <c r="P109" s="1268"/>
      <c r="Q109" s="16"/>
      <c r="R109" s="16"/>
      <c r="S109" s="17"/>
      <c r="T109" s="1031"/>
      <c r="U109" s="1031"/>
      <c r="V109" s="1031"/>
    </row>
    <row r="110" spans="1:22" s="3" customFormat="1" ht="51" customHeight="1" thickBot="1" x14ac:dyDescent="0.3">
      <c r="A110" s="565" t="s">
        <v>494</v>
      </c>
      <c r="B110" s="566" t="s">
        <v>495</v>
      </c>
      <c r="C110" s="567" t="s">
        <v>496</v>
      </c>
      <c r="D110" s="1236" t="s">
        <v>497</v>
      </c>
      <c r="E110" s="1237"/>
      <c r="F110" s="567" t="s">
        <v>498</v>
      </c>
      <c r="G110" s="568" t="s">
        <v>499</v>
      </c>
      <c r="H110" s="1236" t="s">
        <v>500</v>
      </c>
      <c r="I110" s="1237"/>
      <c r="J110" s="1236" t="s">
        <v>501</v>
      </c>
      <c r="K110" s="1237"/>
      <c r="L110" s="1236" t="s">
        <v>502</v>
      </c>
      <c r="M110" s="1237"/>
      <c r="N110" s="567" t="s">
        <v>503</v>
      </c>
      <c r="O110" s="566" t="s">
        <v>504</v>
      </c>
      <c r="P110" s="565" t="s">
        <v>505</v>
      </c>
      <c r="Q110" s="16"/>
      <c r="R110" s="16"/>
      <c r="S110" s="16"/>
      <c r="T110" s="1035"/>
      <c r="U110" s="1035"/>
      <c r="V110" s="1035"/>
    </row>
    <row r="111" spans="1:22" s="2" customFormat="1" ht="33" customHeight="1" x14ac:dyDescent="0.2">
      <c r="A111" s="117" t="s">
        <v>506</v>
      </c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119"/>
      <c r="N111" s="119"/>
      <c r="O111" s="121"/>
      <c r="P111" s="122" t="e">
        <f>SUM(P112:P124)</f>
        <v>#N/A</v>
      </c>
      <c r="Q111" s="16"/>
      <c r="R111" s="16"/>
      <c r="S111" s="17"/>
      <c r="T111" s="1031"/>
      <c r="U111" s="1031"/>
      <c r="V111" s="1031"/>
    </row>
    <row r="112" spans="1:22" s="2" customFormat="1" ht="33" customHeight="1" x14ac:dyDescent="0.25">
      <c r="A112" s="123" t="s">
        <v>507</v>
      </c>
      <c r="B112" s="124">
        <v>0</v>
      </c>
      <c r="C112" s="125" t="s">
        <v>508</v>
      </c>
      <c r="D112" s="252" t="e">
        <f>0.00024*B125</f>
        <v>#N/A</v>
      </c>
      <c r="E112" s="125">
        <v>1</v>
      </c>
      <c r="F112" s="125" t="s">
        <v>509</v>
      </c>
      <c r="G112" s="126">
        <v>1</v>
      </c>
      <c r="H112" s="127" t="e">
        <f>D112/G112</f>
        <v>#N/A</v>
      </c>
      <c r="I112" s="125" t="s">
        <v>510</v>
      </c>
      <c r="J112" s="125">
        <v>1</v>
      </c>
      <c r="K112" s="125" t="s">
        <v>510</v>
      </c>
      <c r="L112" s="128" t="e">
        <f>H112*J112</f>
        <v>#N/A</v>
      </c>
      <c r="M112" s="125" t="s">
        <v>510</v>
      </c>
      <c r="N112" s="129" t="e">
        <f>L112^2</f>
        <v>#N/A</v>
      </c>
      <c r="O112" s="130">
        <f>0.5*(100%-95%)^-2</f>
        <v>199.99999999999966</v>
      </c>
      <c r="P112" s="141" t="e">
        <f>(L112/$N$125)^2</f>
        <v>#N/A</v>
      </c>
      <c r="Q112" s="16"/>
      <c r="R112" s="16"/>
      <c r="S112" s="17"/>
      <c r="T112" s="1031"/>
      <c r="U112" s="1031"/>
      <c r="V112" s="1031"/>
    </row>
    <row r="113" spans="1:19" s="2" customFormat="1" ht="33" customHeight="1" x14ac:dyDescent="0.25">
      <c r="A113" s="131" t="s">
        <v>511</v>
      </c>
      <c r="B113" s="132" t="e">
        <f>AVERAGE(B67:D67)</f>
        <v>#N/A</v>
      </c>
      <c r="C113" s="133"/>
      <c r="D113" s="133"/>
      <c r="E113" s="133"/>
      <c r="F113" s="133"/>
      <c r="G113" s="133"/>
      <c r="H113" s="134"/>
      <c r="I113" s="133"/>
      <c r="J113" s="133"/>
      <c r="K113" s="133"/>
      <c r="L113" s="135"/>
      <c r="M113" s="133"/>
      <c r="N113" s="133"/>
      <c r="O113" s="136"/>
      <c r="P113" s="136"/>
      <c r="Q113" s="16"/>
      <c r="R113" s="16"/>
      <c r="S113" s="17"/>
    </row>
    <row r="114" spans="1:19" s="3" customFormat="1" ht="33" customHeight="1" x14ac:dyDescent="0.25">
      <c r="A114" s="123" t="s">
        <v>512</v>
      </c>
      <c r="B114" s="137">
        <v>0</v>
      </c>
      <c r="C114" s="125" t="s">
        <v>513</v>
      </c>
      <c r="D114" s="138" t="e">
        <f>VLOOKUP(B113,$C$23:$I$25,7,TRUE)</f>
        <v>#N/A</v>
      </c>
      <c r="E114" s="125" t="s">
        <v>36</v>
      </c>
      <c r="F114" s="125" t="s">
        <v>514</v>
      </c>
      <c r="G114" s="139" t="e">
        <f>O23</f>
        <v>#N/A</v>
      </c>
      <c r="H114" s="139" t="e">
        <f t="shared" ref="H114:H124" si="2">D114/G114</f>
        <v>#N/A</v>
      </c>
      <c r="I114" s="125" t="s">
        <v>36</v>
      </c>
      <c r="J114" s="140" t="e">
        <f>-((0.009 * B117) * (EXP(0.061 * B113) * 0.061)/(273.15 + B113) +
    (0.34848 * B121 - ((0.009 * B117) * EXP(0.061 * B113)))/(273.15 +
        B113)^2)</f>
        <v>#N/A</v>
      </c>
      <c r="K114" s="125" t="s">
        <v>515</v>
      </c>
      <c r="L114" s="128" t="e">
        <f>H114*J114</f>
        <v>#N/A</v>
      </c>
      <c r="M114" s="125" t="s">
        <v>510</v>
      </c>
      <c r="N114" s="129" t="e">
        <f>L114^2</f>
        <v>#N/A</v>
      </c>
      <c r="O114" s="130">
        <f>0.5*(100%-95.45%)^-2</f>
        <v>241.5167250332087</v>
      </c>
      <c r="P114" s="141" t="e">
        <f t="shared" ref="P114:P124" si="3">(L114/$N$125)^2</f>
        <v>#N/A</v>
      </c>
      <c r="Q114" s="16"/>
      <c r="R114" s="16"/>
      <c r="S114" s="16"/>
    </row>
    <row r="115" spans="1:19" s="2" customFormat="1" ht="33" customHeight="1" x14ac:dyDescent="0.25">
      <c r="A115" s="123" t="s">
        <v>516</v>
      </c>
      <c r="B115" s="137">
        <v>0</v>
      </c>
      <c r="C115" s="125" t="s">
        <v>517</v>
      </c>
      <c r="D115" s="138" t="e">
        <f>E23</f>
        <v>#N/A</v>
      </c>
      <c r="E115" s="125" t="s">
        <v>36</v>
      </c>
      <c r="F115" s="125" t="s">
        <v>518</v>
      </c>
      <c r="G115" s="139">
        <f>SQRT(12)</f>
        <v>3.4641016151377544</v>
      </c>
      <c r="H115" s="127" t="e">
        <f t="shared" si="2"/>
        <v>#N/A</v>
      </c>
      <c r="I115" s="125" t="s">
        <v>36</v>
      </c>
      <c r="J115" s="140" t="e">
        <f>-((0.009 * B117) * (EXP(0.061 * B113) * 0.061)/(273.15 + B113) +
    (0.34848 * B121 - ((0.009 * B117) * EXP(0.061 * B113)))/(273.15 +
        B113)^2)</f>
        <v>#N/A</v>
      </c>
      <c r="K115" s="125" t="s">
        <v>515</v>
      </c>
      <c r="L115" s="128" t="e">
        <f>H115*J115</f>
        <v>#N/A</v>
      </c>
      <c r="M115" s="125" t="s">
        <v>510</v>
      </c>
      <c r="N115" s="129" t="e">
        <f t="shared" ref="N115:N123" si="4">L115^2</f>
        <v>#N/A</v>
      </c>
      <c r="O115" s="142">
        <f>0.5*(100%-90%)^-2</f>
        <v>50.000000000000028</v>
      </c>
      <c r="P115" s="141" t="e">
        <f t="shared" si="3"/>
        <v>#N/A</v>
      </c>
      <c r="Q115" s="17"/>
      <c r="R115" s="16"/>
      <c r="S115" s="17"/>
    </row>
    <row r="116" spans="1:19" s="3" customFormat="1" ht="33" customHeight="1" x14ac:dyDescent="0.25">
      <c r="A116" s="123" t="s">
        <v>519</v>
      </c>
      <c r="B116" s="124">
        <v>0</v>
      </c>
      <c r="C116" s="125" t="s">
        <v>520</v>
      </c>
      <c r="D116" s="138">
        <v>0</v>
      </c>
      <c r="E116" s="125" t="s">
        <v>36</v>
      </c>
      <c r="F116" s="125" t="s">
        <v>518</v>
      </c>
      <c r="G116" s="139">
        <f>SQRT(12)</f>
        <v>3.4641016151377544</v>
      </c>
      <c r="H116" s="139">
        <f t="shared" si="2"/>
        <v>0</v>
      </c>
      <c r="I116" s="125" t="s">
        <v>36</v>
      </c>
      <c r="J116" s="140" t="e">
        <f>-((0.009 * B117) * (EXP(0.061 * B113) * 0.061)/(273.15 + B113) +
    (0.34848 * B121 - ((0.009 * B117) * EXP(0.061 * B113)))/(273.15 +
        B113)^2)</f>
        <v>#N/A</v>
      </c>
      <c r="K116" s="125" t="s">
        <v>515</v>
      </c>
      <c r="L116" s="128" t="e">
        <f>H116*J116</f>
        <v>#N/A</v>
      </c>
      <c r="M116" s="125" t="s">
        <v>510</v>
      </c>
      <c r="N116" s="129" t="e">
        <f>L116^2</f>
        <v>#N/A</v>
      </c>
      <c r="O116" s="142">
        <f>0.5*(100%-90%)^-2</f>
        <v>50.000000000000028</v>
      </c>
      <c r="P116" s="143" t="e">
        <f t="shared" si="3"/>
        <v>#N/A</v>
      </c>
      <c r="Q116" s="16"/>
      <c r="R116" s="16"/>
      <c r="S116" s="16"/>
    </row>
    <row r="117" spans="1:19" s="2" customFormat="1" ht="33" customHeight="1" x14ac:dyDescent="0.25">
      <c r="A117" s="131" t="s">
        <v>479</v>
      </c>
      <c r="B117" s="132" t="e">
        <f>AVERAGE(B68:D68)</f>
        <v>#N/A</v>
      </c>
      <c r="C117" s="133"/>
      <c r="D117" s="133"/>
      <c r="E117" s="133"/>
      <c r="F117" s="133"/>
      <c r="G117" s="133"/>
      <c r="H117" s="134"/>
      <c r="I117" s="133"/>
      <c r="J117" s="133"/>
      <c r="K117" s="133"/>
      <c r="L117" s="135"/>
      <c r="M117" s="133"/>
      <c r="N117" s="144"/>
      <c r="O117" s="136"/>
      <c r="P117" s="136"/>
      <c r="Q117" s="16"/>
      <c r="R117" s="16"/>
      <c r="S117" s="17"/>
    </row>
    <row r="118" spans="1:19" s="3" customFormat="1" ht="33" customHeight="1" x14ac:dyDescent="0.25">
      <c r="A118" s="123" t="s">
        <v>521</v>
      </c>
      <c r="B118" s="124">
        <v>0</v>
      </c>
      <c r="C118" s="125" t="s">
        <v>513</v>
      </c>
      <c r="D118" s="138" t="e">
        <f>VLOOKUP(B117,$C$26:$I$28,7,TRUE)</f>
        <v>#N/A</v>
      </c>
      <c r="E118" s="125" t="s">
        <v>243</v>
      </c>
      <c r="F118" s="125" t="s">
        <v>514</v>
      </c>
      <c r="G118" s="139" t="e">
        <f>O26</f>
        <v>#N/A</v>
      </c>
      <c r="H118" s="139" t="e">
        <f t="shared" si="2"/>
        <v>#N/A</v>
      </c>
      <c r="I118" s="125" t="s">
        <v>243</v>
      </c>
      <c r="J118" s="140" t="e">
        <f>-(0.009 * EXP(0.061 * B113)/(273.15 + B113))</f>
        <v>#N/A</v>
      </c>
      <c r="K118" s="125" t="s">
        <v>522</v>
      </c>
      <c r="L118" s="128" t="e">
        <f>H118*J118</f>
        <v>#N/A</v>
      </c>
      <c r="M118" s="125" t="s">
        <v>510</v>
      </c>
      <c r="N118" s="129" t="e">
        <f t="shared" si="4"/>
        <v>#N/A</v>
      </c>
      <c r="O118" s="130">
        <f>0.5*(100%-95.45%)^-2</f>
        <v>241.5167250332087</v>
      </c>
      <c r="P118" s="141" t="e">
        <f t="shared" si="3"/>
        <v>#N/A</v>
      </c>
      <c r="Q118" s="16"/>
      <c r="R118" s="16"/>
      <c r="S118" s="16"/>
    </row>
    <row r="119" spans="1:19" s="2" customFormat="1" ht="33" customHeight="1" x14ac:dyDescent="0.25">
      <c r="A119" s="123" t="s">
        <v>523</v>
      </c>
      <c r="B119" s="124">
        <v>0</v>
      </c>
      <c r="C119" s="125" t="s">
        <v>517</v>
      </c>
      <c r="D119" s="138" t="e">
        <f>E26</f>
        <v>#N/A</v>
      </c>
      <c r="E119" s="125" t="s">
        <v>243</v>
      </c>
      <c r="F119" s="125" t="s">
        <v>518</v>
      </c>
      <c r="G119" s="139">
        <f>SQRT(12)</f>
        <v>3.4641016151377544</v>
      </c>
      <c r="H119" s="140" t="e">
        <f t="shared" si="2"/>
        <v>#N/A</v>
      </c>
      <c r="I119" s="125" t="s">
        <v>243</v>
      </c>
      <c r="J119" s="140" t="e">
        <f>-(0.009 * EXP(0.061 * B113)/(273.15 + B113))</f>
        <v>#N/A</v>
      </c>
      <c r="K119" s="125" t="s">
        <v>522</v>
      </c>
      <c r="L119" s="128" t="e">
        <f>H119*J119</f>
        <v>#N/A</v>
      </c>
      <c r="M119" s="125" t="s">
        <v>510</v>
      </c>
      <c r="N119" s="129" t="e">
        <f t="shared" si="4"/>
        <v>#N/A</v>
      </c>
      <c r="O119" s="142">
        <f>0.5*(100%-90%)^-2</f>
        <v>50.000000000000028</v>
      </c>
      <c r="P119" s="145" t="e">
        <f t="shared" si="3"/>
        <v>#N/A</v>
      </c>
      <c r="Q119" s="16"/>
      <c r="R119" s="16"/>
      <c r="S119" s="17"/>
    </row>
    <row r="120" spans="1:19" s="3" customFormat="1" ht="33" customHeight="1" x14ac:dyDescent="0.25">
      <c r="A120" s="123" t="s">
        <v>524</v>
      </c>
      <c r="B120" s="124">
        <v>0</v>
      </c>
      <c r="C120" s="125" t="s">
        <v>520</v>
      </c>
      <c r="D120" s="138">
        <v>0</v>
      </c>
      <c r="E120" s="125" t="s">
        <v>243</v>
      </c>
      <c r="F120" s="125" t="s">
        <v>518</v>
      </c>
      <c r="G120" s="139">
        <f>SQRT(12)</f>
        <v>3.4641016151377544</v>
      </c>
      <c r="H120" s="139">
        <f t="shared" si="2"/>
        <v>0</v>
      </c>
      <c r="I120" s="125" t="s">
        <v>243</v>
      </c>
      <c r="J120" s="140" t="e">
        <f>-(0.009 * EXP(0.061 * B113)/(273.15 + B113))</f>
        <v>#N/A</v>
      </c>
      <c r="K120" s="125" t="s">
        <v>522</v>
      </c>
      <c r="L120" s="128" t="e">
        <f>H120*J120</f>
        <v>#N/A</v>
      </c>
      <c r="M120" s="125" t="s">
        <v>510</v>
      </c>
      <c r="N120" s="129" t="e">
        <f t="shared" si="4"/>
        <v>#N/A</v>
      </c>
      <c r="O120" s="142">
        <f>0.5*(100%-90%)^-2</f>
        <v>50.000000000000028</v>
      </c>
      <c r="P120" s="143" t="e">
        <f t="shared" si="3"/>
        <v>#N/A</v>
      </c>
      <c r="Q120" s="16"/>
      <c r="R120" s="16"/>
      <c r="S120" s="16"/>
    </row>
    <row r="121" spans="1:19" s="2" customFormat="1" ht="33" customHeight="1" x14ac:dyDescent="0.25">
      <c r="A121" s="131" t="s">
        <v>525</v>
      </c>
      <c r="B121" s="132" t="e">
        <f>AVERAGE(B69:D69)</f>
        <v>#N/A</v>
      </c>
      <c r="C121" s="133"/>
      <c r="D121" s="133"/>
      <c r="E121" s="133"/>
      <c r="F121" s="133"/>
      <c r="G121" s="133"/>
      <c r="H121" s="134"/>
      <c r="I121" s="133"/>
      <c r="J121" s="133"/>
      <c r="K121" s="133"/>
      <c r="L121" s="135"/>
      <c r="M121" s="133"/>
      <c r="N121" s="144"/>
      <c r="O121" s="136"/>
      <c r="P121" s="136"/>
      <c r="Q121" s="16"/>
      <c r="R121" s="16"/>
      <c r="S121" s="17"/>
    </row>
    <row r="122" spans="1:19" s="3" customFormat="1" ht="33" customHeight="1" x14ac:dyDescent="0.25">
      <c r="A122" s="123" t="s">
        <v>526</v>
      </c>
      <c r="B122" s="124">
        <v>0</v>
      </c>
      <c r="C122" s="125" t="s">
        <v>513</v>
      </c>
      <c r="D122" s="146" t="e">
        <f>I30</f>
        <v>#N/A</v>
      </c>
      <c r="E122" s="125" t="s">
        <v>133</v>
      </c>
      <c r="F122" s="125" t="s">
        <v>514</v>
      </c>
      <c r="G122" s="138" t="e">
        <f>O29</f>
        <v>#N/A</v>
      </c>
      <c r="H122" s="146" t="e">
        <f t="shared" si="2"/>
        <v>#N/A</v>
      </c>
      <c r="I122" s="125" t="s">
        <v>133</v>
      </c>
      <c r="J122" s="129" t="e">
        <f>0.34848/(273.15 + B113)</f>
        <v>#N/A</v>
      </c>
      <c r="K122" s="125" t="s">
        <v>527</v>
      </c>
      <c r="L122" s="128" t="e">
        <f>H122*J122</f>
        <v>#N/A</v>
      </c>
      <c r="M122" s="125" t="s">
        <v>510</v>
      </c>
      <c r="N122" s="129" t="e">
        <f t="shared" si="4"/>
        <v>#N/A</v>
      </c>
      <c r="O122" s="130">
        <f>0.5*(100%-95.45%)^-2</f>
        <v>241.5167250332087</v>
      </c>
      <c r="P122" s="141" t="e">
        <f t="shared" si="3"/>
        <v>#N/A</v>
      </c>
      <c r="Q122" s="16"/>
      <c r="R122" s="16"/>
      <c r="S122" s="16"/>
    </row>
    <row r="123" spans="1:19" s="2" customFormat="1" ht="33" customHeight="1" x14ac:dyDescent="0.25">
      <c r="A123" s="123" t="s">
        <v>528</v>
      </c>
      <c r="B123" s="124">
        <v>0</v>
      </c>
      <c r="C123" s="125" t="s">
        <v>517</v>
      </c>
      <c r="D123" s="138" t="e">
        <f>E29</f>
        <v>#N/A</v>
      </c>
      <c r="E123" s="125" t="s">
        <v>133</v>
      </c>
      <c r="F123" s="125" t="s">
        <v>518</v>
      </c>
      <c r="G123" s="139">
        <f>SQRT(12)</f>
        <v>3.4641016151377544</v>
      </c>
      <c r="H123" s="128" t="e">
        <f t="shared" si="2"/>
        <v>#N/A</v>
      </c>
      <c r="I123" s="125" t="s">
        <v>133</v>
      </c>
      <c r="J123" s="129" t="e">
        <f>0.34848/(273.15 + B113)</f>
        <v>#N/A</v>
      </c>
      <c r="K123" s="125" t="s">
        <v>527</v>
      </c>
      <c r="L123" s="128" t="e">
        <f>H123*J123</f>
        <v>#N/A</v>
      </c>
      <c r="M123" s="125" t="s">
        <v>510</v>
      </c>
      <c r="N123" s="129" t="e">
        <f t="shared" si="4"/>
        <v>#N/A</v>
      </c>
      <c r="O123" s="142">
        <f>0.5*(100%-90%)^-2</f>
        <v>50.000000000000028</v>
      </c>
      <c r="P123" s="143" t="e">
        <f t="shared" si="3"/>
        <v>#N/A</v>
      </c>
      <c r="Q123" s="16"/>
      <c r="R123" s="16"/>
      <c r="S123" s="17"/>
    </row>
    <row r="124" spans="1:19" s="3" customFormat="1" ht="33" customHeight="1" thickBot="1" x14ac:dyDescent="0.3">
      <c r="A124" s="147" t="s">
        <v>529</v>
      </c>
      <c r="B124" s="148">
        <v>0</v>
      </c>
      <c r="C124" s="149" t="s">
        <v>520</v>
      </c>
      <c r="D124" s="150">
        <v>0</v>
      </c>
      <c r="E124" s="149" t="s">
        <v>133</v>
      </c>
      <c r="F124" s="149" t="s">
        <v>518</v>
      </c>
      <c r="G124" s="151">
        <f>SQRT(12)</f>
        <v>3.4641016151377544</v>
      </c>
      <c r="H124" s="151">
        <f t="shared" si="2"/>
        <v>0</v>
      </c>
      <c r="I124" s="149" t="s">
        <v>133</v>
      </c>
      <c r="J124" s="152" t="e">
        <f>0.34848/(273.15 + B113)</f>
        <v>#N/A</v>
      </c>
      <c r="K124" s="149" t="s">
        <v>527</v>
      </c>
      <c r="L124" s="153" t="e">
        <f>H124*J124</f>
        <v>#N/A</v>
      </c>
      <c r="M124" s="149" t="s">
        <v>510</v>
      </c>
      <c r="N124" s="152" t="e">
        <f>L124^2</f>
        <v>#N/A</v>
      </c>
      <c r="O124" s="154">
        <f>0.5*(100%-90%)^-2</f>
        <v>50.000000000000028</v>
      </c>
      <c r="P124" s="155" t="e">
        <f t="shared" si="3"/>
        <v>#N/A</v>
      </c>
      <c r="Q124" s="16"/>
      <c r="R124" s="16"/>
      <c r="S124" s="16"/>
    </row>
    <row r="125" spans="1:19" s="2" customFormat="1" ht="33" customHeight="1" thickBot="1" x14ac:dyDescent="0.3">
      <c r="A125" s="439" t="s">
        <v>530</v>
      </c>
      <c r="B125" s="157" t="e">
        <f>(0.34848*B121-((0.009*B117)*EXP(0.061*B113)))/(273.15+B113)</f>
        <v>#N/A</v>
      </c>
      <c r="C125" s="158"/>
      <c r="D125" s="158"/>
      <c r="E125" s="158"/>
      <c r="F125" s="158"/>
      <c r="G125" s="158"/>
      <c r="H125" s="158"/>
      <c r="I125" s="158"/>
      <c r="J125" s="158"/>
      <c r="K125" s="159"/>
      <c r="L125" s="1238" t="s">
        <v>531</v>
      </c>
      <c r="M125" s="1239"/>
      <c r="N125" s="160" t="e">
        <f>SQRT(N112+N114+N115+N118+N119+N122+N123+N116+N120+N124)</f>
        <v>#N/A</v>
      </c>
      <c r="O125" s="921" t="s">
        <v>532</v>
      </c>
      <c r="P125" s="17"/>
      <c r="Q125" s="16"/>
      <c r="R125" s="16"/>
      <c r="S125" s="17"/>
    </row>
    <row r="126" spans="1:19" s="3" customFormat="1" ht="33" customHeight="1" thickBot="1" x14ac:dyDescent="0.3">
      <c r="A126" s="156" t="s">
        <v>506</v>
      </c>
      <c r="B126" s="161" t="e">
        <f>B125/1000</f>
        <v>#N/A</v>
      </c>
      <c r="C126" s="158"/>
      <c r="D126" s="162"/>
      <c r="E126" s="158"/>
      <c r="F126" s="158"/>
      <c r="G126" s="158"/>
      <c r="H126" s="162"/>
      <c r="I126" s="162"/>
      <c r="J126" s="158"/>
      <c r="K126" s="158"/>
      <c r="L126" s="1234" t="s">
        <v>533</v>
      </c>
      <c r="M126" s="1235"/>
      <c r="N126" s="163" t="e">
        <f>N125^4/((L112^4/O112)+(L114^4/O114)+(L115^4/O115)+(L118^4/O118)+(L119^4/O119)+(L122^4/O122)+(L123^4/O123)+(L116^4/O116)+(L120^4/O120)+(L124^4/O124))</f>
        <v>#N/A</v>
      </c>
      <c r="O126" s="164" t="e">
        <f>_xlfn.T.INV.2T(0.05,N126)</f>
        <v>#N/A</v>
      </c>
      <c r="P126" s="113"/>
      <c r="Q126" s="16"/>
      <c r="R126" s="16"/>
      <c r="S126" s="16"/>
    </row>
    <row r="127" spans="1:19" s="2" customFormat="1" ht="33" customHeight="1" thickBot="1" x14ac:dyDescent="0.3">
      <c r="A127" s="165"/>
      <c r="B127" s="166"/>
      <c r="C127" s="167"/>
      <c r="D127" s="167"/>
      <c r="E127" s="167"/>
      <c r="F127" s="167"/>
      <c r="G127" s="167"/>
      <c r="H127" s="167"/>
      <c r="I127" s="167"/>
      <c r="J127" s="167"/>
      <c r="K127" s="168"/>
      <c r="L127" s="1234" t="s">
        <v>534</v>
      </c>
      <c r="M127" s="1235"/>
      <c r="N127" s="169" t="e">
        <f>N125*O126</f>
        <v>#N/A</v>
      </c>
      <c r="O127" s="170" t="s">
        <v>532</v>
      </c>
      <c r="P127" s="17"/>
      <c r="Q127" s="16"/>
      <c r="R127" s="16"/>
      <c r="S127" s="17"/>
    </row>
    <row r="128" spans="1:19" s="3" customFormat="1" ht="33" customHeight="1" thickBot="1" x14ac:dyDescent="0.3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8"/>
      <c r="L128" s="1234" t="s">
        <v>531</v>
      </c>
      <c r="M128" s="1235"/>
      <c r="N128" s="171" t="e">
        <f>N125/1000</f>
        <v>#N/A</v>
      </c>
      <c r="O128" s="170" t="s">
        <v>535</v>
      </c>
      <c r="P128" s="89"/>
      <c r="Q128" s="16"/>
      <c r="R128" s="16"/>
      <c r="S128" s="16"/>
    </row>
    <row r="129" spans="1:19" s="2" customFormat="1" ht="33" customHeight="1" x14ac:dyDescent="0.25">
      <c r="A129" s="16"/>
      <c r="B129" s="17"/>
      <c r="C129" s="17"/>
      <c r="D129" s="17"/>
      <c r="E129" s="20"/>
      <c r="F129" s="20"/>
      <c r="G129" s="17"/>
      <c r="H129" s="17"/>
      <c r="I129" s="17"/>
      <c r="J129" s="17"/>
      <c r="K129" s="17"/>
      <c r="L129" s="172"/>
      <c r="M129" s="14"/>
      <c r="N129" s="17"/>
      <c r="O129" s="17"/>
      <c r="P129" s="17"/>
      <c r="Q129" s="16"/>
      <c r="R129" s="16"/>
      <c r="S129" s="17"/>
    </row>
    <row r="130" spans="1:19" s="3" customFormat="1" ht="33" customHeight="1" x14ac:dyDescent="0.25">
      <c r="A130" s="16"/>
      <c r="B130" s="1255"/>
      <c r="C130" s="1255"/>
      <c r="D130" s="1255"/>
      <c r="E130" s="20"/>
      <c r="F130" s="20"/>
      <c r="G130" s="17"/>
      <c r="H130" s="17"/>
      <c r="I130" s="17"/>
      <c r="J130" s="17"/>
      <c r="K130" s="65"/>
      <c r="L130" s="173"/>
      <c r="M130" s="14"/>
      <c r="N130" s="17"/>
      <c r="O130" s="17"/>
      <c r="P130" s="17"/>
      <c r="Q130" s="16"/>
      <c r="R130" s="16"/>
      <c r="S130" s="16"/>
    </row>
    <row r="131" spans="1:19" s="3" customFormat="1" ht="33" customHeight="1" thickBot="1" x14ac:dyDescent="0.3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4"/>
      <c r="M131" s="14"/>
      <c r="N131" s="14"/>
      <c r="O131" s="17"/>
      <c r="P131" s="17"/>
      <c r="Q131" s="16"/>
      <c r="R131" s="16"/>
      <c r="S131" s="16"/>
    </row>
    <row r="132" spans="1:19" s="3" customFormat="1" ht="33" customHeight="1" x14ac:dyDescent="0.25">
      <c r="A132" s="1265" t="s">
        <v>536</v>
      </c>
      <c r="B132" s="1266"/>
      <c r="C132" s="1266"/>
      <c r="D132" s="1266"/>
      <c r="E132" s="1266"/>
      <c r="F132" s="1266"/>
      <c r="G132" s="1266"/>
      <c r="H132" s="1266"/>
      <c r="I132" s="1266"/>
      <c r="J132" s="1266"/>
      <c r="K132" s="1266"/>
      <c r="L132" s="1266"/>
      <c r="M132" s="1266"/>
      <c r="N132" s="1266"/>
      <c r="O132" s="1266"/>
      <c r="P132" s="1267"/>
      <c r="Q132" s="16"/>
      <c r="R132" s="16"/>
      <c r="S132" s="16"/>
    </row>
    <row r="133" spans="1:19" s="3" customFormat="1" ht="33" customHeight="1" thickBot="1" x14ac:dyDescent="0.3">
      <c r="A133" s="1232"/>
      <c r="B133" s="1233"/>
      <c r="C133" s="1233"/>
      <c r="D133" s="1233"/>
      <c r="E133" s="1233"/>
      <c r="F133" s="1233"/>
      <c r="G133" s="1233"/>
      <c r="H133" s="1233"/>
      <c r="I133" s="1233"/>
      <c r="J133" s="1233"/>
      <c r="K133" s="1233"/>
      <c r="L133" s="1233"/>
      <c r="M133" s="1233"/>
      <c r="N133" s="1233"/>
      <c r="O133" s="1233"/>
      <c r="P133" s="1268"/>
      <c r="Q133" s="16"/>
      <c r="R133" s="16"/>
      <c r="S133" s="16"/>
    </row>
    <row r="134" spans="1:19" s="3" customFormat="1" ht="33" customHeight="1" thickBot="1" x14ac:dyDescent="0.3">
      <c r="A134" s="575" t="s">
        <v>494</v>
      </c>
      <c r="B134" s="576" t="s">
        <v>495</v>
      </c>
      <c r="C134" s="575" t="s">
        <v>496</v>
      </c>
      <c r="D134" s="1249" t="s">
        <v>497</v>
      </c>
      <c r="E134" s="1250"/>
      <c r="F134" s="575" t="s">
        <v>498</v>
      </c>
      <c r="G134" s="175" t="s">
        <v>499</v>
      </c>
      <c r="H134" s="1249" t="s">
        <v>500</v>
      </c>
      <c r="I134" s="1250"/>
      <c r="J134" s="1246" t="s">
        <v>501</v>
      </c>
      <c r="K134" s="1246"/>
      <c r="L134" s="1249" t="s">
        <v>502</v>
      </c>
      <c r="M134" s="1250"/>
      <c r="N134" s="575" t="s">
        <v>503</v>
      </c>
      <c r="O134" s="576" t="s">
        <v>504</v>
      </c>
      <c r="P134" s="577" t="s">
        <v>537</v>
      </c>
      <c r="Q134" s="16"/>
      <c r="R134" s="16"/>
      <c r="S134" s="16"/>
    </row>
    <row r="135" spans="1:19" s="3" customFormat="1" ht="33" customHeight="1" x14ac:dyDescent="0.25">
      <c r="A135" s="175" t="s">
        <v>538</v>
      </c>
      <c r="B135" s="176"/>
      <c r="C135" s="177"/>
      <c r="D135" s="178"/>
      <c r="E135" s="177"/>
      <c r="F135" s="177"/>
      <c r="G135" s="177"/>
      <c r="H135" s="177"/>
      <c r="I135" s="177"/>
      <c r="J135" s="177"/>
      <c r="K135" s="177"/>
      <c r="L135" s="179"/>
      <c r="M135" s="177"/>
      <c r="N135" s="177"/>
      <c r="O135" s="180"/>
      <c r="P135" s="122" t="e">
        <f>SUM(P136:P146)</f>
        <v>#DIV/0!</v>
      </c>
      <c r="Q135" s="16"/>
      <c r="R135" s="16"/>
      <c r="S135" s="16"/>
    </row>
    <row r="136" spans="1:19" s="3" customFormat="1" ht="33" customHeight="1" x14ac:dyDescent="0.25">
      <c r="A136" s="181" t="s">
        <v>539</v>
      </c>
      <c r="B136" s="182">
        <v>0</v>
      </c>
      <c r="C136" s="183" t="s">
        <v>540</v>
      </c>
      <c r="D136" s="184" t="e">
        <f>SQRT(SUMSQ(H140:H142))*(((-0.1176*B139^2)+(15.846*B139)-62.677)*0.000001)*B147</f>
        <v>#DIV/0!</v>
      </c>
      <c r="E136" s="185" t="s">
        <v>541</v>
      </c>
      <c r="F136" s="186" t="s">
        <v>509</v>
      </c>
      <c r="G136" s="186">
        <v>1</v>
      </c>
      <c r="H136" s="187" t="e">
        <f>D136/G136</f>
        <v>#DIV/0!</v>
      </c>
      <c r="I136" s="186" t="s">
        <v>541</v>
      </c>
      <c r="J136" s="186">
        <v>1</v>
      </c>
      <c r="K136" s="186" t="s">
        <v>541</v>
      </c>
      <c r="L136" s="187" t="e">
        <f>H136*J136</f>
        <v>#DIV/0!</v>
      </c>
      <c r="M136" s="186" t="s">
        <v>541</v>
      </c>
      <c r="N136" s="187" t="e">
        <f>L136^2</f>
        <v>#DIV/0!</v>
      </c>
      <c r="O136" s="188">
        <f>0.5*(100%-93%)^-2</f>
        <v>102.04081632653076</v>
      </c>
      <c r="P136" s="189" t="e">
        <f>(L136/$N$147)^2</f>
        <v>#DIV/0!</v>
      </c>
      <c r="Q136" s="16"/>
      <c r="R136" s="16"/>
      <c r="S136" s="16"/>
    </row>
    <row r="137" spans="1:19" s="3" customFormat="1" ht="33" customHeight="1" x14ac:dyDescent="0.25">
      <c r="A137" s="181" t="s">
        <v>542</v>
      </c>
      <c r="B137" s="182">
        <v>0</v>
      </c>
      <c r="C137" s="183" t="s">
        <v>543</v>
      </c>
      <c r="D137" s="184" t="e">
        <f>E32</f>
        <v>#N/A</v>
      </c>
      <c r="E137" s="185" t="s">
        <v>541</v>
      </c>
      <c r="F137" s="186" t="s">
        <v>509</v>
      </c>
      <c r="G137" s="190">
        <f>SQRT(12)</f>
        <v>3.4641016151377544</v>
      </c>
      <c r="H137" s="187" t="e">
        <f>D137/G137</f>
        <v>#N/A</v>
      </c>
      <c r="I137" s="186" t="s">
        <v>541</v>
      </c>
      <c r="J137" s="186">
        <v>1</v>
      </c>
      <c r="K137" s="186" t="s">
        <v>541</v>
      </c>
      <c r="L137" s="187" t="e">
        <f>H137*J137</f>
        <v>#N/A</v>
      </c>
      <c r="M137" s="186" t="s">
        <v>541</v>
      </c>
      <c r="N137" s="187" t="e">
        <f>L137^2</f>
        <v>#N/A</v>
      </c>
      <c r="O137" s="188">
        <f>0.5*(100%-93%)^-2</f>
        <v>102.04081632653076</v>
      </c>
      <c r="P137" s="189" t="e">
        <f t="shared" ref="P137:P146" si="5">(L137/$N$147)^2</f>
        <v>#N/A</v>
      </c>
      <c r="Q137" s="16"/>
      <c r="R137" s="16"/>
      <c r="S137" s="16"/>
    </row>
    <row r="138" spans="1:19" s="3" customFormat="1" ht="33" customHeight="1" x14ac:dyDescent="0.25">
      <c r="A138" s="181" t="s">
        <v>507</v>
      </c>
      <c r="B138" s="182">
        <v>0</v>
      </c>
      <c r="C138" s="183" t="s">
        <v>544</v>
      </c>
      <c r="D138" s="184" t="e">
        <f>I32</f>
        <v>#N/A</v>
      </c>
      <c r="E138" s="185" t="s">
        <v>541</v>
      </c>
      <c r="F138" s="186" t="s">
        <v>509</v>
      </c>
      <c r="G138" s="191">
        <v>1</v>
      </c>
      <c r="H138" s="187" t="e">
        <f>D138/G138</f>
        <v>#N/A</v>
      </c>
      <c r="I138" s="186" t="s">
        <v>541</v>
      </c>
      <c r="J138" s="186">
        <v>1</v>
      </c>
      <c r="K138" s="186" t="s">
        <v>541</v>
      </c>
      <c r="L138" s="187" t="e">
        <f>H138*J138</f>
        <v>#N/A</v>
      </c>
      <c r="M138" s="186" t="s">
        <v>541</v>
      </c>
      <c r="N138" s="187" t="e">
        <f>L138^2</f>
        <v>#N/A</v>
      </c>
      <c r="O138" s="188">
        <f>0.5*(100%-93%)^-2</f>
        <v>102.04081632653076</v>
      </c>
      <c r="P138" s="192" t="e">
        <f t="shared" si="5"/>
        <v>#N/A</v>
      </c>
      <c r="Q138" s="16"/>
      <c r="R138" s="16"/>
      <c r="S138" s="16"/>
    </row>
    <row r="139" spans="1:19" s="3" customFormat="1" ht="33" customHeight="1" x14ac:dyDescent="0.25">
      <c r="A139" s="193" t="s">
        <v>545</v>
      </c>
      <c r="B139" s="194" t="e">
        <f>AVERAGE(B88:D88)</f>
        <v>#DIV/0!</v>
      </c>
      <c r="C139" s="195"/>
      <c r="D139" s="196"/>
      <c r="E139" s="195"/>
      <c r="F139" s="195"/>
      <c r="G139" s="195"/>
      <c r="H139" s="195"/>
      <c r="I139" s="195"/>
      <c r="J139" s="195"/>
      <c r="K139" s="195"/>
      <c r="L139" s="197"/>
      <c r="M139" s="195"/>
      <c r="N139" s="195"/>
      <c r="O139" s="198"/>
      <c r="P139" s="198"/>
      <c r="Q139" s="16"/>
      <c r="R139" s="16"/>
      <c r="S139" s="16"/>
    </row>
    <row r="140" spans="1:19" s="3" customFormat="1" ht="33" customHeight="1" x14ac:dyDescent="0.25">
      <c r="A140" s="181" t="s">
        <v>512</v>
      </c>
      <c r="B140" s="182">
        <v>0</v>
      </c>
      <c r="C140" s="186" t="s">
        <v>513</v>
      </c>
      <c r="D140" s="199" t="e">
        <f>VLOOKUP(B139,C8:I12,7,TRUE)</f>
        <v>#DIV/0!</v>
      </c>
      <c r="E140" s="186" t="s">
        <v>36</v>
      </c>
      <c r="F140" s="186" t="s">
        <v>514</v>
      </c>
      <c r="G140" s="206" t="str">
        <f>O8</f>
        <v>N/A</v>
      </c>
      <c r="H140" s="186" t="e">
        <f>D140/G140</f>
        <v>#DIV/0!</v>
      </c>
      <c r="I140" s="186" t="s">
        <v>36</v>
      </c>
      <c r="J140" s="186" t="e">
        <f>((999.972 * (1 - ((((B139) + -3.983035)^2 * ((B139) + 301.797))/(522528.9 *
    ((B139) + 69.34881))))) * (((-0.00000000000326) + 0.0000000000000416 * (2 *
    (B139))) * (((B143) * 100) - 101325)) - 999.972 * ((2 * ((B139) +
    -3.983035) * ((B139) + 301.797) + ((B139) + -3.983035)^2)/(522528.9 *
    ((B139) + 69.34881)) - (((B139) + -3.983035)^2 * ((B139) +
    301.797)) * 522528.9/(522528.9 * ((B139) + 69.34881))^2) *
    (1 + ((0.0000000005074 + (-0.00000000000326) * (B139) + 0.0000000000000416 * (B139)^2) *
        (((B143) * 100) - 101325))) + 0.000106)/1000</f>
        <v>#DIV/0!</v>
      </c>
      <c r="K140" s="186" t="s">
        <v>546</v>
      </c>
      <c r="L140" s="187" t="e">
        <f>H140*J140</f>
        <v>#DIV/0!</v>
      </c>
      <c r="M140" s="186" t="s">
        <v>541</v>
      </c>
      <c r="N140" s="187" t="e">
        <f>L140^2</f>
        <v>#DIV/0!</v>
      </c>
      <c r="O140" s="188">
        <f>0.5*(100%-95%)^-2</f>
        <v>199.99999999999966</v>
      </c>
      <c r="P140" s="189" t="e">
        <f t="shared" si="5"/>
        <v>#DIV/0!</v>
      </c>
      <c r="Q140" s="16"/>
      <c r="R140" s="16"/>
      <c r="S140" s="16"/>
    </row>
    <row r="141" spans="1:19" s="3" customFormat="1" ht="33" customHeight="1" x14ac:dyDescent="0.25">
      <c r="A141" s="181" t="s">
        <v>547</v>
      </c>
      <c r="B141" s="200">
        <v>0</v>
      </c>
      <c r="C141" s="186" t="s">
        <v>548</v>
      </c>
      <c r="D141" s="199" t="str">
        <f>E8</f>
        <v>N/A</v>
      </c>
      <c r="E141" s="186" t="s">
        <v>36</v>
      </c>
      <c r="F141" s="186" t="s">
        <v>518</v>
      </c>
      <c r="G141" s="190">
        <f>SQRT(12)</f>
        <v>3.4641016151377544</v>
      </c>
      <c r="H141" s="186" t="e">
        <f>D141/G141</f>
        <v>#VALUE!</v>
      </c>
      <c r="I141" s="186" t="s">
        <v>36</v>
      </c>
      <c r="J141" s="186" t="e">
        <f>((999.972 * (1 - ((((B139) + -3.983035)^2 * ((B139) + 301.797))/(522528.9 *
    ((B139) + 69.34881))))) * (((-0.00000000000326) + 0.0000000000000416 * (2 *
    (B139))) * (((B143) * 100) - 101325)) - 999.972 * ((2 * ((B139) +
    -3.983035) * ((B139) + 301.797) + ((B139) + -3.983035)^2)/(522528.9 *
    ((B139) + 69.34881)) - (((B139) + -3.983035)^2 * ((B139) +
    301.797)) * 522528.9/(522528.9 * ((B139) + 69.34881))^2) *
    (1 + ((0.0000000005074 + (-0.00000000000326) * (B139) + 0.0000000000000416 * (B139)^2) *
        (((B143) * 100) - 101325))) + 0.000106)/1000</f>
        <v>#DIV/0!</v>
      </c>
      <c r="K141" s="186" t="s">
        <v>546</v>
      </c>
      <c r="L141" s="187" t="e">
        <f>H141*J141</f>
        <v>#VALUE!</v>
      </c>
      <c r="M141" s="186" t="s">
        <v>541</v>
      </c>
      <c r="N141" s="187" t="e">
        <f t="shared" ref="N141:N146" si="6">L141^2</f>
        <v>#VALUE!</v>
      </c>
      <c r="O141" s="188">
        <f>0.5*(100%-93%)^-2</f>
        <v>102.04081632653076</v>
      </c>
      <c r="P141" s="201" t="e">
        <f t="shared" si="5"/>
        <v>#VALUE!</v>
      </c>
      <c r="Q141" s="16"/>
      <c r="R141" s="16"/>
      <c r="S141" s="16"/>
    </row>
    <row r="142" spans="1:19" s="3" customFormat="1" ht="33" customHeight="1" x14ac:dyDescent="0.25">
      <c r="A142" s="181" t="s">
        <v>519</v>
      </c>
      <c r="B142" s="182">
        <v>0</v>
      </c>
      <c r="C142" s="186" t="s">
        <v>549</v>
      </c>
      <c r="D142" s="310" t="e">
        <f>VLOOKUP(B139,C8:K12,9,TRUE)</f>
        <v>#DIV/0!</v>
      </c>
      <c r="E142" s="186" t="s">
        <v>36</v>
      </c>
      <c r="F142" s="186" t="s">
        <v>518</v>
      </c>
      <c r="G142" s="190">
        <f>SQRT(12)</f>
        <v>3.4641016151377544</v>
      </c>
      <c r="H142" s="186" t="e">
        <f>D142/G142</f>
        <v>#DIV/0!</v>
      </c>
      <c r="I142" s="186" t="s">
        <v>36</v>
      </c>
      <c r="J142" s="186" t="e">
        <f>((999.972 * (1 - ((((B139) + -3.983035)^2 * ((B139) + 301.797))/(522528.9 *
    ((B139) + 69.34881))))) * (((-0.00000000000326) + 0.0000000000000416 * (2 *
    (B139))) * (((B143) * 100) - 101325)) - 999.972 * ((2 * ((B139) +
    -3.983035) * ((B139) + 301.797) + ((B139) + -3.983035)^2)/(522528.9 *
    ((B139) + 69.34881)) - (((B139) + -3.983035)^2 * ((B139) +
    301.797)) * 522528.9/(522528.9 * ((B139) + 69.34881))^2) *
    (1 + ((0.0000000005074 + (-0.00000000000326) * (B139) + 0.0000000000000416 * (B139)^2) *
        (((B143) * 100) - 101325))) + 0.000106)/1000</f>
        <v>#DIV/0!</v>
      </c>
      <c r="K142" s="186" t="s">
        <v>546</v>
      </c>
      <c r="L142" s="187" t="e">
        <f>H142*J142</f>
        <v>#DIV/0!</v>
      </c>
      <c r="M142" s="186" t="s">
        <v>541</v>
      </c>
      <c r="N142" s="187" t="e">
        <f t="shared" si="6"/>
        <v>#DIV/0!</v>
      </c>
      <c r="O142" s="188">
        <f>0.5*(100%-93%)^-2</f>
        <v>102.04081632653076</v>
      </c>
      <c r="P142" s="202" t="e">
        <f t="shared" si="5"/>
        <v>#DIV/0!</v>
      </c>
      <c r="Q142" s="16"/>
      <c r="R142" s="16"/>
      <c r="S142" s="16"/>
    </row>
    <row r="143" spans="1:19" s="3" customFormat="1" ht="33" customHeight="1" x14ac:dyDescent="0.25">
      <c r="A143" s="193" t="s">
        <v>525</v>
      </c>
      <c r="B143" s="203" t="e">
        <f>AVERAGE(B69:D69)</f>
        <v>#N/A</v>
      </c>
      <c r="C143" s="195"/>
      <c r="D143" s="195"/>
      <c r="E143" s="195"/>
      <c r="F143" s="195"/>
      <c r="G143" s="195"/>
      <c r="H143" s="195"/>
      <c r="I143" s="195"/>
      <c r="J143" s="195"/>
      <c r="K143" s="195"/>
      <c r="L143" s="197"/>
      <c r="M143" s="195"/>
      <c r="N143" s="197"/>
      <c r="O143" s="198"/>
      <c r="P143" s="198"/>
      <c r="Q143" s="16"/>
      <c r="R143" s="16"/>
      <c r="S143" s="16"/>
    </row>
    <row r="144" spans="1:19" s="3" customFormat="1" ht="33" customHeight="1" x14ac:dyDescent="0.25">
      <c r="A144" s="181" t="s">
        <v>526</v>
      </c>
      <c r="B144" s="182">
        <v>0</v>
      </c>
      <c r="C144" s="186" t="s">
        <v>513</v>
      </c>
      <c r="D144" s="199" t="e">
        <f>D122</f>
        <v>#N/A</v>
      </c>
      <c r="E144" s="186" t="s">
        <v>133</v>
      </c>
      <c r="F144" s="186" t="s">
        <v>514</v>
      </c>
      <c r="G144" s="191" t="e">
        <f>O29</f>
        <v>#N/A</v>
      </c>
      <c r="H144" s="186" t="e">
        <f>D144/G144</f>
        <v>#N/A</v>
      </c>
      <c r="I144" s="186" t="s">
        <v>133</v>
      </c>
      <c r="J144" s="204" t="e">
        <f>(999.972 * (1 - ((((B139) + -3.983035)^2 * ((B139) + 301.797))/(522528.9 *
    ((B139) + 69.34881))))) * ((0.0000000005074 + (-0.00000000000326) * (B139) +
    0.0000000000000416 * (B139)^2) * 100)/1000</f>
        <v>#DIV/0!</v>
      </c>
      <c r="K144" s="186" t="s">
        <v>550</v>
      </c>
      <c r="L144" s="187" t="e">
        <f>H144*J144</f>
        <v>#N/A</v>
      </c>
      <c r="M144" s="186" t="s">
        <v>541</v>
      </c>
      <c r="N144" s="187" t="e">
        <f t="shared" si="6"/>
        <v>#N/A</v>
      </c>
      <c r="O144" s="188">
        <f>0.5*(100%-95%)^-2</f>
        <v>199.99999999999966</v>
      </c>
      <c r="P144" s="205" t="e">
        <f t="shared" si="5"/>
        <v>#N/A</v>
      </c>
      <c r="Q144" s="16"/>
      <c r="R144" s="16"/>
      <c r="S144" s="16"/>
    </row>
    <row r="145" spans="1:19" s="3" customFormat="1" ht="33" customHeight="1" x14ac:dyDescent="0.25">
      <c r="A145" s="181" t="s">
        <v>551</v>
      </c>
      <c r="B145" s="182">
        <v>0</v>
      </c>
      <c r="C145" s="186" t="s">
        <v>552</v>
      </c>
      <c r="D145" s="206" t="e">
        <f>E29</f>
        <v>#N/A</v>
      </c>
      <c r="E145" s="186" t="s">
        <v>133</v>
      </c>
      <c r="F145" s="186" t="s">
        <v>518</v>
      </c>
      <c r="G145" s="190">
        <f>SQRT(12)</f>
        <v>3.4641016151377544</v>
      </c>
      <c r="H145" s="186" t="e">
        <f>D145/G145</f>
        <v>#N/A</v>
      </c>
      <c r="I145" s="186" t="s">
        <v>133</v>
      </c>
      <c r="J145" s="204" t="e">
        <f>(999.972 * (1 - ((((B139) + -3.983035)^2 * ((B139) + 301.797))/(522528.9 *
    ((B139) + 69.34881))))) * ((0.0000000005074 + (-0.00000000000326) * (B139) +
    0.0000000000000416 * (B139)^2) * 100)/1000</f>
        <v>#DIV/0!</v>
      </c>
      <c r="K145" s="186" t="s">
        <v>550</v>
      </c>
      <c r="L145" s="187" t="e">
        <f>H145*J145</f>
        <v>#N/A</v>
      </c>
      <c r="M145" s="186" t="s">
        <v>541</v>
      </c>
      <c r="N145" s="187" t="e">
        <f t="shared" si="6"/>
        <v>#N/A</v>
      </c>
      <c r="O145" s="188">
        <f>0.5*(100%-93%)^-2</f>
        <v>102.04081632653076</v>
      </c>
      <c r="P145" s="207" t="e">
        <f t="shared" si="5"/>
        <v>#N/A</v>
      </c>
      <c r="Q145" s="16"/>
      <c r="R145" s="16"/>
      <c r="S145" s="16"/>
    </row>
    <row r="146" spans="1:19" s="3" customFormat="1" ht="33" customHeight="1" thickBot="1" x14ac:dyDescent="0.3">
      <c r="A146" s="208" t="s">
        <v>529</v>
      </c>
      <c r="B146" s="209">
        <v>0</v>
      </c>
      <c r="C146" s="210" t="s">
        <v>549</v>
      </c>
      <c r="D146" s="211">
        <v>0</v>
      </c>
      <c r="E146" s="210" t="s">
        <v>133</v>
      </c>
      <c r="F146" s="210" t="s">
        <v>518</v>
      </c>
      <c r="G146" s="212">
        <f>SQRT(12)</f>
        <v>3.4641016151377544</v>
      </c>
      <c r="H146" s="212">
        <f>D146/G146</f>
        <v>0</v>
      </c>
      <c r="I146" s="210" t="s">
        <v>133</v>
      </c>
      <c r="J146" s="213" t="e">
        <f>(999.972 * (1 - ((((B139) + -3.983035)^2 * ((B139) + 301.797))/(522528.9 *
    ((B139) + 69.34881))))) * ((0.0000000005074 + (-0.00000000000326) * (B139) +
    0.0000000000000416 * (B139)^2) * 100)/1000</f>
        <v>#DIV/0!</v>
      </c>
      <c r="K146" s="210" t="s">
        <v>550</v>
      </c>
      <c r="L146" s="214" t="e">
        <f>H146*J146</f>
        <v>#DIV/0!</v>
      </c>
      <c r="M146" s="210" t="s">
        <v>541</v>
      </c>
      <c r="N146" s="214" t="e">
        <f t="shared" si="6"/>
        <v>#DIV/0!</v>
      </c>
      <c r="O146" s="443">
        <f>0.5*(100%-93%)^-2</f>
        <v>102.04081632653076</v>
      </c>
      <c r="P146" s="215" t="e">
        <f t="shared" si="5"/>
        <v>#DIV/0!</v>
      </c>
      <c r="Q146" s="16"/>
      <c r="R146" s="16"/>
      <c r="S146" s="16"/>
    </row>
    <row r="147" spans="1:19" s="3" customFormat="1" ht="39.950000000000003" customHeight="1" thickBot="1" x14ac:dyDescent="0.3">
      <c r="A147" s="440" t="s">
        <v>538</v>
      </c>
      <c r="B147" s="441" t="e">
        <f>(((999.972*(1-((((B139)+-3.983035)^2*((B139)+301.797))/(522528.9*((B139)+69.34881)))))*(1+((0.0000000005074+(-0.00000000000326)*(B139)+0.0000000000000416*(B139)^2)*(((B143)*100)-101325))))+(-0.004612+(0.000106*(B139))))/1000</f>
        <v>#DIV/0!</v>
      </c>
      <c r="C147" s="216"/>
      <c r="D147" s="216"/>
      <c r="E147" s="216"/>
      <c r="F147" s="216"/>
      <c r="G147" s="216"/>
      <c r="H147" s="216"/>
      <c r="I147" s="216"/>
      <c r="J147" s="216"/>
      <c r="K147" s="216"/>
      <c r="L147" s="1229" t="s">
        <v>553</v>
      </c>
      <c r="M147" s="1229"/>
      <c r="N147" s="217" t="e">
        <f>SQRT(N136+N137+N138+N140+N141+N142+N144+N145+N146)</f>
        <v>#DIV/0!</v>
      </c>
      <c r="O147" s="442" t="s">
        <v>554</v>
      </c>
      <c r="P147" s="219"/>
      <c r="Q147" s="16"/>
      <c r="R147" s="16"/>
      <c r="S147" s="16"/>
    </row>
    <row r="148" spans="1:19" s="3" customFormat="1" ht="39.950000000000003" customHeight="1" thickBot="1" x14ac:dyDescent="0.3">
      <c r="A148" s="220"/>
      <c r="B148" s="221"/>
      <c r="C148" s="222"/>
      <c r="D148" s="222"/>
      <c r="E148" s="222"/>
      <c r="F148" s="222"/>
      <c r="G148" s="222"/>
      <c r="H148" s="222"/>
      <c r="I148" s="222"/>
      <c r="J148" s="222"/>
      <c r="K148" s="222"/>
      <c r="L148" s="1355" t="s">
        <v>555</v>
      </c>
      <c r="M148" s="1355"/>
      <c r="N148" s="223" t="e">
        <f>N147^4/((L140^4/O140)+(L141^4/O141)+(L142^4/O142)+(L144^4/O144)+(L145^4/O145)+(L146^4/O146)+(L138^4/O138)+(L137^4/O137)+(L136^4/O136))</f>
        <v>#DIV/0!</v>
      </c>
      <c r="O148" s="224" t="e">
        <f>_xlfn.T.INV.2T(0.05,N148)</f>
        <v>#DIV/0!</v>
      </c>
      <c r="P148" s="219"/>
      <c r="Q148" s="16"/>
      <c r="R148" s="16"/>
      <c r="S148" s="16"/>
    </row>
    <row r="149" spans="1:19" s="3" customFormat="1" ht="39.950000000000003" customHeight="1" thickBot="1" x14ac:dyDescent="0.3">
      <c r="A149" s="220"/>
      <c r="B149" s="221"/>
      <c r="C149" s="222"/>
      <c r="D149" s="222"/>
      <c r="E149" s="222"/>
      <c r="F149" s="222"/>
      <c r="G149" s="222"/>
      <c r="H149" s="222"/>
      <c r="I149" s="222"/>
      <c r="J149" s="222"/>
      <c r="K149" s="222"/>
      <c r="L149" s="1353" t="s">
        <v>556</v>
      </c>
      <c r="M149" s="1354"/>
      <c r="N149" s="225" t="e">
        <f>N147*O148</f>
        <v>#DIV/0!</v>
      </c>
      <c r="O149" s="218" t="s">
        <v>554</v>
      </c>
      <c r="P149" s="219"/>
      <c r="Q149" s="16"/>
      <c r="R149" s="16"/>
      <c r="S149" s="16"/>
    </row>
    <row r="150" spans="1:19" s="3" customFormat="1" ht="39.950000000000003" customHeight="1" x14ac:dyDescent="0.25">
      <c r="A150" s="220"/>
      <c r="B150" s="226"/>
      <c r="C150" s="167"/>
      <c r="D150" s="167"/>
      <c r="E150" s="167"/>
      <c r="F150" s="167"/>
      <c r="G150" s="167"/>
      <c r="H150" s="167"/>
      <c r="I150" s="167"/>
      <c r="J150" s="167"/>
      <c r="K150" s="167"/>
      <c r="L150" s="227"/>
      <c r="M150" s="227"/>
      <c r="N150" s="228"/>
      <c r="O150" s="229"/>
      <c r="P150" s="230"/>
      <c r="Q150" s="16"/>
      <c r="R150" s="16"/>
      <c r="S150" s="16"/>
    </row>
    <row r="151" spans="1:19" s="3" customFormat="1" ht="39.950000000000003" customHeight="1" x14ac:dyDescent="0.25">
      <c r="A151" s="1230" t="s">
        <v>557</v>
      </c>
      <c r="B151" s="1231"/>
      <c r="C151" s="1231"/>
      <c r="D151" s="1231"/>
      <c r="E151" s="1231"/>
      <c r="F151" s="1231"/>
      <c r="G151" s="1231"/>
      <c r="H151" s="1231"/>
      <c r="I151" s="1231"/>
      <c r="J151" s="1231"/>
      <c r="K151" s="1231"/>
      <c r="L151" s="1231"/>
      <c r="M151" s="1231"/>
      <c r="N151" s="1231"/>
      <c r="O151" s="1231"/>
      <c r="P151" s="1231"/>
      <c r="Q151" s="1231"/>
      <c r="R151" s="1231"/>
      <c r="S151" s="16"/>
    </row>
    <row r="152" spans="1:19" s="3" customFormat="1" ht="39.950000000000003" customHeight="1" thickBot="1" x14ac:dyDescent="0.3">
      <c r="A152" s="1232"/>
      <c r="B152" s="1233"/>
      <c r="C152" s="1233"/>
      <c r="D152" s="1233"/>
      <c r="E152" s="1233"/>
      <c r="F152" s="1233"/>
      <c r="G152" s="1233"/>
      <c r="H152" s="1233"/>
      <c r="I152" s="1233"/>
      <c r="J152" s="1233"/>
      <c r="K152" s="1233"/>
      <c r="L152" s="1233"/>
      <c r="M152" s="1233"/>
      <c r="N152" s="1233"/>
      <c r="O152" s="1233"/>
      <c r="P152" s="1233"/>
      <c r="Q152" s="1233"/>
      <c r="R152" s="1233"/>
      <c r="S152" s="16"/>
    </row>
    <row r="153" spans="1:19" s="3" customFormat="1" ht="59.25" customHeight="1" thickBot="1" x14ac:dyDescent="0.25">
      <c r="A153" s="478" t="s">
        <v>494</v>
      </c>
      <c r="B153" s="479" t="s">
        <v>495</v>
      </c>
      <c r="C153" s="480" t="s">
        <v>496</v>
      </c>
      <c r="D153" s="1341" t="s">
        <v>497</v>
      </c>
      <c r="E153" s="1342"/>
      <c r="F153" s="480" t="s">
        <v>498</v>
      </c>
      <c r="G153" s="481" t="s">
        <v>499</v>
      </c>
      <c r="H153" s="1341" t="s">
        <v>500</v>
      </c>
      <c r="I153" s="1342"/>
      <c r="J153" s="1343" t="s">
        <v>558</v>
      </c>
      <c r="K153" s="1343"/>
      <c r="L153" s="1341" t="s">
        <v>559</v>
      </c>
      <c r="M153" s="1342"/>
      <c r="N153" s="481" t="s">
        <v>560</v>
      </c>
      <c r="O153" s="481" t="s">
        <v>561</v>
      </c>
      <c r="P153" s="481" t="s">
        <v>562</v>
      </c>
      <c r="Q153" s="482"/>
      <c r="R153" s="480" t="s">
        <v>563</v>
      </c>
      <c r="S153" s="16"/>
    </row>
    <row r="154" spans="1:19" s="3" customFormat="1" ht="32.1" customHeight="1" x14ac:dyDescent="0.25">
      <c r="A154" s="445" t="s">
        <v>564</v>
      </c>
      <c r="B154" s="308" t="e">
        <f>B155-B160</f>
        <v>#N/A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2"/>
      <c r="R154" s="233"/>
      <c r="S154" s="16"/>
    </row>
    <row r="155" spans="1:19" s="3" customFormat="1" ht="32.1" customHeight="1" x14ac:dyDescent="0.25">
      <c r="A155" s="234" t="s">
        <v>565</v>
      </c>
      <c r="B155" s="307" t="e">
        <f>AVERAGE(B86:D86)</f>
        <v>#N/A</v>
      </c>
      <c r="C155" s="236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237"/>
      <c r="O155" s="133"/>
      <c r="P155" s="133"/>
      <c r="Q155" s="238"/>
      <c r="R155" s="239"/>
      <c r="S155" s="16"/>
    </row>
    <row r="156" spans="1:19" s="3" customFormat="1" ht="32.1" customHeight="1" x14ac:dyDescent="0.25">
      <c r="A156" s="234" t="s">
        <v>566</v>
      </c>
      <c r="B156" s="240">
        <v>0</v>
      </c>
      <c r="C156" s="125" t="s">
        <v>567</v>
      </c>
      <c r="D156" s="139" t="e">
        <f>E13</f>
        <v>#N/A</v>
      </c>
      <c r="E156" s="125" t="s">
        <v>446</v>
      </c>
      <c r="F156" s="125" t="s">
        <v>518</v>
      </c>
      <c r="G156" s="125">
        <f>SQRT(12)</f>
        <v>3.4641016151377544</v>
      </c>
      <c r="H156" s="139" t="e">
        <f>D156/G156</f>
        <v>#N/A</v>
      </c>
      <c r="I156" s="125" t="s">
        <v>446</v>
      </c>
      <c r="J156" s="241" t="e">
        <f>(1 - (B165/B169)) * (1/(B167 - B165)) * (1 - B171 * (B173 - B183))</f>
        <v>#N/A</v>
      </c>
      <c r="K156" s="125" t="s">
        <v>568</v>
      </c>
      <c r="L156" s="242" t="e">
        <f>H156*J156</f>
        <v>#N/A</v>
      </c>
      <c r="M156" s="125" t="s">
        <v>224</v>
      </c>
      <c r="N156" s="129" t="e">
        <f>L156^2</f>
        <v>#N/A</v>
      </c>
      <c r="O156" s="126">
        <f>0.5*(100%-99%)^-2</f>
        <v>4999.9999999999909</v>
      </c>
      <c r="P156" s="243" t="e">
        <f>L156^4</f>
        <v>#N/A</v>
      </c>
      <c r="Q156" s="244" t="e">
        <f>P156/O156</f>
        <v>#N/A</v>
      </c>
      <c r="R156" s="245" t="e">
        <f>(L156/$N$184)^2</f>
        <v>#N/A</v>
      </c>
      <c r="S156" s="16"/>
    </row>
    <row r="157" spans="1:19" s="3" customFormat="1" ht="32.1" customHeight="1" x14ac:dyDescent="0.25">
      <c r="A157" s="234" t="s">
        <v>569</v>
      </c>
      <c r="B157" s="246">
        <v>0</v>
      </c>
      <c r="C157" s="125" t="s">
        <v>570</v>
      </c>
      <c r="D157" s="247" t="e">
        <f>VLOOKUP(B155,C13:I22,7,TRUE)</f>
        <v>#N/A</v>
      </c>
      <c r="E157" s="125" t="s">
        <v>446</v>
      </c>
      <c r="F157" s="125" t="s">
        <v>571</v>
      </c>
      <c r="G157" s="126" t="e">
        <f>O16</f>
        <v>#N/A</v>
      </c>
      <c r="H157" s="139" t="e">
        <f>D157/G157</f>
        <v>#N/A</v>
      </c>
      <c r="I157" s="125" t="s">
        <v>446</v>
      </c>
      <c r="J157" s="241" t="e">
        <f>(1 - (B165/B169)) * (1/(B167 - B165)) * (1 - B171 * (B173 - B183))</f>
        <v>#N/A</v>
      </c>
      <c r="K157" s="125" t="s">
        <v>568</v>
      </c>
      <c r="L157" s="242" t="e">
        <f>H157*J157</f>
        <v>#N/A</v>
      </c>
      <c r="M157" s="125" t="s">
        <v>224</v>
      </c>
      <c r="N157" s="129" t="e">
        <f>L157^2</f>
        <v>#N/A</v>
      </c>
      <c r="O157" s="125">
        <f>0.5*(100%-95%)^-2</f>
        <v>199.99999999999966</v>
      </c>
      <c r="P157" s="243" t="e">
        <f>L157^4</f>
        <v>#N/A</v>
      </c>
      <c r="Q157" s="244" t="e">
        <f>P157/O157</f>
        <v>#N/A</v>
      </c>
      <c r="R157" s="245" t="e">
        <f>(L157/$N$184)^2</f>
        <v>#N/A</v>
      </c>
      <c r="S157" s="16"/>
    </row>
    <row r="158" spans="1:19" s="3" customFormat="1" ht="32.1" customHeight="1" x14ac:dyDescent="0.25">
      <c r="A158" s="234" t="s">
        <v>572</v>
      </c>
      <c r="B158" s="246">
        <v>0</v>
      </c>
      <c r="C158" s="125" t="s">
        <v>573</v>
      </c>
      <c r="D158" s="129" t="e">
        <f>Q18*B155</f>
        <v>#N/A</v>
      </c>
      <c r="E158" s="125" t="s">
        <v>446</v>
      </c>
      <c r="F158" s="125" t="s">
        <v>518</v>
      </c>
      <c r="G158" s="125">
        <f>SQRT(3)</f>
        <v>1.7320508075688772</v>
      </c>
      <c r="H158" s="139" t="e">
        <f>D158/G158</f>
        <v>#N/A</v>
      </c>
      <c r="I158" s="125" t="s">
        <v>446</v>
      </c>
      <c r="J158" s="241" t="e">
        <f>(1 - (B165/B169)) * (1/(B167 - B165)) * (1 - B171 * (B173 - B183))</f>
        <v>#N/A</v>
      </c>
      <c r="K158" s="125" t="s">
        <v>568</v>
      </c>
      <c r="L158" s="242" t="e">
        <f>H158*J158</f>
        <v>#N/A</v>
      </c>
      <c r="M158" s="125" t="s">
        <v>224</v>
      </c>
      <c r="N158" s="248" t="e">
        <f>L158^2</f>
        <v>#N/A</v>
      </c>
      <c r="O158" s="126">
        <f>0.5*(100%-95%)^-2</f>
        <v>199.99999999999966</v>
      </c>
      <c r="P158" s="243" t="e">
        <f>L158^4</f>
        <v>#N/A</v>
      </c>
      <c r="Q158" s="244" t="e">
        <f>P158/O158</f>
        <v>#N/A</v>
      </c>
      <c r="R158" s="245" t="e">
        <f>(L158/$N$184)^2</f>
        <v>#N/A</v>
      </c>
      <c r="S158" s="16"/>
    </row>
    <row r="159" spans="1:19" s="3" customFormat="1" ht="32.1" customHeight="1" x14ac:dyDescent="0.25">
      <c r="A159" s="234" t="s">
        <v>574</v>
      </c>
      <c r="B159" s="246">
        <v>0</v>
      </c>
      <c r="C159" s="125" t="s">
        <v>570</v>
      </c>
      <c r="D159" s="146">
        <v>0</v>
      </c>
      <c r="E159" s="125" t="s">
        <v>446</v>
      </c>
      <c r="F159" s="125" t="s">
        <v>518</v>
      </c>
      <c r="G159" s="125">
        <f>SQRT(12)</f>
        <v>3.4641016151377544</v>
      </c>
      <c r="H159" s="139">
        <f>D159/G159</f>
        <v>0</v>
      </c>
      <c r="I159" s="125" t="s">
        <v>446</v>
      </c>
      <c r="J159" s="241" t="e">
        <f>(1 - (B165/B169)) * (1/(B167 - B165)) * (1 - B171 * (B173 - B183))</f>
        <v>#N/A</v>
      </c>
      <c r="K159" s="125" t="s">
        <v>568</v>
      </c>
      <c r="L159" s="242" t="e">
        <f>H159*J159</f>
        <v>#N/A</v>
      </c>
      <c r="M159" s="125" t="s">
        <v>224</v>
      </c>
      <c r="N159" s="248" t="e">
        <f>L159^2</f>
        <v>#N/A</v>
      </c>
      <c r="O159" s="126">
        <f>0.5*(100%-95%)^-2</f>
        <v>199.99999999999966</v>
      </c>
      <c r="P159" s="243" t="e">
        <f>L159^4</f>
        <v>#N/A</v>
      </c>
      <c r="Q159" s="244" t="e">
        <f>P159/O159</f>
        <v>#N/A</v>
      </c>
      <c r="R159" s="245" t="e">
        <f>(L159/$N$184)^2</f>
        <v>#N/A</v>
      </c>
      <c r="S159" s="16"/>
    </row>
    <row r="160" spans="1:19" s="3" customFormat="1" ht="32.1" customHeight="1" x14ac:dyDescent="0.25">
      <c r="A160" s="234" t="s">
        <v>575</v>
      </c>
      <c r="B160" s="307" t="e">
        <f>AVERAGE(B92:D92)</f>
        <v>#N/A</v>
      </c>
      <c r="C160" s="236"/>
      <c r="D160" s="133"/>
      <c r="E160" s="133"/>
      <c r="F160" s="133"/>
      <c r="G160" s="133"/>
      <c r="H160" s="249"/>
      <c r="I160" s="133"/>
      <c r="J160" s="133"/>
      <c r="K160" s="133"/>
      <c r="L160" s="250"/>
      <c r="M160" s="133"/>
      <c r="N160" s="237"/>
      <c r="O160" s="133"/>
      <c r="P160" s="133"/>
      <c r="Q160" s="238"/>
      <c r="R160" s="239"/>
      <c r="S160" s="16"/>
    </row>
    <row r="161" spans="1:27" s="3" customFormat="1" ht="32.1" customHeight="1" x14ac:dyDescent="0.25">
      <c r="A161" s="234" t="s">
        <v>576</v>
      </c>
      <c r="B161" s="246">
        <v>0</v>
      </c>
      <c r="C161" s="125" t="s">
        <v>567</v>
      </c>
      <c r="D161" s="139" t="e">
        <f>E13</f>
        <v>#N/A</v>
      </c>
      <c r="E161" s="125" t="s">
        <v>446</v>
      </c>
      <c r="F161" s="125" t="s">
        <v>518</v>
      </c>
      <c r="G161" s="125">
        <f>SQRT(12)</f>
        <v>3.4641016151377544</v>
      </c>
      <c r="H161" s="139" t="e">
        <f>D161/G161</f>
        <v>#N/A</v>
      </c>
      <c r="I161" s="125" t="s">
        <v>446</v>
      </c>
      <c r="J161" s="241" t="e">
        <f>-((1 - (B165/B169)) * (1/(B167 - B165)) * (1 - B171 * (B173 -
    B183)))</f>
        <v>#N/A</v>
      </c>
      <c r="K161" s="125" t="s">
        <v>568</v>
      </c>
      <c r="L161" s="242" t="e">
        <f>H161*J161</f>
        <v>#N/A</v>
      </c>
      <c r="M161" s="125" t="s">
        <v>224</v>
      </c>
      <c r="N161" s="248" t="e">
        <f>L161^2</f>
        <v>#N/A</v>
      </c>
      <c r="O161" s="126">
        <f>0.5*(100%-99%)^-2</f>
        <v>4999.9999999999909</v>
      </c>
      <c r="P161" s="243" t="e">
        <f>L161^4</f>
        <v>#N/A</v>
      </c>
      <c r="Q161" s="244" t="e">
        <f>P161/O161</f>
        <v>#N/A</v>
      </c>
      <c r="R161" s="245" t="e">
        <f>(L161/$N$184)^2</f>
        <v>#N/A</v>
      </c>
      <c r="S161" s="16"/>
      <c r="T161" s="1035"/>
      <c r="U161" s="1035"/>
      <c r="V161" s="1035"/>
      <c r="W161" s="1035"/>
      <c r="X161" s="1035"/>
      <c r="Y161" s="1035"/>
      <c r="Z161" s="1035"/>
      <c r="AA161" s="1035"/>
    </row>
    <row r="162" spans="1:27" s="3" customFormat="1" ht="32.1" customHeight="1" x14ac:dyDescent="0.25">
      <c r="A162" s="234" t="s">
        <v>569</v>
      </c>
      <c r="B162" s="246">
        <v>0</v>
      </c>
      <c r="C162" s="125" t="s">
        <v>570</v>
      </c>
      <c r="D162" s="247" t="e">
        <f>VLOOKUP(B160,C13:I22,7,TRUE)</f>
        <v>#N/A</v>
      </c>
      <c r="E162" s="125" t="s">
        <v>446</v>
      </c>
      <c r="F162" s="125" t="s">
        <v>571</v>
      </c>
      <c r="G162" s="126" t="e">
        <f>O14</f>
        <v>#N/A</v>
      </c>
      <c r="H162" s="139" t="e">
        <f>D162/G162</f>
        <v>#N/A</v>
      </c>
      <c r="I162" s="125" t="s">
        <v>446</v>
      </c>
      <c r="J162" s="241" t="e">
        <f>-((1 - (B165/B169)) * (1/(B167 - B165)) * (1 - B171 * (B173 -
    B183)))</f>
        <v>#N/A</v>
      </c>
      <c r="K162" s="125" t="s">
        <v>568</v>
      </c>
      <c r="L162" s="242" t="e">
        <f>H162*J162</f>
        <v>#N/A</v>
      </c>
      <c r="M162" s="125" t="s">
        <v>224</v>
      </c>
      <c r="N162" s="248" t="e">
        <f>L162^2</f>
        <v>#N/A</v>
      </c>
      <c r="O162" s="125">
        <f>0.5*(100%-95%)^-2</f>
        <v>199.99999999999966</v>
      </c>
      <c r="P162" s="243" t="e">
        <f>L162^4</f>
        <v>#N/A</v>
      </c>
      <c r="Q162" s="244" t="e">
        <f>P162/O162</f>
        <v>#N/A</v>
      </c>
      <c r="R162" s="245" t="e">
        <f>(L162/$N$184)^2</f>
        <v>#N/A</v>
      </c>
      <c r="S162" s="16"/>
      <c r="T162" s="1035"/>
      <c r="U162" s="1035"/>
      <c r="V162" s="1035"/>
      <c r="W162" s="1035"/>
      <c r="X162" s="1035"/>
      <c r="Y162" s="1035"/>
      <c r="Z162" s="1035"/>
      <c r="AA162" s="1035"/>
    </row>
    <row r="163" spans="1:27" s="3" customFormat="1" ht="32.1" customHeight="1" x14ac:dyDescent="0.25">
      <c r="A163" s="234" t="s">
        <v>572</v>
      </c>
      <c r="B163" s="246">
        <v>0</v>
      </c>
      <c r="C163" s="125" t="s">
        <v>573</v>
      </c>
      <c r="D163" s="125" t="e">
        <f>Q18*B160</f>
        <v>#N/A</v>
      </c>
      <c r="E163" s="125" t="s">
        <v>446</v>
      </c>
      <c r="F163" s="125" t="s">
        <v>518</v>
      </c>
      <c r="G163" s="125">
        <f>SQRT(3)</f>
        <v>1.7320508075688772</v>
      </c>
      <c r="H163" s="139" t="e">
        <f>D163/G163</f>
        <v>#N/A</v>
      </c>
      <c r="I163" s="125" t="s">
        <v>446</v>
      </c>
      <c r="J163" s="241" t="e">
        <f>-((1 - (B165/B169)) * (1/(B167 - B165)) * (1 - B171 * (B173 -
    B183)))</f>
        <v>#N/A</v>
      </c>
      <c r="K163" s="125" t="s">
        <v>568</v>
      </c>
      <c r="L163" s="242" t="e">
        <f>H163*J163</f>
        <v>#N/A</v>
      </c>
      <c r="M163" s="125" t="s">
        <v>224</v>
      </c>
      <c r="N163" s="248" t="e">
        <f>L163^2</f>
        <v>#N/A</v>
      </c>
      <c r="O163" s="126">
        <f>0.5*(100%-95%)^-2</f>
        <v>199.99999999999966</v>
      </c>
      <c r="P163" s="243" t="e">
        <f>L163^4</f>
        <v>#N/A</v>
      </c>
      <c r="Q163" s="244" t="e">
        <f>P163/O163</f>
        <v>#N/A</v>
      </c>
      <c r="R163" s="245" t="e">
        <f>(L163/$N$184)^2</f>
        <v>#N/A</v>
      </c>
      <c r="S163" s="16"/>
      <c r="T163" s="1035"/>
      <c r="U163" s="1035"/>
      <c r="V163" s="1035"/>
      <c r="W163" s="1035"/>
      <c r="X163" s="1035"/>
      <c r="Y163" s="1035"/>
      <c r="Z163" s="1035"/>
      <c r="AA163" s="1035"/>
    </row>
    <row r="164" spans="1:27" s="16" customFormat="1" ht="32.1" customHeight="1" x14ac:dyDescent="0.25">
      <c r="A164" s="234" t="s">
        <v>577</v>
      </c>
      <c r="B164" s="246">
        <v>0</v>
      </c>
      <c r="C164" s="125" t="s">
        <v>578</v>
      </c>
      <c r="D164" s="139">
        <v>0.24</v>
      </c>
      <c r="E164" s="125" t="s">
        <v>224</v>
      </c>
      <c r="F164" s="125" t="s">
        <v>571</v>
      </c>
      <c r="G164" s="125">
        <v>1</v>
      </c>
      <c r="H164" s="139">
        <f>D164/G164</f>
        <v>0.24</v>
      </c>
      <c r="I164" s="125" t="s">
        <v>224</v>
      </c>
      <c r="J164" s="126">
        <v>1</v>
      </c>
      <c r="K164" s="125" t="s">
        <v>224</v>
      </c>
      <c r="L164" s="139">
        <f>H164*J164</f>
        <v>0.24</v>
      </c>
      <c r="M164" s="125" t="s">
        <v>224</v>
      </c>
      <c r="N164" s="248">
        <f>L164^2</f>
        <v>5.7599999999999998E-2</v>
      </c>
      <c r="O164" s="126">
        <f>0.5*(100%-95%)^-2</f>
        <v>199.99999999999966</v>
      </c>
      <c r="P164" s="243">
        <f>L164^4</f>
        <v>3.3177599999999999E-3</v>
      </c>
      <c r="Q164" s="244">
        <f>P164/O164</f>
        <v>1.6588800000000027E-5</v>
      </c>
      <c r="R164" s="245" t="e">
        <f>(L164/$N$184)^2</f>
        <v>#N/A</v>
      </c>
    </row>
    <row r="165" spans="1:27" s="3" customFormat="1" ht="32.1" customHeight="1" x14ac:dyDescent="0.25">
      <c r="A165" s="234" t="s">
        <v>579</v>
      </c>
      <c r="B165" s="251" t="e">
        <f>AVERAGE(B73:D73)</f>
        <v>#N/A</v>
      </c>
      <c r="C165" s="133"/>
      <c r="D165" s="133"/>
      <c r="E165" s="133"/>
      <c r="F165" s="133"/>
      <c r="G165" s="133"/>
      <c r="H165" s="249"/>
      <c r="I165" s="133"/>
      <c r="J165" s="133"/>
      <c r="K165" s="133"/>
      <c r="L165" s="250"/>
      <c r="M165" s="133"/>
      <c r="N165" s="237"/>
      <c r="O165" s="133"/>
      <c r="P165" s="133"/>
      <c r="Q165" s="238"/>
      <c r="R165" s="239"/>
      <c r="S165" s="16"/>
      <c r="T165" s="1035"/>
      <c r="U165" s="1035"/>
      <c r="V165" s="1035"/>
      <c r="W165" s="1035"/>
      <c r="X165" s="1035"/>
      <c r="Y165" s="1035"/>
      <c r="Z165" s="1035"/>
      <c r="AA165" s="1035"/>
    </row>
    <row r="166" spans="1:27" s="3" customFormat="1" ht="32.1" customHeight="1" x14ac:dyDescent="0.25">
      <c r="A166" s="234" t="s">
        <v>580</v>
      </c>
      <c r="B166" s="246">
        <v>0</v>
      </c>
      <c r="C166" s="125" t="s">
        <v>581</v>
      </c>
      <c r="D166" s="129" t="e">
        <f>N128</f>
        <v>#N/A</v>
      </c>
      <c r="E166" s="125" t="s">
        <v>443</v>
      </c>
      <c r="F166" s="125" t="s">
        <v>571</v>
      </c>
      <c r="G166" s="125">
        <v>1</v>
      </c>
      <c r="H166" s="252" t="e">
        <f>D166/G166</f>
        <v>#N/A</v>
      </c>
      <c r="I166" s="125" t="s">
        <v>443</v>
      </c>
      <c r="J166" s="242" t="e">
        <f>((B155 - B160) * (1 - (B165/B169)) * (1/(B167 - B165)^2) - (B155 -
    B160) * (1/B169) * (1/(B167 - B165))) * (1 - B171 * (B173 -
    B183))</f>
        <v>#N/A</v>
      </c>
      <c r="K166" s="125" t="s">
        <v>582</v>
      </c>
      <c r="L166" s="242" t="e">
        <f>H166*J166</f>
        <v>#N/A</v>
      </c>
      <c r="M166" s="125" t="s">
        <v>224</v>
      </c>
      <c r="N166" s="248" t="e">
        <f>L166^2</f>
        <v>#N/A</v>
      </c>
      <c r="O166" s="126">
        <f>0.5*(100%-95%)^-2</f>
        <v>199.99999999999966</v>
      </c>
      <c r="P166" s="243" t="e">
        <f>L166^4</f>
        <v>#N/A</v>
      </c>
      <c r="Q166" s="244" t="e">
        <f>P166/O166</f>
        <v>#N/A</v>
      </c>
      <c r="R166" s="245" t="e">
        <f>(L166/$N$184)^2</f>
        <v>#N/A</v>
      </c>
      <c r="S166" s="16"/>
      <c r="T166" s="1035"/>
      <c r="U166" s="1035"/>
      <c r="V166" s="1035"/>
      <c r="W166" s="1035"/>
      <c r="X166" s="1035"/>
      <c r="Y166" s="1035"/>
      <c r="Z166" s="1035"/>
      <c r="AA166" s="1035"/>
    </row>
    <row r="167" spans="1:27" s="3" customFormat="1" ht="32.1" customHeight="1" x14ac:dyDescent="0.25">
      <c r="A167" s="234" t="s">
        <v>583</v>
      </c>
      <c r="B167" s="235" t="e">
        <f>AVERAGE(B77:D77)</f>
        <v>#VALUE!</v>
      </c>
      <c r="C167" s="133"/>
      <c r="D167" s="133"/>
      <c r="E167" s="133"/>
      <c r="F167" s="133"/>
      <c r="G167" s="133"/>
      <c r="H167" s="249"/>
      <c r="I167" s="133"/>
      <c r="J167" s="133"/>
      <c r="K167" s="133"/>
      <c r="L167" s="250"/>
      <c r="M167" s="133"/>
      <c r="N167" s="237"/>
      <c r="O167" s="133"/>
      <c r="P167" s="133"/>
      <c r="Q167" s="238"/>
      <c r="R167" s="239"/>
      <c r="S167" s="16"/>
      <c r="T167" s="1035"/>
      <c r="U167" s="1035"/>
      <c r="V167" s="1035"/>
      <c r="W167" s="1035"/>
      <c r="X167" s="1035"/>
      <c r="Y167" s="1035"/>
      <c r="Z167" s="1035"/>
      <c r="AA167" s="1035"/>
    </row>
    <row r="168" spans="1:27" s="3" customFormat="1" ht="32.1" customHeight="1" x14ac:dyDescent="0.25">
      <c r="A168" s="234" t="s">
        <v>584</v>
      </c>
      <c r="B168" s="240">
        <v>0</v>
      </c>
      <c r="C168" s="125" t="s">
        <v>544</v>
      </c>
      <c r="D168" s="129" t="e">
        <f>N147</f>
        <v>#DIV/0!</v>
      </c>
      <c r="E168" s="125" t="s">
        <v>443</v>
      </c>
      <c r="F168" s="125" t="s">
        <v>571</v>
      </c>
      <c r="G168" s="125">
        <v>1</v>
      </c>
      <c r="H168" s="128" t="e">
        <f>D168/G168</f>
        <v>#DIV/0!</v>
      </c>
      <c r="I168" s="125" t="s">
        <v>443</v>
      </c>
      <c r="J168" s="242" t="e">
        <f>-((B155 - B160) * (1 - (B165/B169)) * (1/(B167 - B165)^2) * (1 -
    B171 * (B173 - B183)))</f>
        <v>#N/A</v>
      </c>
      <c r="K168" s="125" t="s">
        <v>582</v>
      </c>
      <c r="L168" s="242" t="e">
        <f>H168*J168</f>
        <v>#DIV/0!</v>
      </c>
      <c r="M168" s="125" t="s">
        <v>224</v>
      </c>
      <c r="N168" s="248" t="e">
        <f>L168^2</f>
        <v>#DIV/0!</v>
      </c>
      <c r="O168" s="126">
        <f>0.5*(100%-95%)^-2</f>
        <v>199.99999999999966</v>
      </c>
      <c r="P168" s="243" t="e">
        <f>L168^4</f>
        <v>#DIV/0!</v>
      </c>
      <c r="Q168" s="244" t="e">
        <f>P168/O168</f>
        <v>#DIV/0!</v>
      </c>
      <c r="R168" s="245" t="e">
        <f>(L168/$N$184)^2</f>
        <v>#DIV/0!</v>
      </c>
      <c r="S168" s="16"/>
      <c r="T168" s="1035"/>
      <c r="U168" s="1035"/>
      <c r="V168" s="1035"/>
      <c r="W168" s="1035"/>
      <c r="X168" s="1035"/>
      <c r="Y168" s="1035"/>
      <c r="Z168" s="1035"/>
      <c r="AA168" s="1035"/>
    </row>
    <row r="169" spans="1:27" s="2" customFormat="1" ht="32.1" customHeight="1" x14ac:dyDescent="0.25">
      <c r="A169" s="234" t="s">
        <v>585</v>
      </c>
      <c r="B169" s="253" t="e">
        <f>C7</f>
        <v>#N/A</v>
      </c>
      <c r="C169" s="133"/>
      <c r="D169" s="133"/>
      <c r="E169" s="133"/>
      <c r="F169" s="133"/>
      <c r="G169" s="133"/>
      <c r="H169" s="249"/>
      <c r="I169" s="133"/>
      <c r="J169" s="133"/>
      <c r="K169" s="133"/>
      <c r="L169" s="250"/>
      <c r="M169" s="133"/>
      <c r="N169" s="237"/>
      <c r="O169" s="133"/>
      <c r="P169" s="133"/>
      <c r="Q169" s="238"/>
      <c r="R169" s="239"/>
      <c r="S169" s="17"/>
      <c r="T169" s="1031"/>
      <c r="U169" s="1031"/>
      <c r="V169" s="7"/>
      <c r="W169" s="7"/>
      <c r="X169" s="1031"/>
      <c r="Y169" s="1031"/>
      <c r="Z169" s="1031"/>
      <c r="AA169" s="1031"/>
    </row>
    <row r="170" spans="1:27" s="2" customFormat="1" ht="32.1" customHeight="1" x14ac:dyDescent="0.25">
      <c r="A170" s="234" t="s">
        <v>586</v>
      </c>
      <c r="B170" s="246">
        <v>0</v>
      </c>
      <c r="C170" s="125" t="s">
        <v>587</v>
      </c>
      <c r="D170" s="146">
        <v>0.14000000000000001</v>
      </c>
      <c r="E170" s="125" t="s">
        <v>443</v>
      </c>
      <c r="F170" s="125" t="s">
        <v>571</v>
      </c>
      <c r="G170" s="125" t="e">
        <f>O7</f>
        <v>#N/A</v>
      </c>
      <c r="H170" s="146" t="e">
        <f>D170/G170</f>
        <v>#N/A</v>
      </c>
      <c r="I170" s="125" t="s">
        <v>443</v>
      </c>
      <c r="J170" s="254" t="e">
        <f>(B155 - B160) * (B165/B169^2) * (1/(B167 - B165)) * (1 - B171 *
    (B173 - B183))</f>
        <v>#N/A</v>
      </c>
      <c r="K170" s="125" t="s">
        <v>582</v>
      </c>
      <c r="L170" s="242" t="e">
        <f>H170*J170</f>
        <v>#N/A</v>
      </c>
      <c r="M170" s="125" t="s">
        <v>224</v>
      </c>
      <c r="N170" s="248" t="e">
        <f>L170^2</f>
        <v>#N/A</v>
      </c>
      <c r="O170" s="126">
        <f>0.5*(100%-95%)^-2</f>
        <v>199.99999999999966</v>
      </c>
      <c r="P170" s="243" t="e">
        <f>L170^4</f>
        <v>#N/A</v>
      </c>
      <c r="Q170" s="244" t="e">
        <f>P170/O170</f>
        <v>#N/A</v>
      </c>
      <c r="R170" s="245" t="e">
        <f>(L170/$N$184)^2</f>
        <v>#N/A</v>
      </c>
      <c r="S170" s="17"/>
      <c r="T170" s="1031"/>
      <c r="U170" s="1031"/>
      <c r="V170" s="1031"/>
      <c r="W170" s="1031"/>
      <c r="X170" s="1031"/>
      <c r="Y170" s="1031"/>
      <c r="Z170" s="1031"/>
      <c r="AA170" s="1031"/>
    </row>
    <row r="171" spans="1:27" s="2" customFormat="1" ht="32.1" customHeight="1" x14ac:dyDescent="0.25">
      <c r="A171" s="234" t="s">
        <v>588</v>
      </c>
      <c r="B171" s="369" t="e">
        <f>C48</f>
        <v>#N/A</v>
      </c>
      <c r="C171" s="236"/>
      <c r="D171" s="133"/>
      <c r="E171" s="133"/>
      <c r="F171" s="133"/>
      <c r="G171" s="133"/>
      <c r="H171" s="249"/>
      <c r="I171" s="133"/>
      <c r="J171" s="133"/>
      <c r="K171" s="133"/>
      <c r="L171" s="250"/>
      <c r="M171" s="133"/>
      <c r="N171" s="237"/>
      <c r="O171" s="133"/>
      <c r="P171" s="133"/>
      <c r="Q171" s="238"/>
      <c r="R171" s="239"/>
      <c r="S171" s="17"/>
      <c r="T171" s="1031"/>
      <c r="U171" s="1031"/>
      <c r="V171" s="1031"/>
      <c r="W171" s="1031"/>
      <c r="X171" s="1031"/>
      <c r="Y171" s="1031"/>
      <c r="Z171" s="1031"/>
      <c r="AA171" s="1031"/>
    </row>
    <row r="172" spans="1:27" s="2" customFormat="1" ht="32.1" customHeight="1" x14ac:dyDescent="0.25">
      <c r="A172" s="234" t="s">
        <v>589</v>
      </c>
      <c r="B172" s="246">
        <v>0</v>
      </c>
      <c r="C172" s="125" t="s">
        <v>24</v>
      </c>
      <c r="D172" s="252" t="e">
        <f>B171*5%</f>
        <v>#N/A</v>
      </c>
      <c r="E172" s="125" t="s">
        <v>226</v>
      </c>
      <c r="F172" s="125" t="s">
        <v>518</v>
      </c>
      <c r="G172" s="125">
        <f>SQRT(3)</f>
        <v>1.7320508075688772</v>
      </c>
      <c r="H172" s="241" t="e">
        <f>D172/G172</f>
        <v>#N/A</v>
      </c>
      <c r="I172" s="125" t="s">
        <v>226</v>
      </c>
      <c r="J172" s="139" t="e">
        <f>-((B155 - B160) * (1 - (B165/B169)) * (1/(B167 - B165)) * (B173 -
    B183))</f>
        <v>#N/A</v>
      </c>
      <c r="K172" s="125" t="s">
        <v>590</v>
      </c>
      <c r="L172" s="242" t="e">
        <f>H172*J172</f>
        <v>#N/A</v>
      </c>
      <c r="M172" s="125" t="s">
        <v>224</v>
      </c>
      <c r="N172" s="248" t="e">
        <f>L172^2</f>
        <v>#N/A</v>
      </c>
      <c r="O172" s="126">
        <f>0.5*(100%-95%)^-2</f>
        <v>199.99999999999966</v>
      </c>
      <c r="P172" s="243" t="e">
        <f>L172^4</f>
        <v>#N/A</v>
      </c>
      <c r="Q172" s="244" t="e">
        <f>P172/O172</f>
        <v>#N/A</v>
      </c>
      <c r="R172" s="245" t="e">
        <f>(L172/$N$184)^2</f>
        <v>#N/A</v>
      </c>
      <c r="S172" s="17"/>
      <c r="T172" s="1031"/>
      <c r="U172" s="1031"/>
      <c r="V172" s="1031"/>
      <c r="W172" s="1031"/>
      <c r="X172" s="1031"/>
      <c r="Y172" s="1031"/>
      <c r="Z172" s="1031"/>
      <c r="AA172" s="1031"/>
    </row>
    <row r="173" spans="1:27" s="3" customFormat="1" ht="32.1" customHeight="1" x14ac:dyDescent="0.25">
      <c r="A173" s="234" t="s">
        <v>591</v>
      </c>
      <c r="B173" s="255" t="e">
        <f>AVERAGE(B88:D88)</f>
        <v>#DIV/0!</v>
      </c>
      <c r="C173" s="133"/>
      <c r="D173" s="144"/>
      <c r="E173" s="144"/>
      <c r="F173" s="133"/>
      <c r="G173" s="133"/>
      <c r="H173" s="249"/>
      <c r="I173" s="144"/>
      <c r="J173" s="133"/>
      <c r="K173" s="133"/>
      <c r="L173" s="250"/>
      <c r="M173" s="133"/>
      <c r="N173" s="237"/>
      <c r="O173" s="133"/>
      <c r="P173" s="133"/>
      <c r="Q173" s="238"/>
      <c r="R173" s="239"/>
      <c r="S173" s="17"/>
      <c r="T173" s="1031"/>
      <c r="U173" s="1031"/>
      <c r="V173" s="8"/>
      <c r="W173" s="8"/>
      <c r="X173" s="8"/>
      <c r="Y173" s="8"/>
      <c r="Z173" s="8"/>
      <c r="AA173" s="8"/>
    </row>
    <row r="174" spans="1:27" s="2" customFormat="1" ht="32.1" customHeight="1" x14ac:dyDescent="0.25">
      <c r="A174" s="234" t="s">
        <v>592</v>
      </c>
      <c r="B174" s="240">
        <v>0</v>
      </c>
      <c r="C174" s="125" t="s">
        <v>513</v>
      </c>
      <c r="D174" s="146" t="str">
        <f>E8</f>
        <v>N/A</v>
      </c>
      <c r="E174" s="125" t="s">
        <v>36</v>
      </c>
      <c r="F174" s="125" t="s">
        <v>518</v>
      </c>
      <c r="G174" s="125">
        <f>SQRT(12)</f>
        <v>3.4641016151377544</v>
      </c>
      <c r="H174" s="252" t="e">
        <f t="shared" ref="H174:H182" si="7">D174/G174</f>
        <v>#VALUE!</v>
      </c>
      <c r="I174" s="125" t="s">
        <v>36</v>
      </c>
      <c r="J174" s="125" t="e">
        <f>-((B155 - B160) * (1 - (B165/B169)) * (1/(B167 - B165)) * B171)</f>
        <v>#N/A</v>
      </c>
      <c r="K174" s="125" t="s">
        <v>593</v>
      </c>
      <c r="L174" s="242" t="e">
        <f>J174*H174</f>
        <v>#N/A</v>
      </c>
      <c r="M174" s="125" t="s">
        <v>224</v>
      </c>
      <c r="N174" s="129" t="e">
        <f t="shared" ref="N174:N182" si="8">L174^2</f>
        <v>#N/A</v>
      </c>
      <c r="O174" s="126">
        <f>0.5*(100%-99%)^-2</f>
        <v>4999.9999999999909</v>
      </c>
      <c r="P174" s="129" t="e">
        <f t="shared" ref="P174:P182" si="9">L174^4</f>
        <v>#N/A</v>
      </c>
      <c r="Q174" s="244" t="e">
        <f t="shared" ref="Q174:Q182" si="10">P174/O174</f>
        <v>#N/A</v>
      </c>
      <c r="R174" s="245" t="e">
        <f t="shared" ref="R174:R182" si="11">(L174/$N$184)^2</f>
        <v>#N/A</v>
      </c>
      <c r="S174" s="17"/>
      <c r="T174" s="1031"/>
      <c r="U174" s="1031"/>
      <c r="V174" s="1328"/>
      <c r="W174" s="1328"/>
      <c r="X174" s="1328"/>
      <c r="Y174" s="1031"/>
      <c r="Z174" s="1031"/>
      <c r="AA174" s="1031"/>
    </row>
    <row r="175" spans="1:27" s="2" customFormat="1" ht="32.1" customHeight="1" x14ac:dyDescent="0.25">
      <c r="A175" s="234" t="s">
        <v>594</v>
      </c>
      <c r="B175" s="240">
        <v>0</v>
      </c>
      <c r="C175" s="125" t="s">
        <v>595</v>
      </c>
      <c r="D175" s="312" t="str">
        <f>I12</f>
        <v>N/A</v>
      </c>
      <c r="E175" s="125" t="s">
        <v>36</v>
      </c>
      <c r="F175" s="125" t="s">
        <v>596</v>
      </c>
      <c r="G175" s="126" t="str">
        <f>O8</f>
        <v>N/A</v>
      </c>
      <c r="H175" s="252" t="e">
        <f t="shared" si="7"/>
        <v>#VALUE!</v>
      </c>
      <c r="I175" s="125" t="s">
        <v>36</v>
      </c>
      <c r="J175" s="125" t="e">
        <f>-((B155 - B160) * (1 - (B165/B169)) * (1/(B167 - B165)) * B171)</f>
        <v>#N/A</v>
      </c>
      <c r="K175" s="125" t="s">
        <v>593</v>
      </c>
      <c r="L175" s="242" t="e">
        <f>J175*H175</f>
        <v>#N/A</v>
      </c>
      <c r="M175" s="125" t="s">
        <v>224</v>
      </c>
      <c r="N175" s="129" t="e">
        <f t="shared" si="8"/>
        <v>#N/A</v>
      </c>
      <c r="O175" s="126">
        <f>0.5*(100%-95%)^-2</f>
        <v>199.99999999999966</v>
      </c>
      <c r="P175" s="129" t="e">
        <f t="shared" si="9"/>
        <v>#N/A</v>
      </c>
      <c r="Q175" s="244" t="e">
        <f>P175/O175</f>
        <v>#N/A</v>
      </c>
      <c r="R175" s="245" t="e">
        <f t="shared" si="11"/>
        <v>#N/A</v>
      </c>
      <c r="S175" s="17"/>
      <c r="T175" s="1031"/>
      <c r="U175" s="1031"/>
      <c r="V175" s="1324"/>
      <c r="W175" s="1324"/>
      <c r="X175" s="1324"/>
      <c r="Y175" s="1031"/>
      <c r="Z175" s="1031"/>
      <c r="AA175" s="1031"/>
    </row>
    <row r="176" spans="1:27" ht="32.1" customHeight="1" x14ac:dyDescent="0.2">
      <c r="A176" s="234" t="s">
        <v>597</v>
      </c>
      <c r="B176" s="240">
        <v>0</v>
      </c>
      <c r="C176" s="125" t="s">
        <v>598</v>
      </c>
      <c r="D176" s="311" t="e">
        <f>VLOOKUP(B173,C8:K12,9,TRUE)</f>
        <v>#DIV/0!</v>
      </c>
      <c r="E176" s="125" t="s">
        <v>36</v>
      </c>
      <c r="F176" s="125" t="s">
        <v>599</v>
      </c>
      <c r="G176" s="125">
        <f>SQRT(12)</f>
        <v>3.4641016151377544</v>
      </c>
      <c r="H176" s="252" t="e">
        <f t="shared" si="7"/>
        <v>#DIV/0!</v>
      </c>
      <c r="I176" s="125" t="s">
        <v>36</v>
      </c>
      <c r="J176" s="125" t="e">
        <f>-((B155 - B160) * (1 - (B165/B169)) * (1/(B167 - B165)) * B171)</f>
        <v>#N/A</v>
      </c>
      <c r="K176" s="125" t="s">
        <v>593</v>
      </c>
      <c r="L176" s="242" t="e">
        <f>J176*H176</f>
        <v>#N/A</v>
      </c>
      <c r="M176" s="125" t="s">
        <v>224</v>
      </c>
      <c r="N176" s="129" t="e">
        <f>L176^2</f>
        <v>#N/A</v>
      </c>
      <c r="O176" s="126">
        <f>0.5*(100%-95%)^-2</f>
        <v>199.99999999999966</v>
      </c>
      <c r="P176" s="129" t="e">
        <f>L176^4</f>
        <v>#N/A</v>
      </c>
      <c r="Q176" s="244" t="e">
        <f t="shared" si="10"/>
        <v>#N/A</v>
      </c>
      <c r="R176" s="245" t="e">
        <f t="shared" si="11"/>
        <v>#N/A</v>
      </c>
      <c r="S176" s="15"/>
      <c r="T176" s="19"/>
      <c r="U176" s="19"/>
      <c r="V176" s="19"/>
      <c r="W176" s="19"/>
      <c r="X176" s="19"/>
      <c r="Y176" s="19"/>
      <c r="Z176" s="19"/>
      <c r="AA176" s="19"/>
    </row>
    <row r="177" spans="1:19" ht="32.1" customHeight="1" x14ac:dyDescent="0.2">
      <c r="A177" s="234" t="s">
        <v>600</v>
      </c>
      <c r="B177" s="240">
        <v>0</v>
      </c>
      <c r="C177" s="125" t="s">
        <v>601</v>
      </c>
      <c r="D177" s="242">
        <f>MAX(B88:D88)- MIN(B88:D88)</f>
        <v>0</v>
      </c>
      <c r="E177" s="125" t="s">
        <v>36</v>
      </c>
      <c r="F177" s="125" t="s">
        <v>518</v>
      </c>
      <c r="G177" s="125">
        <f>SQRT(12)</f>
        <v>3.4641016151377544</v>
      </c>
      <c r="H177" s="252">
        <f t="shared" si="7"/>
        <v>0</v>
      </c>
      <c r="I177" s="125" t="s">
        <v>36</v>
      </c>
      <c r="J177" s="125" t="e">
        <f>-((B155 - B160) * (1 - (B165/B169)) * (1/(B167 - B165)) * B171)</f>
        <v>#N/A</v>
      </c>
      <c r="K177" s="125" t="s">
        <v>593</v>
      </c>
      <c r="L177" s="242" t="e">
        <f>J177*H177</f>
        <v>#N/A</v>
      </c>
      <c r="M177" s="125" t="s">
        <v>224</v>
      </c>
      <c r="N177" s="129" t="e">
        <f>L177^2</f>
        <v>#N/A</v>
      </c>
      <c r="O177" s="126">
        <f>0.5*(100%-95%)^-2</f>
        <v>199.99999999999966</v>
      </c>
      <c r="P177" s="129" t="e">
        <f>L177^4</f>
        <v>#N/A</v>
      </c>
      <c r="Q177" s="244" t="e">
        <f t="shared" si="10"/>
        <v>#N/A</v>
      </c>
      <c r="R177" s="245" t="e">
        <f t="shared" si="11"/>
        <v>#N/A</v>
      </c>
      <c r="S177" s="15"/>
    </row>
    <row r="178" spans="1:19" ht="32.1" customHeight="1" x14ac:dyDescent="0.2">
      <c r="A178" s="234" t="s">
        <v>602</v>
      </c>
      <c r="B178" s="256">
        <v>0</v>
      </c>
      <c r="C178" s="125" t="s">
        <v>603</v>
      </c>
      <c r="D178" s="138" t="e">
        <f>MAX(B67:D67)-MAX(B88:D88)</f>
        <v>#N/A</v>
      </c>
      <c r="E178" s="125" t="s">
        <v>36</v>
      </c>
      <c r="F178" s="125" t="s">
        <v>518</v>
      </c>
      <c r="G178" s="125">
        <f>SQRT(12)</f>
        <v>3.4641016151377544</v>
      </c>
      <c r="H178" s="252" t="e">
        <f t="shared" si="7"/>
        <v>#N/A</v>
      </c>
      <c r="I178" s="125" t="s">
        <v>36</v>
      </c>
      <c r="J178" s="125" t="e">
        <f>-((B155 - B160) * (1 - (B165/B169)) * (1/(B167 - B165)) * B171)</f>
        <v>#N/A</v>
      </c>
      <c r="K178" s="125" t="s">
        <v>593</v>
      </c>
      <c r="L178" s="242" t="e">
        <f>H178*J178</f>
        <v>#N/A</v>
      </c>
      <c r="M178" s="125" t="s">
        <v>224</v>
      </c>
      <c r="N178" s="129" t="e">
        <f t="shared" si="8"/>
        <v>#N/A</v>
      </c>
      <c r="O178" s="126">
        <f>0.5*(100%-95%)^-2</f>
        <v>199.99999999999966</v>
      </c>
      <c r="P178" s="243" t="e">
        <f t="shared" si="9"/>
        <v>#N/A</v>
      </c>
      <c r="Q178" s="244" t="e">
        <f t="shared" si="10"/>
        <v>#N/A</v>
      </c>
      <c r="R178" s="257" t="e">
        <f t="shared" si="11"/>
        <v>#N/A</v>
      </c>
      <c r="S178" s="15"/>
    </row>
    <row r="179" spans="1:19" ht="32.1" customHeight="1" x14ac:dyDescent="0.2">
      <c r="A179" s="234" t="s">
        <v>604</v>
      </c>
      <c r="B179" s="256">
        <v>0</v>
      </c>
      <c r="C179" s="125" t="s">
        <v>601</v>
      </c>
      <c r="D179" s="139" t="e">
        <f>_xlfn.STDEV.S(B98:D98)</f>
        <v>#N/A</v>
      </c>
      <c r="E179" s="125" t="s">
        <v>605</v>
      </c>
      <c r="F179" s="125" t="s">
        <v>596</v>
      </c>
      <c r="G179" s="125">
        <f>SQRT(3)</f>
        <v>1.7320508075688772</v>
      </c>
      <c r="H179" s="252" t="e">
        <f t="shared" si="7"/>
        <v>#N/A</v>
      </c>
      <c r="I179" s="125" t="s">
        <v>605</v>
      </c>
      <c r="J179" s="125">
        <v>1</v>
      </c>
      <c r="K179" s="125" t="s">
        <v>224</v>
      </c>
      <c r="L179" s="242" t="e">
        <f>H179*J179</f>
        <v>#N/A</v>
      </c>
      <c r="M179" s="125" t="s">
        <v>224</v>
      </c>
      <c r="N179" s="129" t="e">
        <f t="shared" si="8"/>
        <v>#N/A</v>
      </c>
      <c r="O179" s="125">
        <v>2</v>
      </c>
      <c r="P179" s="243" t="e">
        <f>L179^4</f>
        <v>#N/A</v>
      </c>
      <c r="Q179" s="244" t="e">
        <f t="shared" si="10"/>
        <v>#N/A</v>
      </c>
      <c r="R179" s="258" t="e">
        <f t="shared" si="11"/>
        <v>#N/A</v>
      </c>
      <c r="S179" s="15"/>
    </row>
    <row r="180" spans="1:19" ht="32.1" customHeight="1" x14ac:dyDescent="0.2">
      <c r="A180" s="234" t="s">
        <v>606</v>
      </c>
      <c r="B180" s="256">
        <v>0</v>
      </c>
      <c r="C180" s="125" t="s">
        <v>607</v>
      </c>
      <c r="D180" s="139" t="e">
        <f>IF(C45=5,(2*PI()*1.5^2*0.025)/4+(2*PI()*C49^2*0.025)/4,IF(C45=0.5,(2*PI()*C49^2*0.025)/4,IF(C45=20,(2*PI()*1.5^2*0.025)/4+(2*PI()*C49^2*0.025)/4,IF(C45=2,((2*PI()*C49^2*0.025)/4)))))</f>
        <v>#N/A</v>
      </c>
      <c r="E180" s="125" t="s">
        <v>605</v>
      </c>
      <c r="F180" s="125" t="s">
        <v>571</v>
      </c>
      <c r="G180" s="125">
        <f>SQRT(3)</f>
        <v>1.7320508075688772</v>
      </c>
      <c r="H180" s="252" t="e">
        <f t="shared" si="7"/>
        <v>#N/A</v>
      </c>
      <c r="I180" s="125" t="s">
        <v>605</v>
      </c>
      <c r="J180" s="125">
        <v>1</v>
      </c>
      <c r="K180" s="125" t="s">
        <v>224</v>
      </c>
      <c r="L180" s="242" t="e">
        <f>H180*J180</f>
        <v>#N/A</v>
      </c>
      <c r="M180" s="125" t="s">
        <v>224</v>
      </c>
      <c r="N180" s="129" t="e">
        <f t="shared" si="8"/>
        <v>#N/A</v>
      </c>
      <c r="O180" s="126">
        <f>0.5*(100%-93%)^-2</f>
        <v>102.04081632653076</v>
      </c>
      <c r="P180" s="243" t="e">
        <f t="shared" si="9"/>
        <v>#N/A</v>
      </c>
      <c r="Q180" s="244" t="e">
        <f t="shared" si="10"/>
        <v>#N/A</v>
      </c>
      <c r="R180" s="258" t="e">
        <f t="shared" si="11"/>
        <v>#N/A</v>
      </c>
      <c r="S180" s="15"/>
    </row>
    <row r="181" spans="1:19" ht="32.1" customHeight="1" x14ac:dyDescent="0.2">
      <c r="A181" s="234" t="s">
        <v>606</v>
      </c>
      <c r="B181" s="256">
        <v>0</v>
      </c>
      <c r="C181" s="125" t="s">
        <v>608</v>
      </c>
      <c r="D181" s="138">
        <v>0</v>
      </c>
      <c r="E181" s="125" t="s">
        <v>605</v>
      </c>
      <c r="F181" s="125" t="s">
        <v>571</v>
      </c>
      <c r="G181" s="125">
        <f>SQRT(3)</f>
        <v>1.7320508075688772</v>
      </c>
      <c r="H181" s="252">
        <f t="shared" si="7"/>
        <v>0</v>
      </c>
      <c r="I181" s="125" t="s">
        <v>605</v>
      </c>
      <c r="J181" s="125">
        <v>1</v>
      </c>
      <c r="K181" s="125" t="s">
        <v>224</v>
      </c>
      <c r="L181" s="242">
        <f>H181*J181</f>
        <v>0</v>
      </c>
      <c r="M181" s="125" t="s">
        <v>224</v>
      </c>
      <c r="N181" s="129">
        <f t="shared" si="8"/>
        <v>0</v>
      </c>
      <c r="O181" s="126">
        <f>0.5*(100%-93%)^-2</f>
        <v>102.04081632653076</v>
      </c>
      <c r="P181" s="243">
        <f t="shared" si="9"/>
        <v>0</v>
      </c>
      <c r="Q181" s="244">
        <f t="shared" si="10"/>
        <v>0</v>
      </c>
      <c r="R181" s="245" t="e">
        <f t="shared" si="11"/>
        <v>#N/A</v>
      </c>
      <c r="S181" s="15"/>
    </row>
    <row r="182" spans="1:19" ht="32.1" customHeight="1" x14ac:dyDescent="0.2">
      <c r="A182" s="234" t="s">
        <v>609</v>
      </c>
      <c r="B182" s="259">
        <v>0</v>
      </c>
      <c r="C182" s="260" t="s">
        <v>610</v>
      </c>
      <c r="D182" s="340" t="e">
        <f>IF(C45=5,0.51,IF(C45=20,0.51,IF(C45=0.5,0.03,IF(C45=2,0.03))))</f>
        <v>#N/A</v>
      </c>
      <c r="E182" s="260" t="s">
        <v>605</v>
      </c>
      <c r="F182" s="125" t="s">
        <v>571</v>
      </c>
      <c r="G182" s="260">
        <v>1</v>
      </c>
      <c r="H182" s="261" t="e">
        <f t="shared" si="7"/>
        <v>#N/A</v>
      </c>
      <c r="I182" s="260" t="s">
        <v>605</v>
      </c>
      <c r="J182" s="260">
        <v>1</v>
      </c>
      <c r="K182" s="260" t="s">
        <v>224</v>
      </c>
      <c r="L182" s="262" t="e">
        <f>H182*J182</f>
        <v>#N/A</v>
      </c>
      <c r="M182" s="260" t="s">
        <v>224</v>
      </c>
      <c r="N182" s="263" t="e">
        <f t="shared" si="8"/>
        <v>#N/A</v>
      </c>
      <c r="O182" s="126">
        <f>0.5*(100%-93%)^-2</f>
        <v>102.04081632653076</v>
      </c>
      <c r="P182" s="264" t="e">
        <f t="shared" si="9"/>
        <v>#N/A</v>
      </c>
      <c r="Q182" s="265" t="e">
        <f t="shared" si="10"/>
        <v>#N/A</v>
      </c>
      <c r="R182" s="258" t="e">
        <f t="shared" si="11"/>
        <v>#N/A</v>
      </c>
      <c r="S182" s="15"/>
    </row>
    <row r="183" spans="1:19" ht="32.1" customHeight="1" thickBot="1" x14ac:dyDescent="0.25">
      <c r="A183" s="446" t="s">
        <v>611</v>
      </c>
      <c r="B183" s="447" t="e">
        <f>C44</f>
        <v>#N/A</v>
      </c>
      <c r="C183" s="448"/>
      <c r="D183" s="449"/>
      <c r="E183" s="450"/>
      <c r="F183" s="450"/>
      <c r="G183" s="450"/>
      <c r="H183" s="451"/>
      <c r="I183" s="450"/>
      <c r="J183" s="450"/>
      <c r="K183" s="450"/>
      <c r="L183" s="449"/>
      <c r="M183" s="450"/>
      <c r="N183" s="449"/>
      <c r="O183" s="452"/>
      <c r="P183" s="453"/>
      <c r="Q183" s="454"/>
      <c r="R183" s="266" t="e">
        <f>SUM(R156:R182)</f>
        <v>#N/A</v>
      </c>
      <c r="S183" s="15"/>
    </row>
    <row r="184" spans="1:19" ht="30" customHeight="1" thickBot="1" x14ac:dyDescent="0.3">
      <c r="A184" s="444" t="s">
        <v>612</v>
      </c>
      <c r="B184" s="267" t="e">
        <f>(B155-B160)*(1-(B165/B169))*(1/(B167-B165))*(1-B171*(B173-B183))</f>
        <v>#N/A</v>
      </c>
      <c r="C184" s="268" t="s">
        <v>224</v>
      </c>
      <c r="D184" s="269"/>
      <c r="E184" s="162"/>
      <c r="F184" s="158"/>
      <c r="G184" s="158"/>
      <c r="H184" s="158"/>
      <c r="I184" s="158"/>
      <c r="J184" s="158"/>
      <c r="K184" s="159"/>
      <c r="L184" s="1240" t="s">
        <v>613</v>
      </c>
      <c r="M184" s="1240"/>
      <c r="N184" s="541" t="e">
        <f>SQRT(N156+N157+N158+N159+N161+N162+N163+N164+N166+N168+N180+N170+N172+N174+N175+N176+N177+N179+N181+N182+N178)</f>
        <v>#N/A</v>
      </c>
      <c r="O184" s="542" t="s">
        <v>605</v>
      </c>
      <c r="P184" s="158"/>
      <c r="Q184" s="158"/>
      <c r="R184" s="15"/>
      <c r="S184" s="15"/>
    </row>
    <row r="185" spans="1:19" ht="30" customHeight="1" thickBot="1" x14ac:dyDescent="0.3">
      <c r="A185" s="270"/>
      <c r="B185" s="271"/>
      <c r="C185" s="272"/>
      <c r="D185" s="158"/>
      <c r="E185" s="158"/>
      <c r="F185" s="158"/>
      <c r="G185" s="158"/>
      <c r="H185" s="158"/>
      <c r="I185" s="158"/>
      <c r="J185" s="158"/>
      <c r="K185" s="158"/>
      <c r="L185" s="1282" t="s">
        <v>555</v>
      </c>
      <c r="M185" s="1282"/>
      <c r="N185" s="584" t="e">
        <f>N184^4/(SUM(Q156:Q182))</f>
        <v>#N/A</v>
      </c>
      <c r="O185" s="908" t="e">
        <f>_xlfn.T.INV.2T(0.05,N185)</f>
        <v>#N/A</v>
      </c>
      <c r="P185" s="418">
        <v>400</v>
      </c>
      <c r="Q185" s="158"/>
      <c r="R185" s="15"/>
      <c r="S185" s="15"/>
    </row>
    <row r="186" spans="1:19" ht="30" customHeight="1" thickBot="1" x14ac:dyDescent="0.3">
      <c r="A186" s="273"/>
      <c r="B186" s="274"/>
      <c r="C186" s="275"/>
      <c r="D186" s="269"/>
      <c r="E186" s="158"/>
      <c r="F186" s="158"/>
      <c r="G186" s="158"/>
      <c r="H186" s="158"/>
      <c r="I186" s="158"/>
      <c r="J186" s="276"/>
      <c r="K186" s="159"/>
      <c r="L186" s="1282" t="s">
        <v>614</v>
      </c>
      <c r="M186" s="1282"/>
      <c r="N186" s="908" t="e">
        <f>N184*O185</f>
        <v>#N/A</v>
      </c>
      <c r="O186" s="543" t="s">
        <v>605</v>
      </c>
      <c r="P186" s="158"/>
      <c r="Q186" s="158"/>
      <c r="R186" s="15"/>
      <c r="S186" s="15"/>
    </row>
    <row r="187" spans="1:19" ht="30" customHeight="1" thickBot="1" x14ac:dyDescent="0.25">
      <c r="A187" s="158"/>
      <c r="B187" s="277"/>
      <c r="C187" s="562"/>
      <c r="D187" s="158"/>
      <c r="E187" s="158"/>
      <c r="F187" s="158"/>
      <c r="G187" s="158"/>
      <c r="H187" s="158"/>
      <c r="I187" s="158"/>
      <c r="J187" s="158"/>
      <c r="K187" s="158"/>
      <c r="L187" s="1282" t="s">
        <v>614</v>
      </c>
      <c r="M187" s="1282"/>
      <c r="N187" s="544" t="e">
        <f>N186/1000</f>
        <v>#N/A</v>
      </c>
      <c r="O187" s="543" t="s">
        <v>490</v>
      </c>
      <c r="P187" s="158"/>
      <c r="Q187" s="158"/>
      <c r="R187" s="15"/>
      <c r="S187" s="15"/>
    </row>
    <row r="188" spans="1:19" ht="30" customHeight="1" thickBot="1" x14ac:dyDescent="0.25">
      <c r="A188" s="158"/>
      <c r="B188" s="277"/>
      <c r="C188" s="562"/>
      <c r="D188" s="158"/>
      <c r="E188" s="158"/>
      <c r="F188" s="158"/>
      <c r="G188" s="158"/>
      <c r="H188" s="158"/>
      <c r="I188" s="158"/>
      <c r="J188" s="158"/>
      <c r="K188" s="159"/>
      <c r="L188" s="1282" t="s">
        <v>615</v>
      </c>
      <c r="M188" s="1282"/>
      <c r="N188" s="545" t="e">
        <f>(N186/B184)*100</f>
        <v>#N/A</v>
      </c>
      <c r="O188" s="543" t="s">
        <v>243</v>
      </c>
      <c r="P188" s="158"/>
      <c r="Q188" s="158"/>
      <c r="R188" s="15"/>
      <c r="S188" s="15"/>
    </row>
    <row r="189" spans="1:19" x14ac:dyDescent="0.2">
      <c r="A189" s="15"/>
      <c r="B189" s="15"/>
      <c r="C189" s="15"/>
      <c r="D189" s="15"/>
      <c r="E189" s="278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x14ac:dyDescent="0.2">
      <c r="A190" s="15"/>
      <c r="B190" s="15"/>
      <c r="C190" s="15"/>
      <c r="D190" s="15"/>
      <c r="E190" s="278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5.75" thickBo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30" customHeight="1" thickBot="1" x14ac:dyDescent="0.25">
      <c r="A192" s="1243" t="s">
        <v>616</v>
      </c>
      <c r="B192" s="1244"/>
      <c r="C192" s="1244"/>
      <c r="D192" s="1244"/>
      <c r="E192" s="1244"/>
      <c r="F192" s="1244"/>
      <c r="G192" s="1244"/>
      <c r="H192" s="1245"/>
      <c r="I192" s="15"/>
      <c r="J192" s="15"/>
      <c r="K192" s="1247" t="s">
        <v>617</v>
      </c>
      <c r="L192" s="1340"/>
      <c r="M192" s="16"/>
      <c r="N192" s="279">
        <v>0.3</v>
      </c>
      <c r="O192" s="14">
        <v>1.65</v>
      </c>
      <c r="P192" s="17"/>
      <c r="Q192" s="15"/>
      <c r="R192" s="15"/>
      <c r="S192" s="15"/>
    </row>
    <row r="193" spans="1:19" ht="30" customHeight="1" thickBot="1" x14ac:dyDescent="0.25">
      <c r="A193" s="280"/>
      <c r="B193" s="281" t="s">
        <v>618</v>
      </c>
      <c r="C193" s="282" t="s">
        <v>619</v>
      </c>
      <c r="D193" s="282" t="s">
        <v>617</v>
      </c>
      <c r="E193" s="282" t="s">
        <v>620</v>
      </c>
      <c r="F193" s="282" t="s">
        <v>621</v>
      </c>
      <c r="G193" s="282" t="s">
        <v>622</v>
      </c>
      <c r="H193" s="373" t="s">
        <v>623</v>
      </c>
      <c r="I193" s="15"/>
      <c r="J193" s="15"/>
      <c r="K193" s="1338" t="s">
        <v>624</v>
      </c>
      <c r="L193" s="283" t="e">
        <f>TINV(0.05,N185)</f>
        <v>#N/A</v>
      </c>
      <c r="M193" s="16"/>
      <c r="N193" s="1325" t="s">
        <v>625</v>
      </c>
      <c r="O193" s="1326"/>
      <c r="P193" s="1327"/>
      <c r="Q193" s="15"/>
      <c r="R193" s="15"/>
      <c r="S193" s="15"/>
    </row>
    <row r="194" spans="1:19" ht="30" customHeight="1" thickBot="1" x14ac:dyDescent="0.25">
      <c r="A194" s="284" t="s">
        <v>224</v>
      </c>
      <c r="B194" s="372" t="e">
        <f>G98</f>
        <v>#N/A</v>
      </c>
      <c r="C194" s="372" t="e">
        <f>N184</f>
        <v>#N/A</v>
      </c>
      <c r="D194" s="1347" t="e">
        <f>O185</f>
        <v>#N/A</v>
      </c>
      <c r="E194" s="372" t="e">
        <f>(C194*D194)</f>
        <v>#N/A</v>
      </c>
      <c r="F194" s="1350">
        <v>95</v>
      </c>
      <c r="G194" s="374" t="e">
        <f>B194-C52</f>
        <v>#N/A</v>
      </c>
      <c r="H194" s="422" t="e">
        <f>ABS(G194)</f>
        <v>#N/A</v>
      </c>
      <c r="I194" s="15"/>
      <c r="J194" s="15"/>
      <c r="K194" s="1339"/>
      <c r="L194" s="285" t="e">
        <f>MAX(N156:N182)</f>
        <v>#N/A</v>
      </c>
      <c r="M194" s="286" t="e">
        <f>IF((L195)&lt;=(N192),"1,65","k=2")</f>
        <v>#N/A</v>
      </c>
      <c r="N194" s="287" t="s">
        <v>626</v>
      </c>
      <c r="O194" s="288" t="s">
        <v>627</v>
      </c>
      <c r="P194" s="289" t="s">
        <v>628</v>
      </c>
      <c r="Q194" s="15"/>
      <c r="R194" s="15"/>
      <c r="S194" s="15"/>
    </row>
    <row r="195" spans="1:19" ht="30" customHeight="1" thickBot="1" x14ac:dyDescent="0.25">
      <c r="A195" s="290" t="s">
        <v>629</v>
      </c>
      <c r="B195" s="291" t="e">
        <f>B194/16.38706</f>
        <v>#N/A</v>
      </c>
      <c r="C195" s="291" t="e">
        <f>C194/16.38706</f>
        <v>#N/A</v>
      </c>
      <c r="D195" s="1348"/>
      <c r="E195" s="291" t="e">
        <f>C195*D194</f>
        <v>#N/A</v>
      </c>
      <c r="F195" s="1351"/>
      <c r="G195" s="291" t="e">
        <f>G194/16.38706</f>
        <v>#N/A</v>
      </c>
      <c r="H195" s="423" t="e">
        <f>ABS(G195)</f>
        <v>#N/A</v>
      </c>
      <c r="I195" s="15"/>
      <c r="J195" s="15"/>
      <c r="K195" s="292" t="s">
        <v>630</v>
      </c>
      <c r="L195" s="285" t="e">
        <f>(SQRT(SUM(N156:N159,N161:N164,N166,N168,N170,N172,N174:N179,N181:N182)))/L194</f>
        <v>#N/A</v>
      </c>
      <c r="M195" s="16"/>
      <c r="N195" s="293" t="s">
        <v>626</v>
      </c>
      <c r="O195" s="294" t="s">
        <v>631</v>
      </c>
      <c r="P195" s="295" t="s">
        <v>632</v>
      </c>
      <c r="Q195" s="15"/>
      <c r="R195" s="15"/>
      <c r="S195" s="15"/>
    </row>
    <row r="196" spans="1:19" ht="30" customHeight="1" x14ac:dyDescent="0.2">
      <c r="A196" s="290" t="s">
        <v>492</v>
      </c>
      <c r="B196" s="296" t="e">
        <f>G100</f>
        <v>#N/A</v>
      </c>
      <c r="C196" s="297" t="e">
        <f>(C194/1000)/3.785412</f>
        <v>#N/A</v>
      </c>
      <c r="D196" s="1348"/>
      <c r="E196" s="296" t="e">
        <f>C196*D194</f>
        <v>#N/A</v>
      </c>
      <c r="F196" s="1351"/>
      <c r="G196" s="296" t="e">
        <f>(G194/1000)/3.785412</f>
        <v>#N/A</v>
      </c>
      <c r="H196" s="424" t="e">
        <f>ABS(G196)</f>
        <v>#N/A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30" customHeight="1" thickBot="1" x14ac:dyDescent="0.25">
      <c r="A197" s="298" t="s">
        <v>243</v>
      </c>
      <c r="B197" s="299" t="e">
        <f>(B194/C52)*100</f>
        <v>#N/A</v>
      </c>
      <c r="C197" s="301" t="e">
        <f>(C196/B196)*100</f>
        <v>#N/A</v>
      </c>
      <c r="D197" s="1349"/>
      <c r="E197" s="300" t="e">
        <f>(C197*D194)</f>
        <v>#N/A</v>
      </c>
      <c r="F197" s="1352"/>
      <c r="G197" s="300" t="e">
        <f>(G196*100)/B196</f>
        <v>#N/A</v>
      </c>
      <c r="H197" s="425" t="e">
        <f>ABS(H196*100)/B196</f>
        <v>#N/A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x14ac:dyDescent="0.2">
      <c r="A200" s="19"/>
      <c r="B200" s="19"/>
      <c r="C200" s="19"/>
      <c r="D200" s="19"/>
      <c r="E200" s="19"/>
      <c r="F200" s="19"/>
      <c r="G200" s="375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</sheetData>
  <sheetProtection password="CF5C" sheet="1" objects="1" scenarios="1"/>
  <mergeCells count="101">
    <mergeCell ref="V175:X175"/>
    <mergeCell ref="N193:P193"/>
    <mergeCell ref="L186:M186"/>
    <mergeCell ref="L187:M187"/>
    <mergeCell ref="V174:X174"/>
    <mergeCell ref="E67:F69"/>
    <mergeCell ref="A66:D66"/>
    <mergeCell ref="E66:F66"/>
    <mergeCell ref="A71:D71"/>
    <mergeCell ref="E71:F71"/>
    <mergeCell ref="A75:D75"/>
    <mergeCell ref="E75:F75"/>
    <mergeCell ref="K193:K194"/>
    <mergeCell ref="K192:L192"/>
    <mergeCell ref="D153:E153"/>
    <mergeCell ref="H153:I153"/>
    <mergeCell ref="J153:K153"/>
    <mergeCell ref="L153:M153"/>
    <mergeCell ref="L80:N80"/>
    <mergeCell ref="D194:D197"/>
    <mergeCell ref="F194:F197"/>
    <mergeCell ref="L149:M149"/>
    <mergeCell ref="L148:M148"/>
    <mergeCell ref="A102:I102"/>
    <mergeCell ref="S34:S35"/>
    <mergeCell ref="A55:B55"/>
    <mergeCell ref="C55:F55"/>
    <mergeCell ref="K34:K35"/>
    <mergeCell ref="L34:L35"/>
    <mergeCell ref="I34:I35"/>
    <mergeCell ref="J34:J35"/>
    <mergeCell ref="B34:B35"/>
    <mergeCell ref="C34:C35"/>
    <mergeCell ref="A48:B48"/>
    <mergeCell ref="A51:B51"/>
    <mergeCell ref="C40:D40"/>
    <mergeCell ref="A49:B49"/>
    <mergeCell ref="A50:B50"/>
    <mergeCell ref="A39:D39"/>
    <mergeCell ref="A42:B42"/>
    <mergeCell ref="A43:B43"/>
    <mergeCell ref="A44:B44"/>
    <mergeCell ref="A45:B45"/>
    <mergeCell ref="C41:D41"/>
    <mergeCell ref="C42:D42"/>
    <mergeCell ref="C43:D43"/>
    <mergeCell ref="A41:B41"/>
    <mergeCell ref="A46:B46"/>
    <mergeCell ref="A1:B1"/>
    <mergeCell ref="D1:R1"/>
    <mergeCell ref="D3:E3"/>
    <mergeCell ref="G3:H3"/>
    <mergeCell ref="J3:K3"/>
    <mergeCell ref="M3:N3"/>
    <mergeCell ref="P3:R3"/>
    <mergeCell ref="A5:R5"/>
    <mergeCell ref="A8:A12"/>
    <mergeCell ref="A23:A31"/>
    <mergeCell ref="P34:P35"/>
    <mergeCell ref="D34:D35"/>
    <mergeCell ref="E34:E35"/>
    <mergeCell ref="F34:F35"/>
    <mergeCell ref="G34:G35"/>
    <mergeCell ref="O34:O35"/>
    <mergeCell ref="N34:N35"/>
    <mergeCell ref="A13:A22"/>
    <mergeCell ref="M34:M35"/>
    <mergeCell ref="H34:H35"/>
    <mergeCell ref="A47:B47"/>
    <mergeCell ref="A192:H192"/>
    <mergeCell ref="J134:K134"/>
    <mergeCell ref="A53:B53"/>
    <mergeCell ref="D134:E134"/>
    <mergeCell ref="H134:I134"/>
    <mergeCell ref="A72:A73"/>
    <mergeCell ref="A76:A77"/>
    <mergeCell ref="B130:D130"/>
    <mergeCell ref="A57:E57"/>
    <mergeCell ref="H110:I110"/>
    <mergeCell ref="D110:E110"/>
    <mergeCell ref="G67:J67"/>
    <mergeCell ref="G68:J68"/>
    <mergeCell ref="A80:G80"/>
    <mergeCell ref="A132:P133"/>
    <mergeCell ref="A108:P109"/>
    <mergeCell ref="E81:G81"/>
    <mergeCell ref="E82:G84"/>
    <mergeCell ref="E101:L101"/>
    <mergeCell ref="E107:G107"/>
    <mergeCell ref="L188:M188"/>
    <mergeCell ref="L134:M134"/>
    <mergeCell ref="L185:M185"/>
    <mergeCell ref="L147:M147"/>
    <mergeCell ref="A151:R152"/>
    <mergeCell ref="L128:M128"/>
    <mergeCell ref="L110:M110"/>
    <mergeCell ref="J110:K110"/>
    <mergeCell ref="L125:M125"/>
    <mergeCell ref="L126:M126"/>
    <mergeCell ref="L127:M127"/>
    <mergeCell ref="L184:M184"/>
  </mergeCells>
  <conditionalFormatting sqref="H8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7">
    <cfRule type="containsText" dxfId="5" priority="15" operator="containsText" text="La temperatura de al menos una medición está fuera del intervalo">
      <formula>NOT(ISERROR(SEARCH("La temperatura de al menos una medición está fuera del intervalo",G67)))</formula>
    </cfRule>
    <cfRule type="containsText" dxfId="4" priority="16" operator="containsText" text="La temperatura está dentro del intervalo de condiciones ambientales">
      <formula>NOT(ISERROR(SEARCH("La temperatura está dentro del intervalo de condiciones ambientales",G67)))</formula>
    </cfRule>
  </conditionalFormatting>
  <conditionalFormatting sqref="G68:J68">
    <cfRule type="containsText" dxfId="3" priority="9" operator="containsText" text="La humedad de al menos una medición está fuera del intervalo">
      <formula>NOT(ISERROR(SEARCH("La humedad de al menos una medición está fuera del intervalo",G68)))</formula>
    </cfRule>
    <cfRule type="containsText" dxfId="2" priority="10" operator="containsText" text="La humedad está dentro del intervalo de condiciones ambientales">
      <formula>NOT(ISERROR(SEARCH("La humedad está dentro del intervalo de condiciones ambientales",G68)))</formula>
    </cfRule>
  </conditionalFormatting>
  <conditionalFormatting sqref="K90">
    <cfRule type="containsText" dxfId="1" priority="2" operator="containsText" text="NO AJUSTAR">
      <formula>NOT(ISERROR(SEARCH("NO AJUSTAR",K90)))</formula>
    </cfRule>
    <cfRule type="containsText" dxfId="0" priority="3" operator="containsText" text="AJUSTAR">
      <formula>NOT(ISERROR(SEARCH("AJUSTAR",K90)))</formula>
    </cfRule>
  </conditionalFormatting>
  <conditionalFormatting sqref="L83:N85">
    <cfRule type="colorScale" priority="1">
      <colorScale>
        <cfvo type="num" val="3"/>
        <cfvo type="num" val="3"/>
        <color rgb="FF92D050"/>
        <color rgb="FFFF0000"/>
      </colorScale>
    </cfRule>
  </conditionalFormatting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headerFooter>
    <oddFooter>&amp;RRT03-F33 Vr.8 (2023-06-06)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'DATOS #'!$A$39:$A$40</xm:f>
          </x14:formula1>
          <xm:sqref>O91</xm:sqref>
        </x14:dataValidation>
        <x14:dataValidation type="list" allowBlank="1" showInputMessage="1" showErrorMessage="1">
          <x14:formula1>
            <xm:f>'DATOS #'!$C$37:$C$60</xm:f>
          </x14:formula1>
          <xm:sqref>S8:S12</xm:sqref>
        </x14:dataValidation>
        <x14:dataValidation type="list" allowBlank="1" showInputMessage="1" showErrorMessage="1">
          <x14:formula1>
            <xm:f>'DATOS #'!$C$177:$C$198</xm:f>
          </x14:formula1>
          <xm:sqref>S13:S22</xm:sqref>
        </x14:dataValidation>
        <x14:dataValidation type="list" allowBlank="1" showInputMessage="1" showErrorMessage="1">
          <x14:formula1>
            <xm:f>'DATOS #'!$P$9:$P$13</xm:f>
          </x14:formula1>
          <xm:sqref>G55</xm:sqref>
        </x14:dataValidation>
        <x14:dataValidation type="list" allowBlank="1" showInputMessage="1" showErrorMessage="1">
          <x14:formula1>
            <xm:f>'DATOS #'!$D$7:$D$9</xm:f>
          </x14:formula1>
          <xm:sqref>S3</xm:sqref>
        </x14:dataValidation>
        <x14:dataValidation type="list" allowBlank="1" showInputMessage="1" showErrorMessage="1">
          <x14:formula1>
            <xm:f>'DATOS #'!$C$157:$C$172</xm:f>
          </x14:formula1>
          <xm:sqref>S37:S51</xm:sqref>
        </x14:dataValidation>
        <x14:dataValidation type="list" allowBlank="1" showInputMessage="1" showErrorMessage="1">
          <x14:formula1>
            <xm:f>'DATOS #'!$C$151:$C$152</xm:f>
          </x14:formula1>
          <xm:sqref>S36</xm:sqref>
        </x14:dataValidation>
        <x14:dataValidation type="list" allowBlank="1" showInputMessage="1" showErrorMessage="1">
          <x14:formula1>
            <xm:f>'DATOS #'!$C$141:$C$147</xm:f>
          </x14:formula1>
          <xm:sqref>S34:S35</xm:sqref>
        </x14:dataValidation>
        <x14:dataValidation type="list" allowBlank="1" showInputMessage="1" showErrorMessage="1">
          <x14:formula1>
            <xm:f>'DATOS #'!$C$132:$C$137</xm:f>
          </x14:formula1>
          <xm:sqref>S33</xm:sqref>
        </x14:dataValidation>
        <x14:dataValidation type="list" allowBlank="1" showInputMessage="1" showErrorMessage="1">
          <x14:formula1>
            <xm:f>'DATOS #'!$C$67:$C$120</xm:f>
          </x14:formula1>
          <xm:sqref>S23</xm:sqref>
        </x14:dataValidation>
        <x14:dataValidation type="list" allowBlank="1" showInputMessage="1" showErrorMessage="1">
          <x14:formula1>
            <xm:f>'DATOS #'!$B$14:$B$16</xm:f>
          </x14:formula1>
          <xm:sqref>E41</xm:sqref>
        </x14:dataValidation>
        <x14:dataValidation type="list" allowBlank="1" showInputMessage="1" showErrorMessage="1">
          <x14:formula1>
            <xm:f>'DATOS #'!$A$179:$A$192</xm:f>
          </x14:formula1>
          <xm:sqref>H85</xm:sqref>
        </x14:dataValidation>
        <x14:dataValidation type="list" allowBlank="1" showInputMessage="1" showErrorMessage="1">
          <x14:formula1>
            <xm:f>'DATOS #'!$C$202:$C$204</xm:f>
          </x14:formula1>
          <xm:sqref>S7</xm:sqref>
        </x14:dataValidation>
        <x14:dataValidation type="list" allowBlank="1" showInputMessage="1" showErrorMessage="1">
          <x14:formula1>
            <xm:f>'DATOS #'!$C$209:$C$211</xm:f>
          </x14:formula1>
          <xm:sqref>S32</xm:sqref>
        </x14:dataValidation>
        <x14:dataValidation type="list" allowBlank="1" showInputMessage="1" showErrorMessage="1">
          <x14:formula1>
            <xm:f>'DATOS #'!$A$39:$A$61</xm:f>
          </x14:formula1>
          <xm:sqref>H90</xm:sqref>
        </x14:dataValidation>
        <x14:dataValidation type="list" allowBlank="1" showInputMessage="1" showErrorMessage="1">
          <x14:formula1>
            <xm:f>'DATOS #'!$B$123:$B$128</xm:f>
          </x14:formula1>
          <xm:sqref>H81</xm:sqref>
        </x14:dataValidation>
        <x14:dataValidation type="list" allowBlank="1" showInputMessage="1" showErrorMessage="1">
          <x14:formula1>
            <xm:f>'DATOS #'!$C$67:$C$129</xm:f>
          </x14:formula1>
          <xm:sqref>S24:S31</xm:sqref>
        </x14:dataValidation>
        <x14:dataValidation type="list" allowBlank="1" showInputMessage="1" showErrorMessage="1">
          <x14:formula1>
            <xm:f>'DATOS #'!$B$217:$B$250</xm:f>
          </x14:formula1>
          <xm:sqref>C58 E58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3"/>
  <sheetViews>
    <sheetView showGridLines="0" view="pageBreakPreview" zoomScale="80" zoomScaleNormal="40" zoomScaleSheetLayoutView="80" workbookViewId="0">
      <selection activeCell="N8" sqref="N8"/>
    </sheetView>
  </sheetViews>
  <sheetFormatPr baseColWidth="10" defaultColWidth="11.42578125" defaultRowHeight="60" customHeight="1" x14ac:dyDescent="0.2"/>
  <cols>
    <col min="1" max="1" width="23.5703125" style="376" customWidth="1"/>
    <col min="2" max="3" width="14.42578125" style="376" customWidth="1"/>
    <col min="4" max="4" width="17.28515625" style="376" bestFit="1" customWidth="1"/>
    <col min="5" max="5" width="21.42578125" style="376" bestFit="1" customWidth="1"/>
    <col min="6" max="6" width="13" style="376" bestFit="1" customWidth="1"/>
    <col min="7" max="7" width="20.7109375" style="376" customWidth="1"/>
    <col min="8" max="8" width="19" style="376" customWidth="1"/>
    <col min="9" max="9" width="22.28515625" style="376" customWidth="1"/>
    <col min="10" max="10" width="16.5703125" style="376" bestFit="1" customWidth="1"/>
    <col min="11" max="16384" width="11.42578125" style="376"/>
  </cols>
  <sheetData>
    <row r="1" spans="1:17" ht="92.25" customHeight="1" x14ac:dyDescent="0.2">
      <c r="A1" s="1361"/>
      <c r="B1" s="1362"/>
      <c r="C1" s="1363"/>
      <c r="D1" s="1364" t="s">
        <v>633</v>
      </c>
      <c r="E1" s="1365"/>
      <c r="F1" s="1365"/>
      <c r="G1" s="1365"/>
      <c r="H1" s="1365"/>
      <c r="I1" s="1365"/>
      <c r="J1" s="1365"/>
      <c r="K1" s="1365"/>
      <c r="L1" s="1365"/>
      <c r="M1" s="1365"/>
      <c r="N1" s="1365"/>
      <c r="O1" s="1365"/>
      <c r="P1" s="1365"/>
      <c r="Q1" s="1366"/>
    </row>
    <row r="2" spans="1:17" ht="21.75" customHeight="1" thickBot="1" x14ac:dyDescent="0.3"/>
    <row r="3" spans="1:17" ht="60" customHeight="1" thickBot="1" x14ac:dyDescent="0.25">
      <c r="A3" s="9" t="s">
        <v>634</v>
      </c>
      <c r="B3" s="12" t="s">
        <v>635</v>
      </c>
      <c r="C3" s="11" t="s">
        <v>636</v>
      </c>
      <c r="D3" s="10" t="s">
        <v>637</v>
      </c>
      <c r="E3" s="10" t="s">
        <v>638</v>
      </c>
      <c r="F3" s="11" t="s">
        <v>639</v>
      </c>
      <c r="G3" s="1367" t="s">
        <v>640</v>
      </c>
      <c r="H3" s="1368"/>
      <c r="I3" s="1369"/>
      <c r="K3" s="377"/>
      <c r="L3" s="377"/>
    </row>
    <row r="4" spans="1:17" ht="30.75" customHeight="1" x14ac:dyDescent="0.25">
      <c r="A4" s="378">
        <v>1</v>
      </c>
      <c r="B4" s="406" t="b">
        <f>IF('DATOS #'!G15=0.5,0.946353,IF('DATOS #'!G15=5,9.46353,IF('DATOS #'!G15=20,10,IF('DATOS #'!G15=2,1))))</f>
        <v>0</v>
      </c>
      <c r="C4" s="406">
        <f>-B4</f>
        <v>0</v>
      </c>
      <c r="D4" s="379">
        <v>0</v>
      </c>
      <c r="E4" s="380"/>
      <c r="F4" s="380"/>
      <c r="G4" s="381" t="s">
        <v>641</v>
      </c>
      <c r="H4" s="382" t="s">
        <v>642</v>
      </c>
      <c r="I4" s="383" t="s">
        <v>643</v>
      </c>
    </row>
    <row r="5" spans="1:17" ht="30" customHeight="1" x14ac:dyDescent="0.25">
      <c r="A5" s="384" t="s">
        <v>644</v>
      </c>
      <c r="B5" s="388" t="b">
        <f>B4</f>
        <v>0</v>
      </c>
      <c r="C5" s="388">
        <f t="shared" ref="C5:C8" si="0">-B5</f>
        <v>0</v>
      </c>
      <c r="D5" s="386">
        <v>0</v>
      </c>
      <c r="E5" s="387" t="e">
        <f>ABS('RT03-F33 # '!G194)</f>
        <v>#N/A</v>
      </c>
      <c r="F5" s="385" t="e">
        <f>'RT03-F33 # '!E194</f>
        <v>#N/A</v>
      </c>
      <c r="G5" s="388" t="e">
        <f>(B5-E5)/(F5/2)</f>
        <v>#N/A</v>
      </c>
      <c r="H5" s="389" t="e">
        <f>_xlfn.NORM.S.DIST(G5,1)</f>
        <v>#N/A</v>
      </c>
      <c r="I5" s="390" t="e">
        <f>1-H5</f>
        <v>#N/A</v>
      </c>
    </row>
    <row r="6" spans="1:17" ht="24" customHeight="1" x14ac:dyDescent="0.2">
      <c r="A6" s="384" t="s">
        <v>645</v>
      </c>
      <c r="B6" s="388" t="b">
        <f>B4</f>
        <v>0</v>
      </c>
      <c r="C6" s="388">
        <f t="shared" si="0"/>
        <v>0</v>
      </c>
      <c r="D6" s="386">
        <v>0</v>
      </c>
      <c r="E6" s="387" t="e">
        <f>ABS(#REF!)</f>
        <v>#REF!</v>
      </c>
      <c r="F6" s="385" t="e">
        <f>'RT03-F33 # '!E194</f>
        <v>#N/A</v>
      </c>
      <c r="G6" s="391" t="s">
        <v>646</v>
      </c>
      <c r="H6" s="392" t="s">
        <v>642</v>
      </c>
      <c r="I6" s="393" t="s">
        <v>643</v>
      </c>
    </row>
    <row r="7" spans="1:17" ht="27.75" customHeight="1" x14ac:dyDescent="0.2">
      <c r="A7" s="384">
        <v>3</v>
      </c>
      <c r="B7" s="388" t="b">
        <f>B4</f>
        <v>0</v>
      </c>
      <c r="C7" s="388">
        <f t="shared" si="0"/>
        <v>0</v>
      </c>
      <c r="D7" s="386">
        <v>0</v>
      </c>
      <c r="E7" s="394"/>
      <c r="F7" s="394"/>
      <c r="G7" s="388" t="e">
        <f>(E5-C5)/(F5/2)</f>
        <v>#N/A</v>
      </c>
      <c r="H7" s="389" t="e">
        <f>_xlfn.NORM.S.DIST(G7,1)</f>
        <v>#N/A</v>
      </c>
      <c r="I7" s="395" t="e">
        <f>1-H7</f>
        <v>#N/A</v>
      </c>
    </row>
    <row r="8" spans="1:17" ht="31.5" customHeight="1" thickBot="1" x14ac:dyDescent="0.25">
      <c r="A8" s="396">
        <v>4</v>
      </c>
      <c r="B8" s="413" t="b">
        <f>B4</f>
        <v>0</v>
      </c>
      <c r="C8" s="413">
        <f t="shared" si="0"/>
        <v>0</v>
      </c>
      <c r="D8" s="397">
        <v>0</v>
      </c>
      <c r="E8" s="398"/>
      <c r="F8" s="398"/>
      <c r="G8" s="1370" t="e">
        <f>IF(AND(H5&gt;=97.5%,I5&lt;=2.5%),"CUMPLE","NO CUMPLE")</f>
        <v>#N/A</v>
      </c>
      <c r="H8" s="1371"/>
      <c r="I8" s="1372"/>
    </row>
    <row r="9" spans="1:17" ht="38.25" customHeight="1" thickBot="1" x14ac:dyDescent="0.25">
      <c r="A9" s="399" t="e">
        <f>B13/2000</f>
        <v>#N/A</v>
      </c>
      <c r="B9" s="400"/>
      <c r="C9" s="400"/>
      <c r="D9" s="400"/>
      <c r="E9" s="400"/>
      <c r="F9" s="400"/>
      <c r="G9" s="1359" t="s">
        <v>647</v>
      </c>
      <c r="H9" s="1373"/>
      <c r="I9" s="1360"/>
    </row>
    <row r="10" spans="1:17" ht="60" customHeight="1" thickBot="1" x14ac:dyDescent="0.25">
      <c r="A10" s="400"/>
      <c r="B10" s="1374" t="s">
        <v>648</v>
      </c>
      <c r="C10" s="1375"/>
      <c r="D10" s="400"/>
      <c r="E10" s="400"/>
      <c r="F10" s="400"/>
      <c r="G10" s="401" t="s">
        <v>641</v>
      </c>
      <c r="H10" s="402" t="s">
        <v>642</v>
      </c>
      <c r="I10" s="403" t="s">
        <v>643</v>
      </c>
    </row>
    <row r="11" spans="1:17" ht="31.5" customHeight="1" x14ac:dyDescent="0.2">
      <c r="A11" s="400"/>
      <c r="B11" s="404" t="e">
        <f>'RT03-F33 # '!C45</f>
        <v>#N/A</v>
      </c>
      <c r="C11" s="405" t="s">
        <v>492</v>
      </c>
      <c r="D11" s="400"/>
      <c r="E11" s="400"/>
      <c r="F11" s="400"/>
      <c r="G11" s="406" t="e">
        <f>(B6-E6)/(F6/2)</f>
        <v>#REF!</v>
      </c>
      <c r="H11" s="407" t="e">
        <f>_xlfn.NORM.S.DIST(G11,1)</f>
        <v>#REF!</v>
      </c>
      <c r="I11" s="408" t="e">
        <f>1-H11</f>
        <v>#REF!</v>
      </c>
    </row>
    <row r="12" spans="1:17" ht="29.25" customHeight="1" x14ac:dyDescent="0.2">
      <c r="A12" s="400"/>
      <c r="B12" s="409" t="e">
        <f>B11*3.785412</f>
        <v>#N/A</v>
      </c>
      <c r="C12" s="410" t="s">
        <v>490</v>
      </c>
      <c r="D12" s="400"/>
      <c r="E12" s="400"/>
      <c r="F12" s="400"/>
      <c r="G12" s="391" t="s">
        <v>646</v>
      </c>
      <c r="H12" s="392" t="s">
        <v>642</v>
      </c>
      <c r="I12" s="393" t="s">
        <v>643</v>
      </c>
    </row>
    <row r="13" spans="1:17" ht="33" customHeight="1" thickBot="1" x14ac:dyDescent="0.25">
      <c r="A13" s="400"/>
      <c r="B13" s="411" t="e">
        <f>B12*1000</f>
        <v>#N/A</v>
      </c>
      <c r="C13" s="412" t="s">
        <v>224</v>
      </c>
      <c r="D13" s="400"/>
      <c r="E13" s="400"/>
      <c r="F13" s="400"/>
      <c r="G13" s="413" t="e">
        <f>(E6-C6)/(F6/2)</f>
        <v>#REF!</v>
      </c>
      <c r="H13" s="414" t="e">
        <f>_xlfn.NORM.S.DIST(G13,1)</f>
        <v>#REF!</v>
      </c>
      <c r="I13" s="415" t="e">
        <f>1-H13</f>
        <v>#REF!</v>
      </c>
    </row>
    <row r="14" spans="1:17" ht="60" customHeight="1" thickBot="1" x14ac:dyDescent="0.25">
      <c r="G14" s="1356" t="e">
        <f>IF(AND(H11&gt;=97.5%,I11&lt;=2.5%),"CUMPLE","NO CUMPLE")</f>
        <v>#REF!</v>
      </c>
      <c r="H14" s="1357"/>
      <c r="I14" s="1358"/>
    </row>
    <row r="15" spans="1:17" ht="60" customHeight="1" thickBot="1" x14ac:dyDescent="0.25">
      <c r="B15" s="1359" t="s">
        <v>649</v>
      </c>
      <c r="C15" s="1360"/>
      <c r="D15" s="416"/>
    </row>
    <row r="16" spans="1:17" ht="24" customHeight="1" x14ac:dyDescent="0.2">
      <c r="B16" s="569" t="e">
        <f>'RT03-F33 # '!B196</f>
        <v>#N/A</v>
      </c>
      <c r="C16" s="570" t="s">
        <v>492</v>
      </c>
      <c r="D16" s="417"/>
    </row>
    <row r="17" spans="2:4" ht="30" customHeight="1" x14ac:dyDescent="0.2">
      <c r="B17" s="571" t="e">
        <f>B16*3.785412</f>
        <v>#N/A</v>
      </c>
      <c r="C17" s="572" t="s">
        <v>490</v>
      </c>
      <c r="D17" s="417"/>
    </row>
    <row r="18" spans="2:4" ht="24.75" customHeight="1" thickBot="1" x14ac:dyDescent="0.25">
      <c r="B18" s="573">
        <v>18929.91790530556</v>
      </c>
      <c r="C18" s="574" t="s">
        <v>224</v>
      </c>
      <c r="D18" s="417"/>
    </row>
    <row r="19" spans="2:4" ht="60" customHeight="1" thickBot="1" x14ac:dyDescent="0.25"/>
    <row r="20" spans="2:4" ht="60" customHeight="1" thickBot="1" x14ac:dyDescent="0.25">
      <c r="B20" s="1359" t="s">
        <v>650</v>
      </c>
      <c r="C20" s="1360"/>
      <c r="D20" s="416"/>
    </row>
    <row r="21" spans="2:4" ht="33.75" customHeight="1" x14ac:dyDescent="0.2">
      <c r="B21" s="569" t="e">
        <f>#REF!</f>
        <v>#REF!</v>
      </c>
      <c r="C21" s="570" t="s">
        <v>492</v>
      </c>
      <c r="D21" s="417"/>
    </row>
    <row r="22" spans="2:4" ht="27.75" customHeight="1" x14ac:dyDescent="0.2">
      <c r="B22" s="571" t="e">
        <f>B21*3.785412</f>
        <v>#REF!</v>
      </c>
      <c r="C22" s="572" t="s">
        <v>490</v>
      </c>
      <c r="D22" s="417"/>
    </row>
    <row r="23" spans="2:4" ht="33" customHeight="1" thickBot="1" x14ac:dyDescent="0.25">
      <c r="B23" s="573">
        <v>18925.567673937952</v>
      </c>
      <c r="C23" s="574" t="s">
        <v>224</v>
      </c>
      <c r="D23" s="417"/>
    </row>
  </sheetData>
  <sheetProtection algorithmName="SHA-512" hashValue="yaLX6Kis/xLvs0/AqTcKsJq1B2mhdWeO5nc9eAB0M4Y9wMBwMc9GC9cmddhp0lFwkNxZZBXX32Yk/bbPwTDzOA==" saltValue="jiDxobkRJ8jb+SwnVv4Kbg==" spinCount="100000" sheet="1" objects="1" scenarios="1"/>
  <mergeCells count="9">
    <mergeCell ref="G14:I14"/>
    <mergeCell ref="B15:C15"/>
    <mergeCell ref="B20:C20"/>
    <mergeCell ref="A1:C1"/>
    <mergeCell ref="D1:Q1"/>
    <mergeCell ref="G3:I3"/>
    <mergeCell ref="G8:I8"/>
    <mergeCell ref="G9:I9"/>
    <mergeCell ref="B10:C10"/>
  </mergeCells>
  <pageMargins left="0.70866141732283472" right="0.70866141732283472" top="0.74803149606299213" bottom="0.74803149606299213" header="0.31496062992125984" footer="0.31496062992125984"/>
  <pageSetup scale="10" pageOrder="overThenDown" orientation="portrait" r:id="rId1"/>
  <headerFooter>
    <oddFooter>&amp;RRT03-F52 Vr.2 (2022-05-11)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630930-25e8-416c-ab3b-3d3f0eb88142">
      <Terms xmlns="http://schemas.microsoft.com/office/infopath/2007/PartnerControls"/>
    </lcf76f155ced4ddcb4097134ff3c332f>
    <TaxCatchAll xmlns="41a0376a-4913-43ea-bca5-b9259b3c65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C81F78A526C244A20286E28DE88E1E" ma:contentTypeVersion="16" ma:contentTypeDescription="Crear nuevo documento." ma:contentTypeScope="" ma:versionID="d713bc3fed25671c6e33f379168f2f9c">
  <xsd:schema xmlns:xsd="http://www.w3.org/2001/XMLSchema" xmlns:xs="http://www.w3.org/2001/XMLSchema" xmlns:p="http://schemas.microsoft.com/office/2006/metadata/properties" xmlns:ns2="28630930-25e8-416c-ab3b-3d3f0eb88142" xmlns:ns3="41a0376a-4913-43ea-bca5-b9259b3c65a0" targetNamespace="http://schemas.microsoft.com/office/2006/metadata/properties" ma:root="true" ma:fieldsID="dc3d2e819729881705429c641e717553" ns2:_="" ns3:_="">
    <xsd:import namespace="28630930-25e8-416c-ab3b-3d3f0eb88142"/>
    <xsd:import namespace="41a0376a-4913-43ea-bca5-b9259b3c6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30930-25e8-416c-ab3b-3d3f0eb88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33d804f7-ca46-4700-9da3-18b907134a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0376a-4913-43ea-bca5-b9259b3c6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976e945-0c06-40c7-9ba4-a80e2af427e4}" ma:internalName="TaxCatchAll" ma:showField="CatchAllData" ma:web="41a0376a-4913-43ea-bca5-b9259b3c65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909535-405C-40DB-9528-0EE3CDA7CE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6D7209-E675-4744-8793-B70D05240F23}">
  <ds:schemaRefs>
    <ds:schemaRef ds:uri="http://purl.org/dc/terms/"/>
    <ds:schemaRef ds:uri="http://schemas.microsoft.com/office/2006/metadata/properties"/>
    <ds:schemaRef ds:uri="http://purl.org/dc/elements/1.1/"/>
    <ds:schemaRef ds:uri="28630930-25e8-416c-ab3b-3d3f0eb88142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41a0376a-4913-43ea-bca5-b9259b3c65a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2EF1AD-0BD0-4479-95D7-46E9FE3ED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30930-25e8-416c-ab3b-3d3f0eb88142"/>
    <ds:schemaRef ds:uri="41a0376a-4913-43ea-bca5-b9259b3c65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DATOS #</vt:lpstr>
      <vt:lpstr>RT03-F33 # </vt:lpstr>
      <vt:lpstr>PC #</vt:lpstr>
      <vt:lpstr>'RT03-F33 # '!aCuatro</vt:lpstr>
      <vt:lpstr>'RT03-F33 # '!aDos</vt:lpstr>
      <vt:lpstr>'DATOS #'!Área_de_impresión</vt:lpstr>
      <vt:lpstr>'RT03-F33 # '!Área_de_impresión</vt:lpstr>
      <vt:lpstr>'RT03-F33 # '!aTres</vt:lpstr>
      <vt:lpstr>'RT03-F33 # '!p</vt:lpstr>
      <vt:lpstr>'RT03-F33 # '!sCero</vt:lpstr>
      <vt:lpstr>'RT03-F33 # '!sUno</vt:lpstr>
      <vt:lpstr>'RT03-F33 # '!t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 comprobación vol</dc:title>
  <dc:creator>Laboratorio de Volumen SIC</dc:creator>
  <cp:lastModifiedBy>LAURA JOHANNA FORERO TORRES</cp:lastModifiedBy>
  <cp:revision/>
  <dcterms:created xsi:type="dcterms:W3CDTF">2015-11-06T23:47:29Z</dcterms:created>
  <dcterms:modified xsi:type="dcterms:W3CDTF">2023-06-06T19:23:54Z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722878</vt:i4>
  </property>
  <property fmtid="{D5CDD505-2E9C-101B-9397-08002B2CF9AE}" pid="3" name="ContentTypeId">
    <vt:lpwstr>0x010100B1C81F78A526C244A20286E28DE88E1E</vt:lpwstr>
  </property>
  <property fmtid="{D5CDD505-2E9C-101B-9397-08002B2CF9AE}" pid="4" name="MediaServiceImageTags">
    <vt:lpwstr/>
  </property>
</Properties>
</file>